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40" windowWidth="11775" windowHeight="3450" tabRatio="892" activeTab="0"/>
  </bookViews>
  <sheets>
    <sheet name="README" sheetId="1" r:id="rId1"/>
    <sheet name="GO TO" sheetId="2" r:id="rId2"/>
    <sheet name="HELP" sheetId="3" r:id="rId3"/>
    <sheet name="QUAL" sheetId="4" state="hidden" r:id="rId4"/>
    <sheet name="T1 GEN-1" sheetId="5" state="hidden" r:id="rId5"/>
    <sheet name="T1 GEN-2-3-4" sheetId="6" state="hidden" r:id="rId6"/>
    <sheet name="FED WRK" sheetId="7" state="hidden" r:id="rId7"/>
    <sheet name="NS WRK" sheetId="8" state="hidden" r:id="rId8"/>
    <sheet name="NS428" sheetId="9" state="hidden" r:id="rId9"/>
    <sheet name="NS479" sheetId="10" state="hidden" r:id="rId10"/>
    <sheet name="NS(S2)" sheetId="11" state="hidden" r:id="rId11"/>
    <sheet name="NS(S11)" sheetId="12" state="hidden" r:id="rId12"/>
    <sheet name="Sch1" sheetId="13" state="hidden" r:id="rId13"/>
    <sheet name="Sch2" sheetId="14" state="hidden" r:id="rId14"/>
    <sheet name="Sch3" sheetId="15" state="hidden" r:id="rId15"/>
    <sheet name="Sch4" sheetId="16" state="hidden" r:id="rId16"/>
    <sheet name="Sch4-2" sheetId="17" state="hidden" r:id="rId17"/>
    <sheet name="Sch5" sheetId="18" state="hidden" r:id="rId18"/>
    <sheet name="Sch7" sheetId="19" state="hidden" r:id="rId19"/>
    <sheet name="Sch8" sheetId="20" state="hidden" r:id="rId20"/>
    <sheet name="Sch9" sheetId="21" state="hidden" r:id="rId21"/>
    <sheet name="Sch11" sheetId="22" state="hidden" r:id="rId22"/>
    <sheet name="T3" sheetId="23" state="hidden" r:id="rId23"/>
    <sheet name="T4" sheetId="24" state="hidden" r:id="rId24"/>
    <sheet name="T4A" sheetId="25" state="hidden" r:id="rId25"/>
    <sheet name="T4A-OAS" sheetId="26" state="hidden" r:id="rId26"/>
    <sheet name="T4E" sheetId="27" state="hidden" r:id="rId27"/>
    <sheet name="T4F" sheetId="28" state="hidden" r:id="rId28"/>
    <sheet name="T4PS" sheetId="29" state="hidden" r:id="rId29"/>
    <sheet name="T4RIF" sheetId="30" state="hidden" r:id="rId30"/>
    <sheet name="T4RSP" sheetId="31" state="hidden" r:id="rId31"/>
    <sheet name="T778" sheetId="32" state="hidden" r:id="rId32"/>
    <sheet name="T2204" sheetId="33" state="hidden" r:id="rId33"/>
    <sheet name="T2205" sheetId="34" state="hidden" r:id="rId34"/>
    <sheet name="T5" sheetId="35" state="hidden" r:id="rId35"/>
    <sheet name="T5007" sheetId="36" state="hidden" r:id="rId36"/>
    <sheet name="MISC" sheetId="37" state="hidden" r:id="rId37"/>
  </sheets>
  <definedNames>
    <definedName name="age">'T1 GEN-1'!$R$13</definedName>
    <definedName name="_xlnm.Print_Area" localSheetId="6">'FED WRK'!$A$1:$R$126</definedName>
    <definedName name="_xlnm.Print_Area" localSheetId="10">'NS(S2)'!$A$1:$K$32</definedName>
    <definedName name="_xlnm.Print_Area" localSheetId="8">'NS428'!$A$1:$K$118</definedName>
    <definedName name="_xlnm.Print_Area" localSheetId="9">'NS479'!$A$1:$J$59</definedName>
    <definedName name="_xlnm.Print_Area" localSheetId="12">'Sch1'!$B$1:$K$107</definedName>
    <definedName name="_xlnm.Print_Area" localSheetId="14">'Sch3'!$B$1:$I$64</definedName>
    <definedName name="_xlnm.Print_Area" localSheetId="5">'T1 GEN-2-3-4'!$A$1:$L$167</definedName>
    <definedName name="_xlnm.Print_Area" localSheetId="32">'T2204'!$A$1:$K$62</definedName>
    <definedName name="_xlnm.Print_Area" localSheetId="33">'T2205'!$A$1:$I$55</definedName>
    <definedName name="_xlnm.Print_Area" localSheetId="31">'T778'!$A$1:$O$135</definedName>
    <definedName name="Sch8">'GO TO'!$B$18</definedName>
    <definedName name="sin">'T1 GEN-1'!$T$11</definedName>
    <definedName name="year">'T1 GEN-1'!$V$4</definedName>
  </definedNames>
  <calcPr fullCalcOnLoad="1"/>
</workbook>
</file>

<file path=xl/comments10.xml><?xml version="1.0" encoding="utf-8"?>
<comments xmlns="http://schemas.openxmlformats.org/spreadsheetml/2006/main">
  <authors>
    <author>Egbert Verbrugge</author>
  </authors>
  <commentList>
    <comment ref="E12" authorId="0">
      <text>
        <r>
          <rPr>
            <b/>
            <sz val="8"/>
            <rFont val="Tahoma"/>
            <family val="0"/>
          </rPr>
          <t>picked up from provincial worksheet</t>
        </r>
      </text>
    </comment>
    <comment ref="G14" authorId="0">
      <text>
        <r>
          <rPr>
            <b/>
            <sz val="8"/>
            <rFont val="Tahoma"/>
            <family val="0"/>
          </rPr>
          <t>picked up from provincial worksheet</t>
        </r>
      </text>
    </comment>
    <comment ref="G54" authorId="0">
      <text>
        <r>
          <rPr>
            <b/>
            <sz val="8"/>
            <rFont val="Tahoma"/>
            <family val="0"/>
          </rPr>
          <t>You must enter the rate from the table on page 5 if you are claiming this credit.</t>
        </r>
      </text>
    </comment>
  </commentList>
</comments>
</file>

<file path=xl/comments13.xml><?xml version="1.0" encoding="utf-8"?>
<comments xmlns="http://schemas.openxmlformats.org/spreadsheetml/2006/main">
  <authors>
    <author>Egbert Verbrugge</author>
  </authors>
  <commentList>
    <comment ref="H30" authorId="0">
      <text>
        <r>
          <rPr>
            <b/>
            <sz val="8"/>
            <rFont val="Tahoma"/>
            <family val="0"/>
          </rPr>
          <t>From Federal Worksheet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From Federal Worksheet</t>
        </r>
        <r>
          <rPr>
            <sz val="8"/>
            <rFont val="Tahoma"/>
            <family val="0"/>
          </rPr>
          <t xml:space="preserve">
</t>
        </r>
      </text>
    </comment>
    <comment ref="H36" authorId="0">
      <text>
        <r>
          <rPr>
            <b/>
            <sz val="10"/>
            <rFont val="Tahoma"/>
            <family val="2"/>
          </rPr>
          <t>From Federal Worksheet if option set on QUAL sheet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10"/>
            <rFont val="Tahoma"/>
            <family val="2"/>
          </rPr>
          <t>From Federal Worksheet.  Option must be set to YES on line 318 of QUAL sheet.</t>
        </r>
      </text>
    </comment>
    <comment ref="H24" authorId="0">
      <text>
        <r>
          <rPr>
            <b/>
            <sz val="8"/>
            <rFont val="Tahoma"/>
            <family val="0"/>
          </rPr>
          <t>Enter date of birth on the T1 GEN-1 sheet and this amount here will be picked up automatically if you qualify.</t>
        </r>
      </text>
    </comment>
    <comment ref="J68" authorId="0">
      <text>
        <r>
          <rPr>
            <b/>
            <sz val="8"/>
            <rFont val="Tahoma"/>
            <family val="0"/>
          </rPr>
          <t xml:space="preserve">This amount is picked up from the total box from the calculation below
</t>
        </r>
        <r>
          <rPr>
            <sz val="8"/>
            <rFont val="Tahoma"/>
            <family val="0"/>
          </rPr>
          <t xml:space="preserve">
</t>
        </r>
      </text>
    </comment>
    <comment ref="J95" authorId="0">
      <text>
        <r>
          <rPr>
            <b/>
            <sz val="8"/>
            <rFont val="Tahoma"/>
            <family val="0"/>
          </rPr>
          <t>You must manually enter here the total of your allowable foreign tax credit from the above calculations</t>
        </r>
      </text>
    </comment>
    <comment ref="H32" authorId="0">
      <text>
        <r>
          <rPr>
            <b/>
            <sz val="10"/>
            <rFont val="Tahoma"/>
            <family val="2"/>
          </rPr>
          <t>From T2204 if it applies</t>
        </r>
      </text>
    </comment>
    <comment ref="H34" authorId="0">
      <text>
        <r>
          <rPr>
            <b/>
            <sz val="10"/>
            <rFont val="Tahoma"/>
            <family val="2"/>
          </rPr>
          <t>From T2204 if it applies</t>
        </r>
      </text>
    </comment>
    <comment ref="H29" authorId="0">
      <text>
        <r>
          <rPr>
            <b/>
            <sz val="10"/>
            <rFont val="Tahoma"/>
            <family val="2"/>
          </rPr>
          <t>From FED WRK if option set on QUAL sheet</t>
        </r>
      </text>
    </comment>
    <comment ref="H37" authorId="0">
      <text>
        <r>
          <rPr>
            <b/>
            <sz val="10"/>
            <rFont val="Tahoma"/>
            <family val="2"/>
          </rPr>
          <t>From FED WRK if option set on QUAL sheet</t>
        </r>
      </text>
    </comment>
  </commentList>
</comments>
</file>

<file path=xl/comments15.xml><?xml version="1.0" encoding="utf-8"?>
<comments xmlns="http://schemas.openxmlformats.org/spreadsheetml/2006/main">
  <authors>
    <author>Egbert Verbrugge</author>
  </authors>
  <commentList>
    <comment ref="I62" authorId="0">
      <text>
        <r>
          <rPr>
            <b/>
            <sz val="12"/>
            <rFont val="Tahoma"/>
            <family val="2"/>
          </rPr>
          <t>If this is negative you will need to change what is automatically posted on line 127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Egbert Verbrugge</author>
  </authors>
  <commentList>
    <comment ref="B8" authorId="0">
      <text>
        <r>
          <rPr>
            <b/>
            <sz val="10"/>
            <rFont val="Tahoma"/>
            <family val="2"/>
          </rPr>
          <t>Enter the detailed data for here on Sch4-2</t>
        </r>
      </text>
    </comment>
    <comment ref="B13" authorId="0">
      <text>
        <r>
          <rPr>
            <b/>
            <sz val="10"/>
            <rFont val="Tahoma"/>
            <family val="2"/>
          </rPr>
          <t>Enter the detailed data for here on Sch4-2</t>
        </r>
      </text>
    </comment>
    <comment ref="B18" authorId="0">
      <text>
        <r>
          <rPr>
            <b/>
            <sz val="10"/>
            <rFont val="Tahoma"/>
            <family val="2"/>
          </rPr>
          <t>Enter the detailed data for here on Sch4-2</t>
        </r>
      </text>
    </comment>
  </commentList>
</comments>
</file>

<file path=xl/comments19.xml><?xml version="1.0" encoding="utf-8"?>
<comments xmlns="http://schemas.openxmlformats.org/spreadsheetml/2006/main">
  <authors>
    <author>Egbert Verbrugge</author>
  </authors>
  <commentList>
    <comment ref="G37" authorId="0">
      <text>
        <r>
          <rPr>
            <b/>
            <sz val="10"/>
            <rFont val="Tahoma"/>
            <family val="2"/>
          </rPr>
          <t xml:space="preserve">This amount is picked up from line 9 above.  You may have to change this amount depending on your 2000 Notice of Assessment
</t>
        </r>
      </text>
    </comment>
  </commentList>
</comments>
</file>

<file path=xl/comments25.xml><?xml version="1.0" encoding="utf-8"?>
<comments xmlns="http://schemas.openxmlformats.org/spreadsheetml/2006/main">
  <authors>
    <author>Egbert Verbrugge</author>
  </authors>
  <commentList>
    <comment ref="J20" authorId="0">
      <text>
        <r>
          <rPr>
            <b/>
            <sz val="10"/>
            <rFont val="Tahoma"/>
            <family val="2"/>
          </rPr>
          <t xml:space="preserve">You must calculate these amounts.  They are not on your T4A slip
</t>
        </r>
      </text>
    </comment>
    <comment ref="C20" authorId="0">
      <text>
        <r>
          <rPr>
            <b/>
            <sz val="10"/>
            <rFont val="Tahoma"/>
            <family val="2"/>
          </rPr>
          <t>You must calculate these amounts.  They are not on your T4A slip</t>
        </r>
      </text>
    </comment>
    <comment ref="C45" authorId="0">
      <text>
        <r>
          <rPr>
            <b/>
            <sz val="10"/>
            <rFont val="Tahoma"/>
            <family val="2"/>
          </rPr>
          <t xml:space="preserve">Please enter the codes if they exist on your paper T4A's.These codes (where they exist) tell MyTAX to send the data to where it properly belongs.  </t>
        </r>
      </text>
    </comment>
  </commentList>
</comments>
</file>

<file path=xl/comments29.xml><?xml version="1.0" encoding="utf-8"?>
<comments xmlns="http://schemas.openxmlformats.org/spreadsheetml/2006/main">
  <authors>
    <author>Egbert Verbrugge</author>
  </authors>
  <commentList>
    <comment ref="C17" authorId="0">
      <text>
        <r>
          <rPr>
            <b/>
            <sz val="10"/>
            <rFont val="Tahoma"/>
            <family val="2"/>
          </rPr>
          <t xml:space="preserve">From bottom right corner of T4PS form
</t>
        </r>
      </text>
    </comment>
  </commentList>
</comments>
</file>

<file path=xl/comments30.xml><?xml version="1.0" encoding="utf-8"?>
<comments xmlns="http://schemas.openxmlformats.org/spreadsheetml/2006/main">
  <authors>
    <author>Egbert Verbrugge</author>
  </authors>
  <commentList>
    <comment ref="J33" authorId="0">
      <text>
        <r>
          <rPr>
            <b/>
            <sz val="12"/>
            <rFont val="Tahoma"/>
            <family val="2"/>
          </rPr>
          <t>If this amount is non-zero, refer to CCRA info sheet RC4178.</t>
        </r>
      </text>
    </comment>
    <comment ref="J60" authorId="0">
      <text>
        <r>
          <rPr>
            <b/>
            <sz val="12"/>
            <rFont val="Tahoma"/>
            <family val="2"/>
          </rPr>
          <t>If this amount is non-zero, then refer to CCRA info sheet RC4178.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Egbert Verbrugge</author>
  </authors>
  <commentList>
    <comment ref="J50" authorId="0">
      <text>
        <r>
          <rPr>
            <b/>
            <sz val="12"/>
            <rFont val="Tahoma"/>
            <family val="2"/>
          </rPr>
          <t>Enter date of birth on the T1 GEN-1 sheet and this amount here will be picked up automatically if you qualify.</t>
        </r>
      </text>
    </comment>
    <comment ref="J68" authorId="0">
      <text>
        <r>
          <rPr>
            <b/>
            <sz val="12"/>
            <rFont val="Tahoma"/>
            <family val="2"/>
          </rPr>
          <t>If this is non-zero, you need to go to form T2205 and complete it</t>
        </r>
      </text>
    </comment>
    <comment ref="C22" authorId="0">
      <text>
        <r>
          <rPr>
            <b/>
            <sz val="11"/>
            <rFont val="Tahoma"/>
            <family val="2"/>
          </rPr>
          <t>In order to answer Yes, you must 
meet the conditions on the back of form T3012A</t>
        </r>
      </text>
    </comment>
    <comment ref="J71" authorId="0">
      <text>
        <r>
          <rPr>
            <b/>
            <sz val="12"/>
            <rFont val="Tahoma"/>
            <family val="2"/>
          </rPr>
          <t>If this amount is non-zero, you must refer to the CCRA Guide T4040 and transfer this value as directed therein.</t>
        </r>
      </text>
    </comment>
  </commentList>
</comments>
</file>

<file path=xl/comments32.xml><?xml version="1.0" encoding="utf-8"?>
<comments xmlns="http://schemas.openxmlformats.org/spreadsheetml/2006/main">
  <authors>
    <author>Egbert Verbrugge</author>
  </authors>
  <commentList>
    <comment ref="K54" authorId="0">
      <text>
        <r>
          <rPr>
            <b/>
            <sz val="10"/>
            <rFont val="Tahoma"/>
            <family val="2"/>
          </rPr>
          <t>Refer to the Child Care Expenses Deduction Infomation Sheet for the definition of earned income</t>
        </r>
        <r>
          <rPr>
            <b/>
            <sz val="8"/>
            <rFont val="Tahoma"/>
            <family val="0"/>
          </rPr>
          <t xml:space="preserve">
</t>
        </r>
      </text>
    </comment>
    <comment ref="N63" authorId="0">
      <text>
        <r>
          <rPr>
            <b/>
            <sz val="10"/>
            <rFont val="Tahoma"/>
            <family val="2"/>
          </rPr>
          <t>if &amp; when you enter a name of a supporting person in part C below, this will change to zero</t>
        </r>
      </text>
    </comment>
    <comment ref="N61" authorId="0">
      <text>
        <r>
          <rPr>
            <b/>
            <sz val="10"/>
            <rFont val="Tahoma"/>
            <family val="2"/>
          </rPr>
          <t xml:space="preserve">if you put in an amount here, then you are the supporting person with the lower net income
</t>
        </r>
      </text>
    </comment>
    <comment ref="B77" authorId="0">
      <text>
        <r>
          <rPr>
            <sz val="10"/>
            <rFont val="Tahoma"/>
            <family val="2"/>
          </rPr>
          <t xml:space="preserve">leave this blank if you are the supporting person with the lower income
</t>
        </r>
      </text>
    </comment>
    <comment ref="K128" authorId="0">
      <text>
        <r>
          <rPr>
            <b/>
            <sz val="10"/>
            <rFont val="Tahoma"/>
            <family val="2"/>
          </rPr>
          <t xml:space="preserve">Special: Same as line 236 without line 214 &amp; line 235
</t>
        </r>
      </text>
    </comment>
  </commentList>
</comments>
</file>

<file path=xl/comments33.xml><?xml version="1.0" encoding="utf-8"?>
<comments xmlns="http://schemas.openxmlformats.org/spreadsheetml/2006/main">
  <authors>
    <author>Egbert Verbrugge</author>
  </authors>
  <commentList>
    <comment ref="I23" authorId="0">
      <text>
        <r>
          <rPr>
            <sz val="10"/>
            <rFont val="Tahoma"/>
            <family val="2"/>
          </rPr>
          <t>Forced to zero if you have 
self-employment earnings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Egbert Verbrugge</author>
  </authors>
  <commentList>
    <comment ref="G51" authorId="0">
      <text>
        <r>
          <rPr>
            <b/>
            <sz val="10"/>
            <rFont val="Tahoma"/>
            <family val="2"/>
          </rPr>
          <t>If this is for the same year as this income tax return is being prepared, it will be transferred automatically to line 115 or line 130</t>
        </r>
      </text>
    </comment>
    <comment ref="G47" authorId="0">
      <text>
        <r>
          <rPr>
            <b/>
            <sz val="10"/>
            <rFont val="Tahoma"/>
            <family val="2"/>
          </rPr>
          <t>From summary section of T4RIF input form</t>
        </r>
      </text>
    </comment>
    <comment ref="C33" authorId="0">
      <text>
        <r>
          <rPr>
            <b/>
            <sz val="10"/>
            <rFont val="Tahoma"/>
            <family val="2"/>
          </rPr>
          <t>From summary section of T4RIF input form</t>
        </r>
      </text>
    </comment>
    <comment ref="E30" authorId="0">
      <text>
        <r>
          <rPr>
            <sz val="10"/>
            <rFont val="Tahoma"/>
            <family val="2"/>
          </rPr>
          <t>From summary section of T4RIF input form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Egbert Verbrugge</author>
  </authors>
  <commentList>
    <comment ref="D49" authorId="0">
      <text>
        <r>
          <rPr>
            <b/>
            <sz val="12"/>
            <rFont val="Tahoma"/>
            <family val="2"/>
          </rPr>
          <t>If you are not allowed to transfer full amount from line 147, then put in  -ve amount on one of the cells in this row</t>
        </r>
      </text>
    </comment>
    <comment ref="D52" authorId="0">
      <text>
        <r>
          <rPr>
            <b/>
            <sz val="12"/>
            <rFont val="Tahoma"/>
            <family val="2"/>
          </rPr>
          <t>Data from box 16 of your T4RSP slip only if you were age 65 or older on Dec 31,2001</t>
        </r>
      </text>
    </comment>
  </commentList>
</comments>
</file>

<file path=xl/comments5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12"/>
            <rFont val="Tahoma"/>
            <family val="2"/>
          </rPr>
          <t xml:space="preserve">This number is important.  It is used for certain calculations
</t>
        </r>
      </text>
    </comment>
  </commentList>
</comments>
</file>

<file path=xl/comments6.xml><?xml version="1.0" encoding="utf-8"?>
<comments xmlns="http://schemas.openxmlformats.org/spreadsheetml/2006/main">
  <authors>
    <author>Egbert Verbrugge</author>
  </authors>
  <commentList>
    <comment ref="I13" authorId="0">
      <text>
        <r>
          <rPr>
            <sz val="12"/>
            <rFont val="Tahoma"/>
            <family val="2"/>
          </rPr>
          <t>from MISC sheet</t>
        </r>
        <r>
          <rPr>
            <sz val="8"/>
            <rFont val="Tahoma"/>
            <family val="0"/>
          </rPr>
          <t xml:space="preserve">
</t>
        </r>
      </text>
    </comment>
    <comment ref="I21" authorId="0">
      <text>
        <r>
          <rPr>
            <sz val="12"/>
            <rFont val="Tahoma"/>
            <family val="2"/>
          </rPr>
          <t>from Schedule 4</t>
        </r>
        <r>
          <rPr>
            <sz val="8"/>
            <rFont val="Tahoma"/>
            <family val="0"/>
          </rPr>
          <t xml:space="preserve">
</t>
        </r>
      </text>
    </comment>
    <comment ref="I23" authorId="0">
      <text>
        <r>
          <rPr>
            <b/>
            <sz val="12"/>
            <rFont val="Tahoma"/>
            <family val="2"/>
          </rPr>
          <t>from Schedule 4</t>
        </r>
      </text>
    </comment>
    <comment ref="I25" authorId="0">
      <text>
        <r>
          <rPr>
            <b/>
            <sz val="12"/>
            <rFont val="Tahoma"/>
            <family val="2"/>
          </rPr>
          <t xml:space="preserve">from Schedule 3:
If this amount is &gt;$66,666. You may have to pay minimum tax.  See guide, page 30
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b/>
            <sz val="12"/>
            <rFont val="Tahoma"/>
            <family val="2"/>
          </rPr>
          <t>from MISC sheet</t>
        </r>
      </text>
    </comment>
    <comment ref="I119" authorId="0">
      <text>
        <r>
          <rPr>
            <b/>
            <sz val="10"/>
            <rFont val="Tahoma"/>
            <family val="2"/>
          </rPr>
          <t>from Federal Worksheet</t>
        </r>
      </text>
    </comment>
    <comment ref="I19" authorId="0">
      <text>
        <r>
          <rPr>
            <b/>
            <sz val="10"/>
            <rFont val="Tahoma"/>
            <family val="2"/>
          </rPr>
          <t xml:space="preserve">from MISC.
This amount may qualify for the pension income amount. See line 314 in the guide.
See also FED WRK
</t>
        </r>
      </text>
    </comment>
    <comment ref="I28" authorId="0">
      <text>
        <r>
          <rPr>
            <b/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I30" authorId="0">
      <text>
        <r>
          <rPr>
            <sz val="10"/>
            <rFont val="Tahoma"/>
            <family val="2"/>
          </rPr>
          <t>from MISC</t>
        </r>
      </text>
    </comment>
    <comment ref="I32" authorId="0">
      <text>
        <r>
          <rPr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G36" authorId="0">
      <text>
        <r>
          <rPr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G37" authorId="0">
      <text>
        <r>
          <rPr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I117" authorId="0">
      <text>
        <r>
          <rPr>
            <b/>
            <sz val="10"/>
            <rFont val="Tahoma"/>
            <family val="2"/>
          </rPr>
          <t>From T2204</t>
        </r>
      </text>
    </comment>
  </commentList>
</comments>
</file>

<file path=xl/comments7.xml><?xml version="1.0" encoding="utf-8"?>
<comments xmlns="http://schemas.openxmlformats.org/spreadsheetml/2006/main">
  <authors>
    <author>Egbert Verbrugge</author>
  </authors>
  <commentList>
    <comment ref="G67" authorId="0">
      <text>
        <r>
          <rPr>
            <b/>
            <sz val="10"/>
            <rFont val="Tahoma"/>
            <family val="2"/>
          </rPr>
          <t>THIS AMOUNT COMES FROM THE MISC SHEET</t>
        </r>
      </text>
    </comment>
  </commentList>
</comments>
</file>

<file path=xl/comments8.xml><?xml version="1.0" encoding="utf-8"?>
<comments xmlns="http://schemas.openxmlformats.org/spreadsheetml/2006/main">
  <authors>
    <author>Egbert Verbrugge</author>
  </authors>
  <commentList>
    <comment ref="G72" authorId="0">
      <text>
        <r>
          <rPr>
            <b/>
            <sz val="10"/>
            <rFont val="Tahoma"/>
            <family val="2"/>
          </rPr>
          <t>You must set the option for line 5848 to YES on the QUAL sheet for this amount to be transferred to line 5848</t>
        </r>
      </text>
    </comment>
  </commentList>
</comments>
</file>

<file path=xl/comments9.xml><?xml version="1.0" encoding="utf-8"?>
<comments xmlns="http://schemas.openxmlformats.org/spreadsheetml/2006/main">
  <authors>
    <author>Egbert Verbrugge</author>
  </authors>
  <commentList>
    <comment ref="H34" authorId="0">
      <text>
        <r>
          <rPr>
            <b/>
            <sz val="8"/>
            <rFont val="Tahoma"/>
            <family val="0"/>
          </rPr>
          <t>Use provincial worksheet</t>
        </r>
      </text>
    </comment>
    <comment ref="H35" authorId="0">
      <text>
        <r>
          <rPr>
            <b/>
            <sz val="8"/>
            <rFont val="Tahoma"/>
            <family val="0"/>
          </rPr>
          <t>User provincial worksheet</t>
        </r>
      </text>
    </comment>
    <comment ref="H41" authorId="0">
      <text>
        <r>
          <rPr>
            <b/>
            <sz val="8"/>
            <rFont val="Tahoma"/>
            <family val="0"/>
          </rPr>
          <t>User provincial worksheet</t>
        </r>
      </text>
    </comment>
    <comment ref="H42" authorId="0">
      <text>
        <r>
          <rPr>
            <b/>
            <sz val="10"/>
            <rFont val="Tahoma"/>
            <family val="2"/>
          </rPr>
          <t>Use provincial worksheet</t>
        </r>
        <r>
          <rPr>
            <b/>
            <sz val="8"/>
            <rFont val="Tahoma"/>
            <family val="0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0"/>
          </rPr>
          <t>use provincial worksheet</t>
        </r>
      </text>
    </comment>
    <comment ref="F51" authorId="0">
      <text>
        <r>
          <rPr>
            <b/>
            <sz val="8"/>
            <rFont val="Tahoma"/>
            <family val="0"/>
          </rPr>
          <t>Use provincial worksheet</t>
        </r>
      </text>
    </comment>
  </commentList>
</comments>
</file>

<file path=xl/sharedStrings.xml><?xml version="1.0" encoding="utf-8"?>
<sst xmlns="http://schemas.openxmlformats.org/spreadsheetml/2006/main" count="3229" uniqueCount="2088">
  <si>
    <t>Schedule 7</t>
  </si>
  <si>
    <t>Enter the total amount here:</t>
  </si>
  <si>
    <t>Line 15 minus line 16 (if negative, enter "0")</t>
  </si>
  <si>
    <t>Number of months</t>
  </si>
  <si>
    <t xml:space="preserve">Canada Customs   </t>
  </si>
  <si>
    <t>or overnight camps</t>
  </si>
  <si>
    <t xml:space="preserve">boarding schools  </t>
  </si>
  <si>
    <t>The maximum you can claim for expenses that relate to a stay in a boarding school (other than education costs) or an overnight</t>
  </si>
  <si>
    <r>
      <t xml:space="preserve">camp (including an overnight sports school) is </t>
    </r>
    <r>
      <rPr>
        <b/>
        <sz val="12"/>
        <rFont val="Arial MT"/>
        <family val="0"/>
      </rPr>
      <t>$175 per week</t>
    </r>
    <r>
      <rPr>
        <sz val="12"/>
        <rFont val="Arial MT"/>
        <family val="0"/>
      </rPr>
      <t xml:space="preserve"> for an eligible child included on line 1 in Part B, $250 per week for</t>
    </r>
  </si>
  <si>
    <r>
      <t xml:space="preserve">an eligible child included on line 2, and </t>
    </r>
    <r>
      <rPr>
        <b/>
        <sz val="12"/>
        <rFont val="Arial MT"/>
        <family val="0"/>
      </rPr>
      <t>$100 per week</t>
    </r>
    <r>
      <rPr>
        <sz val="12"/>
        <rFont val="Arial MT"/>
        <family val="0"/>
      </rPr>
      <t xml:space="preserve"> for an eligible child included on line 3.</t>
    </r>
  </si>
  <si>
    <t>6795</t>
  </si>
  <si>
    <t>If you claimed this dependant on line 5816, enter the amount claimed</t>
  </si>
  <si>
    <t>Allowable amount for this dependant: Line 3 minus line 4 (if negative, enter "0")</t>
  </si>
  <si>
    <t>Enter the total here:</t>
  </si>
  <si>
    <t>charitable donations shown on your T4 and T4A slips.  See line 349 in the guide for more information.</t>
  </si>
  <si>
    <t>Provincial Tuition and Educational Amounts</t>
  </si>
  <si>
    <t>Attach a copy of this schedule to your return.  See line 326 in the guide for more information.</t>
  </si>
  <si>
    <r>
      <t xml:space="preserve">Enter the result from his or her calculation for line 301 from the </t>
    </r>
    <r>
      <rPr>
        <i/>
        <sz val="12"/>
        <color indexed="8"/>
        <rFont val="Arial"/>
        <family val="2"/>
      </rPr>
      <t>Federal Worksheet*</t>
    </r>
  </si>
  <si>
    <t>Enter the result from the calculation on the Worksheet* for line 314 for your spouse</t>
  </si>
  <si>
    <t>(maximum $1000)</t>
  </si>
  <si>
    <t>Enter his or her claim for the disability amount (see line 316 in the guide)</t>
  </si>
  <si>
    <t>(column 2 minus</t>
  </si>
  <si>
    <t>Multiply the amount on line 10 by 50%</t>
  </si>
  <si>
    <t>Enter this amount on line 222 of your return and on line 310 of Schedule 1</t>
  </si>
  <si>
    <r>
      <t xml:space="preserve">Read line 127 in the </t>
    </r>
    <r>
      <rPr>
        <i/>
        <sz val="12"/>
        <color indexed="8"/>
        <rFont val="Arial"/>
        <family val="2"/>
      </rPr>
      <t>General Income Tax and Benefit Guide</t>
    </r>
    <r>
      <rPr>
        <sz val="12"/>
        <color indexed="8"/>
        <rFont val="Arial"/>
        <family val="2"/>
      </rPr>
      <t xml:space="preserve">.  For more information, read Chapter 2 in the guide called </t>
    </r>
    <r>
      <rPr>
        <i/>
        <sz val="12"/>
        <color indexed="8"/>
        <rFont val="Arial"/>
        <family val="2"/>
      </rPr>
      <t>Capital Gains</t>
    </r>
    <r>
      <rPr>
        <sz val="12"/>
        <color indexed="8"/>
        <rFont val="Arial"/>
        <family val="2"/>
      </rPr>
      <t>.</t>
    </r>
  </si>
  <si>
    <t xml:space="preserve">           see line 217 in the General guide.</t>
  </si>
  <si>
    <t xml:space="preserve"> (from dispositions)</t>
  </si>
  <si>
    <t>Adjusted cost</t>
  </si>
  <si>
    <t>base</t>
  </si>
  <si>
    <r>
      <t>1</t>
    </r>
    <r>
      <rPr>
        <sz val="12"/>
        <color indexed="8"/>
        <rFont val="Arial"/>
        <family val="2"/>
      </rPr>
      <t xml:space="preserve">. Qualified small business corporation shares </t>
    </r>
    <r>
      <rPr>
        <b/>
        <sz val="12"/>
        <color indexed="8"/>
        <rFont val="Arial"/>
        <family val="2"/>
      </rPr>
      <t>(report mutual fund units and other shares in "3" below)</t>
    </r>
  </si>
  <si>
    <t>Line 5816 - Amount for an eligible dependant</t>
  </si>
  <si>
    <t>Dependent's net income (from line 236 of his or her return)</t>
  </si>
  <si>
    <t>MyTAX does NOT allow you to enter T4A(OAS) data directly to other sheets and forms and schedules</t>
  </si>
  <si>
    <t xml:space="preserve">You must enter your T4A(OAS) data into this form.  As your enter data, it is posted to the cells in the schedules and forms </t>
  </si>
  <si>
    <t>If you have more than five T4A(OAS) forms, you can add the data from the extra ones as a sum rather than a single #.</t>
  </si>
  <si>
    <t>T4A(OAS)-2001 GENERAL DATA ENTRY</t>
  </si>
  <si>
    <t>Data
T4A(OAS) #1</t>
  </si>
  <si>
    <t>T5007</t>
  </si>
  <si>
    <t>114</t>
  </si>
  <si>
    <t>152</t>
  </si>
  <si>
    <t>If you were self-employed in 2001,</t>
  </si>
  <si>
    <t>certain credits (see the guide for details)</t>
  </si>
  <si>
    <t>enter the province or territory of</t>
  </si>
  <si>
    <t>self-employment</t>
  </si>
  <si>
    <t>Add lines 12 and 13.  Enter this amount on</t>
  </si>
  <si>
    <t>lines 235 and 422 of your  return.</t>
  </si>
  <si>
    <t xml:space="preserve">all dependants.  </t>
  </si>
  <si>
    <t>Complete Schedule 5 to provide details for each dependant.</t>
  </si>
  <si>
    <t>Line 314 - Pension income amount</t>
  </si>
  <si>
    <t>Line 318 - Disability amount transferred</t>
  </si>
  <si>
    <t>Amount from line 115 of your return</t>
  </si>
  <si>
    <t>Annuity payments from line 129 of your return</t>
  </si>
  <si>
    <t>(box 16 of your T4RSP slip) only if you were</t>
  </si>
  <si>
    <t>X</t>
  </si>
  <si>
    <t xml:space="preserve">   showing the name and social insurance number of the person who filed it and the tax year for which it was filed.</t>
  </si>
  <si>
    <t>Part C – Are you the supporting person with the higher net income?</t>
  </si>
  <si>
    <t>Complete Part C if, in 2001, the other supporting person (with the lower net income) was in a situation described below.</t>
  </si>
  <si>
    <t>Indicate the name, social insurance number, and the net income of the other supporting person and check the boxes that apply.</t>
  </si>
  <si>
    <t>Name of supporting person with the lower net income</t>
  </si>
  <si>
    <t>Line 4 (in Part B)</t>
  </si>
  <si>
    <t>If you attended school in 2001, go to Part D.</t>
  </si>
  <si>
    <t>Part D – Did you attend school in 2001?</t>
  </si>
  <si>
    <t>Complete Part D if, at any time in 2001, you attended school and either of the following situations applied to you:</t>
  </si>
  <si>
    <t>the section called "Did you or the other supporting person attend school in 2001?" on the attached information sheet.</t>
  </si>
  <si>
    <t>person were, at the same time in 2001, enrolled in an educational program described in the same section. But first, complete Part C.</t>
  </si>
  <si>
    <t>Tuition and education amounts transferred by your spouse or common-law partner:</t>
  </si>
  <si>
    <t>Part 2 - Provincial amount available to transfer to another individual</t>
  </si>
  <si>
    <t>Enter the amount from line 12</t>
  </si>
  <si>
    <t>Anuuity Payments</t>
  </si>
  <si>
    <t>Refund of Premiums</t>
  </si>
  <si>
    <t>Refund of excess contributions</t>
  </si>
  <si>
    <t>The total 23958.89 will show in the cell.  The cell status line will still show the individual amounts in the formula you entered.</t>
  </si>
  <si>
    <t>Welcome to the data entry interface for your T4PS slips.</t>
  </si>
  <si>
    <t>MyTAX does NOT allow you to enter T4PS data directly to other sheets and forms and schedules</t>
  </si>
  <si>
    <t xml:space="preserve">You must enter your T4PS data into this form.  As your enter data, it is posted to the cells in the schedules and forms </t>
  </si>
  <si>
    <t>Data
T4RSP #1</t>
  </si>
  <si>
    <t>Data
T4RSP #2</t>
  </si>
  <si>
    <t>Data
T4RSP #3</t>
  </si>
  <si>
    <t>Data
T4RSP #4</t>
  </si>
  <si>
    <t>Data
T4RSP #5</t>
  </si>
  <si>
    <t>If the dependant was under age 18 on December 31,</t>
  </si>
  <si>
    <t xml:space="preserve">  Amount from line 427 on Federal Schedule 1</t>
  </si>
  <si>
    <t>(maximum $500)</t>
  </si>
  <si>
    <t xml:space="preserve">  Amount from line 345 of your federal Schedule 9</t>
  </si>
  <si>
    <t xml:space="preserve">  Amount from line 347 of your federal Schedule 9</t>
  </si>
  <si>
    <t>Add lines 33 and 34</t>
  </si>
  <si>
    <t>Add lines 32 and 35</t>
  </si>
  <si>
    <t>33</t>
  </si>
  <si>
    <t>34</t>
  </si>
  <si>
    <t>35</t>
  </si>
  <si>
    <t>5896</t>
  </si>
  <si>
    <t>6150</t>
  </si>
  <si>
    <t>5884</t>
  </si>
  <si>
    <t>36</t>
  </si>
  <si>
    <t>30</t>
  </si>
  <si>
    <t>31</t>
  </si>
  <si>
    <t>32</t>
  </si>
  <si>
    <t>Go to Step 3 on the back</t>
  </si>
  <si>
    <t>Add lines 37 and 38</t>
  </si>
  <si>
    <r>
      <t>Information slip</t>
    </r>
    <r>
      <rPr>
        <sz val="12"/>
        <color indexed="8"/>
        <rFont val="Arial"/>
        <family val="2"/>
      </rPr>
      <t xml:space="preserve"> - Capital gains (or losses from all your T3 slips</t>
    </r>
  </si>
  <si>
    <t xml:space="preserve">  Line 25 minus line 26 (if negative, enter "0")</t>
  </si>
  <si>
    <t xml:space="preserve">  Medical expenses adjustment</t>
  </si>
  <si>
    <t xml:space="preserve">  Line 27 minus line 28 (if negative, enter "0")</t>
  </si>
  <si>
    <t>5872</t>
  </si>
  <si>
    <t>5876</t>
  </si>
  <si>
    <t>Add lines 9 through 24, and line 29</t>
  </si>
  <si>
    <t>5880</t>
  </si>
  <si>
    <t>T5007-2001 SLIPS DATA ENTRY FORM</t>
  </si>
  <si>
    <t>Welcome to the data entry interface for your T5007 slips.</t>
  </si>
  <si>
    <t>MyTAX does NOT allow you to enter T5007 data directly to other sheets and forms and schedules</t>
  </si>
  <si>
    <t xml:space="preserve">You must enter your T5007 data into this form.  As your enter data, it is posted to the cells in the schedules and forms </t>
  </si>
  <si>
    <t>where they are needed.  If you have more than one T5007 slip, then enter the amounts from each T5007.</t>
  </si>
  <si>
    <t>If you have more than five T5007 forms, you can add the data from the extra ones as a sum rather than a single #.</t>
  </si>
  <si>
    <t>Data
T5007 #1</t>
  </si>
  <si>
    <t>Data
T5007 #2</t>
  </si>
  <si>
    <t>Data
T5007 #3</t>
  </si>
  <si>
    <t>you would position the cursor to one of the data entry boxes for line 101 below, and then key in</t>
  </si>
  <si>
    <t>135</t>
  </si>
  <si>
    <t>146</t>
  </si>
  <si>
    <t>173</t>
  </si>
  <si>
    <t>176</t>
  </si>
  <si>
    <t>229</t>
  </si>
  <si>
    <t>232</t>
  </si>
  <si>
    <t>250</t>
  </si>
  <si>
    <t>Sch3</t>
  </si>
  <si>
    <t>425</t>
  </si>
  <si>
    <t>431</t>
  </si>
  <si>
    <t>433</t>
  </si>
  <si>
    <t>456</t>
  </si>
  <si>
    <t>107</t>
  </si>
  <si>
    <t>110</t>
  </si>
  <si>
    <t>174</t>
  </si>
  <si>
    <t>Sch4</t>
  </si>
  <si>
    <t>Sch7</t>
  </si>
  <si>
    <t>337</t>
  </si>
  <si>
    <t>339</t>
  </si>
  <si>
    <t>342</t>
  </si>
  <si>
    <t>T1129</t>
  </si>
  <si>
    <t>* Include your transfers, and contributions that you are designating as a repayment under the HBP or LLP.</t>
  </si>
  <si>
    <t xml:space="preserve">  See the guide for the list of contributions to exclude.</t>
  </si>
  <si>
    <t>Enter the amount from box 25 of all T4RSP slips</t>
  </si>
  <si>
    <t xml:space="preserve"> 5000-S7</t>
  </si>
  <si>
    <t>Schedule 8</t>
  </si>
  <si>
    <t>on Self-Employment and Other Earnings</t>
  </si>
  <si>
    <t>Complete this schedule to determine the amount of your Canada Pension Plan (CPP) contributions if:</t>
  </si>
  <si>
    <t xml:space="preserve"> - you reported self-employment income on lines 135 to 143 of your return;</t>
  </si>
  <si>
    <t xml:space="preserve"> - you reported business or professional income from a partnership on line 122 of your return; or</t>
  </si>
  <si>
    <t xml:space="preserve"> - you made an election on Form CPT20 to pay additional CPP contributions on other earnings.</t>
  </si>
  <si>
    <t>Employment earnings not shown on a T4 slip on which you elect to pay additional CPP contributions</t>
  </si>
  <si>
    <t>Add lines 1 and 2 (if the result is negative, enter "0")</t>
  </si>
  <si>
    <t>(this amount already includes the amount entered on line 11 of Form CPT20, if it applies)</t>
  </si>
  <si>
    <t>Installments</t>
  </si>
  <si>
    <t>See the "Should you be paying your taxes by installments?"</t>
  </si>
  <si>
    <t>You may have to pay your 2002 taxes by installments if the</t>
  </si>
  <si>
    <t>T4RSP-2001 SLIPS DATA ENTRY FOR</t>
  </si>
  <si>
    <t>you would position the cursor the data entry line 129 below, and then key in</t>
  </si>
  <si>
    <t>Welcome to the data entry interface for your T5 slips.</t>
  </si>
  <si>
    <t>MyTAX does NOT allow you to enter T5 data directly to other sheets and forms and schedules</t>
  </si>
  <si>
    <t>this area                     487                 488</t>
  </si>
  <si>
    <t>Welcome to the data entry interface for your T4A(OAS) slips.</t>
  </si>
  <si>
    <t>where they are needed.  If you have more than one T4E slip, then enter the amounts from each T4E.</t>
  </si>
  <si>
    <t>(5digits)</t>
  </si>
  <si>
    <t>her parent or grandparent, or to your parent or grandparent, enter on this line, the provincial amount you have</t>
  </si>
  <si>
    <t>designated to transfer on the back of your Form T2202 or T2202A.</t>
  </si>
  <si>
    <t>5920</t>
  </si>
  <si>
    <t>235</t>
  </si>
  <si>
    <t>422</t>
  </si>
  <si>
    <t>Allowable charitable donations and government gifts</t>
  </si>
  <si>
    <t>Cultural and ecological gifts  (see line 349 in the guide)</t>
  </si>
  <si>
    <t xml:space="preserve">Add lines 340 and 342 </t>
  </si>
  <si>
    <t>If this return is for a deceased</t>
  </si>
  <si>
    <t>person, enter the date of death:</t>
  </si>
  <si>
    <t>entry</t>
  </si>
  <si>
    <t>of departure</t>
  </si>
  <si>
    <t>Do not use this area</t>
  </si>
  <si>
    <t>X $60</t>
  </si>
  <si>
    <t>X $200</t>
  </si>
  <si>
    <t>If you completed Part C: Line 13 (in Part C) minus line 6 (in Part B)</t>
  </si>
  <si>
    <t>Enter the amount from line 9 (in Part B) or line 14 (in Part C), whichever applies to you</t>
  </si>
  <si>
    <t>Employment Insurance Overpayment (enter your excess contributions)</t>
  </si>
  <si>
    <t>Refundable medical expense supplement (see the guide)</t>
  </si>
  <si>
    <t>Refund of investment tax credit (complete Form T2038(IND)</t>
  </si>
  <si>
    <t>Refund 484</t>
  </si>
  <si>
    <t xml:space="preserve">enter one of the following amounts: </t>
  </si>
  <si>
    <t xml:space="preserve">Be sure to attach a copy of this schedule to your return along with those official receipts that support your claim.  Remember, you may have </t>
  </si>
  <si>
    <r>
      <t xml:space="preserve">Enter your </t>
    </r>
    <r>
      <rPr>
        <b/>
        <sz val="12"/>
        <color indexed="8"/>
        <rFont val="Arial"/>
        <family val="2"/>
      </rPr>
      <t>net income</t>
    </r>
    <r>
      <rPr>
        <sz val="12"/>
        <color indexed="8"/>
        <rFont val="Arial"/>
        <family val="2"/>
      </rPr>
      <t xml:space="preserve"> from line 236 of your return</t>
    </r>
  </si>
  <si>
    <r>
      <t xml:space="preserve"> (from Chart 2 in the pamphlet called </t>
    </r>
    <r>
      <rPr>
        <i/>
        <sz val="12"/>
        <color indexed="8"/>
        <rFont val="Arial"/>
        <family val="2"/>
      </rPr>
      <t>Gifts and Income Tax</t>
    </r>
    <r>
      <rPr>
        <sz val="12"/>
        <color indexed="8"/>
        <rFont val="Arial"/>
        <family val="2"/>
      </rPr>
      <t>)</t>
    </r>
  </si>
  <si>
    <t>e) The other supporting person was confined to a prison or similar institution for a period of at least two weeks.</t>
  </si>
  <si>
    <t>x 2.5% =</t>
  </si>
  <si>
    <t>476 of your return</t>
  </si>
  <si>
    <t>Line 1 minus line 4</t>
  </si>
  <si>
    <t>Base Amount</t>
  </si>
  <si>
    <t>Dependant's net income</t>
  </si>
  <si>
    <t xml:space="preserve">Line 235 - Social benefits repayment </t>
  </si>
  <si>
    <t>Amount from line 113 of your return</t>
  </si>
  <si>
    <t>Complete Schedule 5 to provide details for this dependant.</t>
  </si>
  <si>
    <t>Amount from line 146 of your return</t>
  </si>
  <si>
    <t>Add lines 1 and 2</t>
  </si>
  <si>
    <t>Line 306 - Amount for Infirm dependants</t>
  </si>
  <si>
    <t>Line 3 minus line 4 (if negative, enter "0")</t>
  </si>
  <si>
    <t>age 18 or older</t>
  </si>
  <si>
    <t>you cannot make a claim.</t>
  </si>
  <si>
    <t>Amount from line 234 of your return</t>
  </si>
  <si>
    <t>Line 6 minus line 7</t>
  </si>
  <si>
    <t>Enter the amount from box 30</t>
  </si>
  <si>
    <t>Enter the amount from line 234 of your return</t>
  </si>
  <si>
    <t>Minus: Base amount</t>
  </si>
  <si>
    <t>Line 4 minus line 5 (if negative, enter "0")</t>
  </si>
  <si>
    <t>Enter the amount from line 3 or 6, whichever</t>
  </si>
  <si>
    <t>is less</t>
  </si>
  <si>
    <t>EI benefits repayment:</t>
  </si>
  <si>
    <t>Multiply the amount on line 7 by 30%</t>
  </si>
  <si>
    <r>
      <t xml:space="preserve">Provincial Worksheet </t>
    </r>
    <r>
      <rPr>
        <i/>
        <sz val="18"/>
        <color indexed="8"/>
        <rFont val="Arial"/>
        <family val="2"/>
      </rPr>
      <t>(continued)</t>
    </r>
  </si>
  <si>
    <r>
      <t xml:space="preserve">Line 5844 - Disability amount </t>
    </r>
    <r>
      <rPr>
        <sz val="14"/>
        <color indexed="8"/>
        <rFont val="Arial"/>
        <family val="2"/>
      </rPr>
      <t>(calculation if you were</t>
    </r>
    <r>
      <rPr>
        <b/>
        <sz val="14"/>
        <color indexed="8"/>
        <rFont val="Arial"/>
        <family val="2"/>
      </rPr>
      <t xml:space="preserve"> under age 18</t>
    </r>
    <r>
      <rPr>
        <sz val="14"/>
        <color indexed="8"/>
        <rFont val="Arial"/>
        <family val="2"/>
      </rPr>
      <t xml:space="preserve"> on December 31, 2001)</t>
    </r>
  </si>
  <si>
    <t>Total child care and attendant care expenses claimed for you by anyone</t>
  </si>
  <si>
    <t>T4A-2001 DATA SUMMARY</t>
  </si>
  <si>
    <t>T1 GEN-2</t>
  </si>
  <si>
    <t>Spreadsheet</t>
  </si>
  <si>
    <t>Total Amt</t>
  </si>
  <si>
    <t>104</t>
  </si>
  <si>
    <t>T1 GEN-3</t>
  </si>
  <si>
    <t>314</t>
  </si>
  <si>
    <r>
      <t xml:space="preserve">Born in </t>
    </r>
    <r>
      <rPr>
        <b/>
        <sz val="12"/>
        <rFont val="Arial MT"/>
        <family val="0"/>
      </rPr>
      <t>1995 or later</t>
    </r>
    <r>
      <rPr>
        <sz val="12"/>
        <rFont val="Arial MT"/>
        <family val="0"/>
      </rPr>
      <t xml:space="preserve"> for whom the disability amount cannot be claimed</t>
    </r>
  </si>
  <si>
    <r>
      <t xml:space="preserve">Born in </t>
    </r>
    <r>
      <rPr>
        <b/>
        <sz val="12"/>
        <rFont val="Arial MT"/>
        <family val="0"/>
      </rPr>
      <t>2001 and earlier</t>
    </r>
    <r>
      <rPr>
        <sz val="12"/>
        <rFont val="Arial MT"/>
        <family val="0"/>
      </rPr>
      <t xml:space="preserve"> for whom the disability amount can be claimed *</t>
    </r>
  </si>
  <si>
    <r>
      <t xml:space="preserve">Born in </t>
    </r>
    <r>
      <rPr>
        <b/>
        <sz val="12"/>
        <rFont val="Arial MT"/>
        <family val="0"/>
      </rPr>
      <t>1985 to 1994</t>
    </r>
    <r>
      <rPr>
        <sz val="12"/>
        <rFont val="Arial MT"/>
        <family val="0"/>
      </rPr>
      <t xml:space="preserve"> (or born in 1984 and earlier with a mental or physical</t>
    </r>
  </si>
  <si>
    <t>x $7,000</t>
  </si>
  <si>
    <t>x $10,000</t>
  </si>
  <si>
    <t>x $4,000</t>
  </si>
  <si>
    <r>
      <t xml:space="preserve">Enter your </t>
    </r>
    <r>
      <rPr>
        <b/>
        <sz val="12"/>
        <rFont val="Arial MT"/>
        <family val="0"/>
      </rPr>
      <t>total child care expenses</t>
    </r>
    <r>
      <rPr>
        <sz val="12"/>
        <rFont val="Arial MT"/>
        <family val="0"/>
      </rPr>
      <t xml:space="preserve"> from Part A</t>
    </r>
  </si>
  <si>
    <r>
      <t xml:space="preserve">Enter your </t>
    </r>
    <r>
      <rPr>
        <b/>
        <sz val="12"/>
        <rFont val="Arial MT"/>
        <family val="0"/>
      </rPr>
      <t>earned income</t>
    </r>
  </si>
  <si>
    <t>x  2/3</t>
  </si>
  <si>
    <r>
      <t xml:space="preserve">Enter the amount from line 4, 5, or 6, whichever is </t>
    </r>
    <r>
      <rPr>
        <b/>
        <sz val="12"/>
        <rFont val="Arial MT"/>
        <family val="0"/>
      </rPr>
      <t>the least</t>
    </r>
  </si>
  <si>
    <t>Canada</t>
  </si>
  <si>
    <t xml:space="preserve">If none of these situations applies to you, do not complete this schedule.  </t>
  </si>
  <si>
    <t>Just enter your total RRSP contributions here:</t>
  </si>
  <si>
    <t>Unused RRSP contributions from the last line of your 2001 "RRSP Deduction Limit Statement" on your 2000</t>
  </si>
  <si>
    <r>
      <t xml:space="preserve">Notice of Assessment </t>
    </r>
    <r>
      <rPr>
        <sz val="12"/>
        <color indexed="8"/>
        <rFont val="Arial"/>
        <family val="2"/>
      </rPr>
      <t>or</t>
    </r>
    <r>
      <rPr>
        <i/>
        <sz val="12"/>
        <color indexed="8"/>
        <rFont val="Arial"/>
        <family val="2"/>
      </rPr>
      <t xml:space="preserve"> Notice of Reassessment</t>
    </r>
  </si>
  <si>
    <t>Total contributions * made to your RRSP or your spouse or common-law partner's RRSP from:</t>
  </si>
  <si>
    <t>Pension income amount:</t>
  </si>
  <si>
    <t>Disability amount:</t>
  </si>
  <si>
    <t>Add lines 1 to 4</t>
  </si>
  <si>
    <t>Line 5 minus line 8 (if negative, enter "0")</t>
  </si>
  <si>
    <t>Repayments under the HBP and LLP for 2001 (see the section on lines 6 and 7 at line 208 in the guide)</t>
  </si>
  <si>
    <t>you would position the cursor the data entry line 115 below, and then key in</t>
  </si>
  <si>
    <t>Taxable amounts</t>
  </si>
  <si>
    <t>English</t>
  </si>
  <si>
    <t>Francais</t>
  </si>
  <si>
    <t>Votre langue de correspondance:</t>
  </si>
  <si>
    <t>P.O. Box, R.R.</t>
  </si>
  <si>
    <t>Check the box that applies to your marital status on December 31,2001</t>
  </si>
  <si>
    <t>City</t>
  </si>
  <si>
    <t>Prov./Ter.</t>
  </si>
  <si>
    <t>Postal code</t>
  </si>
  <si>
    <t>(see the "Marital status" section in the guide for details)</t>
  </si>
  <si>
    <t>Married</t>
  </si>
  <si>
    <t>Widowed</t>
  </si>
  <si>
    <t>Divorced</t>
  </si>
  <si>
    <t>Separated</t>
  </si>
  <si>
    <t>Single</t>
  </si>
  <si>
    <t>Information about your residence</t>
  </si>
  <si>
    <t>Information about your spouse or</t>
  </si>
  <si>
    <t>common-law partner</t>
  </si>
  <si>
    <t>(if you checked box 1 or 2 above)</t>
  </si>
  <si>
    <t>STATEMENT OF TRUST INCOME ALLOCATIONS AND DESIGNATIONS</t>
  </si>
  <si>
    <t>T3-2001 SLIPS DATA ENTRY FORM</t>
  </si>
  <si>
    <t>Welcome to the data entry interface for your T3 slips.</t>
  </si>
  <si>
    <t>If you have more than one data slip, then enter the amounts from each information slip into one set of columns.</t>
  </si>
  <si>
    <t>Cell Background Colour</t>
  </si>
  <si>
    <t>Provincial sheets background colour</t>
  </si>
  <si>
    <t>The tab key will move you to the next cell that can accept user data.</t>
  </si>
  <si>
    <r>
      <t xml:space="preserve">We define </t>
    </r>
    <r>
      <rPr>
        <b/>
        <sz val="12"/>
        <rFont val="Arial MT"/>
        <family val="0"/>
      </rPr>
      <t xml:space="preserve">child care expenses, eligible child, supporting person, net income, </t>
    </r>
    <r>
      <rPr>
        <sz val="12"/>
        <rFont val="Arial MT"/>
        <family val="0"/>
      </rPr>
      <t>and</t>
    </r>
    <r>
      <rPr>
        <b/>
        <sz val="12"/>
        <rFont val="Arial MT"/>
        <family val="0"/>
      </rPr>
      <t xml:space="preserve"> earned income</t>
    </r>
    <r>
      <rPr>
        <sz val="12"/>
        <rFont val="Arial MT"/>
        <family val="0"/>
      </rPr>
      <t xml:space="preserve"> on the attached information sheet.</t>
    </r>
  </si>
  <si>
    <r>
      <t xml:space="preserve">For more details, see Interpretation Bulletin IT-495, </t>
    </r>
    <r>
      <rPr>
        <i/>
        <sz val="12"/>
        <rFont val="Arial MT"/>
        <family val="0"/>
      </rPr>
      <t>Child Care Expenses.</t>
    </r>
  </si>
  <si>
    <r>
      <t xml:space="preserve">If you are the only supporting person, or you are the supporting person with the </t>
    </r>
    <r>
      <rPr>
        <b/>
        <sz val="12"/>
        <rFont val="Arial MT"/>
        <family val="0"/>
      </rPr>
      <t>lower net income</t>
    </r>
    <r>
      <rPr>
        <sz val="12"/>
        <rFont val="Arial MT"/>
        <family val="0"/>
      </rPr>
      <t>, complete Parts A and B.</t>
    </r>
  </si>
  <si>
    <r>
      <t xml:space="preserve">If you are the supporting person with the </t>
    </r>
    <r>
      <rPr>
        <b/>
        <sz val="12"/>
        <rFont val="Arial MT"/>
        <family val="0"/>
      </rPr>
      <t>higher net income</t>
    </r>
    <r>
      <rPr>
        <sz val="12"/>
        <rFont val="Arial MT"/>
        <family val="0"/>
      </rPr>
      <t>, complete Parts A, B, and C.</t>
    </r>
  </si>
  <si>
    <r>
      <t xml:space="preserve">If you </t>
    </r>
    <r>
      <rPr>
        <b/>
        <sz val="12"/>
        <rFont val="Arial MT"/>
        <family val="0"/>
      </rPr>
      <t>attended school</t>
    </r>
    <r>
      <rPr>
        <sz val="12"/>
        <rFont val="Arial MT"/>
        <family val="0"/>
      </rPr>
      <t xml:space="preserve"> in 2001, read Part D to see if it applies.</t>
    </r>
  </si>
  <si>
    <t>CHILD CARE EXPENSES DEDUCTION FOR 2001</t>
  </si>
  <si>
    <t>Part A – Total child care expenses</t>
  </si>
  <si>
    <t>whether or not you had child care expenses for all of them.</t>
  </si>
  <si>
    <t>First name of each</t>
  </si>
  <si>
    <t>child for whom</t>
  </si>
  <si>
    <t>payments were made</t>
  </si>
  <si>
    <t>Child care</t>
  </si>
  <si>
    <t>expenses paid</t>
  </si>
  <si>
    <t>(see note)</t>
  </si>
  <si>
    <t xml:space="preserve">Line 5 minus line 6 (if negative, enter "0") </t>
  </si>
  <si>
    <t>Total EI insurable earnings (box 24 or, if blank, box 14 of your T4 slips and box 16 of your T4F slips)</t>
  </si>
  <si>
    <t>Part2,2</t>
  </si>
  <si>
    <t>PartII-2</t>
  </si>
  <si>
    <t>claimed for you by anyone</t>
  </si>
  <si>
    <t>Line 1 minus line 4 (if negative, enter "0")</t>
  </si>
  <si>
    <t>(maximum claim $9,500) unless this chart is being completed for</t>
  </si>
  <si>
    <t>the chart for line 318.</t>
  </si>
  <si>
    <t>Enter the amount on line 7 on line 410 of Schedule 1.</t>
  </si>
  <si>
    <t>supplement</t>
  </si>
  <si>
    <t>Line 452 - Refundable medical expense</t>
  </si>
  <si>
    <t>partner from page 1 of your return</t>
  </si>
  <si>
    <t>Line 3 minus line 4 (if negative, enter "0"</t>
  </si>
  <si>
    <t>Enter $520, or 25% of the amount on line 332</t>
  </si>
  <si>
    <t>of Schedule 1, whichever is less</t>
  </si>
  <si>
    <t>Multiply the amount on line 5 by 5%</t>
  </si>
  <si>
    <t>Line 6 minus line 7 (if negative, enter "0")</t>
  </si>
  <si>
    <t>Enter this amount on line 452 of your return.</t>
  </si>
  <si>
    <t>2</t>
  </si>
  <si>
    <t>3</t>
  </si>
  <si>
    <t>4</t>
  </si>
  <si>
    <t>5</t>
  </si>
  <si>
    <t>6</t>
  </si>
  <si>
    <t>8</t>
  </si>
  <si>
    <t>more, you cannot make a claim.</t>
  </si>
  <si>
    <t>where they are needed.  If you have more than one T4PS slip, then enter the amounts from each T4PS.</t>
  </si>
  <si>
    <t>If you have more than five T4PS forms, you can add the data from the extra ones as a sum rather than a single #.</t>
  </si>
  <si>
    <t>Data
T4PS #1</t>
  </si>
  <si>
    <t>Data
T4PS #2</t>
  </si>
  <si>
    <t>Data
T4PS #3</t>
  </si>
  <si>
    <t>Data
T4PS #4</t>
  </si>
  <si>
    <t>Data
T4A(OAS) #2</t>
  </si>
  <si>
    <t>Data
T4A(OAS) #3</t>
  </si>
  <si>
    <t>Data
T4A(OAS) #4</t>
  </si>
  <si>
    <t>Data
T4A(OAS) #5</t>
  </si>
  <si>
    <t>where they are needed.  If you have more than one T4A(OAS) slip, then enter the amounts from each T4A(OAS).</t>
  </si>
  <si>
    <t xml:space="preserve"> into one set of columns.</t>
  </si>
  <si>
    <t>you would position the cursor the data entry line 113 below, and then key in</t>
  </si>
  <si>
    <t>Line 5820 - Amount for infirm dependants age 18 or older</t>
  </si>
  <si>
    <t>Dependant's net income (line 236 of his or her return)</t>
  </si>
  <si>
    <t>Provincial Amounts Transferred</t>
  </si>
  <si>
    <t>From Your Spouse or Common-law Partner</t>
  </si>
  <si>
    <t>below.  Attach a copy of this schedule to your return.</t>
  </si>
  <si>
    <t>Enter the amount from line 13</t>
  </si>
  <si>
    <t>Line 17 minus line 18</t>
  </si>
  <si>
    <t>Repayment Rate</t>
  </si>
  <si>
    <t>Total benefits paid</t>
  </si>
  <si>
    <t>Regular and other benefits paid</t>
  </si>
  <si>
    <t>Specific benefits paid</t>
  </si>
  <si>
    <t xml:space="preserve">Enter this amount on line 326 of your return. </t>
  </si>
  <si>
    <t xml:space="preserve"> 5000-S2</t>
  </si>
  <si>
    <t xml:space="preserve">  </t>
  </si>
  <si>
    <t xml:space="preserve">Schedule 3 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</si>
  <si>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</si>
  <si>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</si>
  <si>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</si>
  <si>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</si>
  <si>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</si>
  <si>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>Year of</t>
  </si>
  <si>
    <t>Proceeds of</t>
  </si>
  <si>
    <t>Outlays &amp; expenses</t>
  </si>
  <si>
    <t>Gain (or loss)</t>
  </si>
  <si>
    <t>acquisition</t>
  </si>
  <si>
    <t>disposition</t>
  </si>
  <si>
    <t>Total tuition and education amounts claimed for 2001:  Add lines 10 and 12</t>
  </si>
  <si>
    <t xml:space="preserve"> - determine the amount, if any, available for you to carry forward to a future year.</t>
  </si>
  <si>
    <t>Total charitable donations and government gifts</t>
  </si>
  <si>
    <t>X 75% =</t>
  </si>
  <si>
    <t xml:space="preserve">         and continue completing the schedule from line 340.</t>
  </si>
  <si>
    <t>Gifts of depreciable property</t>
  </si>
  <si>
    <t>Add lines 3 and 4</t>
  </si>
  <si>
    <t>X 25% =</t>
  </si>
  <si>
    <t xml:space="preserve">    (report dispositions for which you received an information slip on line 174 or 176)</t>
  </si>
  <si>
    <t>4. Real estate, depreciable  property, and other properties</t>
  </si>
  <si>
    <t>5. Bonds, debentures, promissory notes, and other similar properties</t>
  </si>
  <si>
    <t xml:space="preserve">Subtract: Unapplied LPP losses from other years </t>
  </si>
  <si>
    <t xml:space="preserve">               against LPP gains.</t>
  </si>
  <si>
    <t>Capital gains deferral for investment in small business (see the guide called Capital Gains)</t>
  </si>
  <si>
    <t>161</t>
  </si>
  <si>
    <r>
      <t>Note</t>
    </r>
    <r>
      <rPr>
        <sz val="12"/>
        <color indexed="8"/>
        <rFont val="Arial"/>
        <family val="2"/>
      </rPr>
      <t>: You can only apply LPP losses</t>
    </r>
  </si>
  <si>
    <r>
      <t xml:space="preserve">Information slips - </t>
    </r>
    <r>
      <rPr>
        <sz val="12"/>
        <color indexed="8"/>
        <rFont val="Arial"/>
        <family val="2"/>
      </rPr>
      <t>Capital gains (or losses) from all your T3, T5, T5013, and T4PS slips</t>
    </r>
  </si>
  <si>
    <t xml:space="preserve">Amounts deemed received by the </t>
  </si>
  <si>
    <t>annuitant; Deregistration</t>
  </si>
  <si>
    <t>Spousal or common-law partner RRIF</t>
  </si>
  <si>
    <t>Social Insurance Number</t>
  </si>
  <si>
    <t>Tax-paid amount</t>
  </si>
  <si>
    <t>Excess Amount</t>
  </si>
  <si>
    <t>T4RIF</t>
  </si>
  <si>
    <t>T5</t>
  </si>
  <si>
    <t>Add lines 40 through 43</t>
  </si>
  <si>
    <t>Tuition and education amounts (attach a completed Schedule 11)</t>
  </si>
  <si>
    <t>Subtotal</t>
  </si>
  <si>
    <t>Refund or Balance owing</t>
  </si>
  <si>
    <t>Allowable credit</t>
  </si>
  <si>
    <t>Social benefits repayment (enter the amount from line 235)</t>
  </si>
  <si>
    <t xml:space="preserve">Add lines 420 to 428 </t>
  </si>
  <si>
    <r>
      <t xml:space="preserve">This is your </t>
    </r>
    <r>
      <rPr>
        <b/>
        <sz val="12"/>
        <color indexed="8"/>
        <rFont val="Arial"/>
        <family val="2"/>
      </rPr>
      <t>total payable</t>
    </r>
  </si>
  <si>
    <t>Part XII.2 trust tax credit (box 38 on all T3 slips)</t>
  </si>
  <si>
    <t xml:space="preserve">Add lines 437 to 479  </t>
  </si>
  <si>
    <r>
      <t xml:space="preserve">These are your </t>
    </r>
    <r>
      <rPr>
        <b/>
        <sz val="12"/>
        <color indexed="8"/>
        <rFont val="Arial"/>
        <family val="2"/>
      </rPr>
      <t>total credits.</t>
    </r>
  </si>
  <si>
    <t>Line 435 minus line 482</t>
  </si>
  <si>
    <t>Enter the amount below  on whichever line applies.</t>
  </si>
  <si>
    <t>We do not charge or refund a difference of less than $2.</t>
  </si>
  <si>
    <t>Balance owing</t>
  </si>
  <si>
    <t>Amount enclosed</t>
  </si>
  <si>
    <t xml:space="preserve">         </t>
  </si>
  <si>
    <t>T1-2001</t>
  </si>
  <si>
    <t>Federal Worksheet</t>
  </si>
  <si>
    <t>If your dependant's net income for 2001 was $8466 or more,</t>
  </si>
  <si>
    <t>Net income of your spouse or common-law</t>
  </si>
  <si>
    <t>1 No</t>
  </si>
  <si>
    <t>Net federal tax: Complete Schedule 1 and enter the amount from line 19 of that schedule</t>
  </si>
  <si>
    <t>Interest and other investment income (complete Schedule 4)</t>
  </si>
  <si>
    <t>Federal Tuition and Educational Amounts</t>
  </si>
  <si>
    <r>
      <t>If you are a student</t>
    </r>
    <r>
      <rPr>
        <sz val="12"/>
        <color indexed="8"/>
        <rFont val="Arial"/>
        <family val="2"/>
      </rPr>
      <t>, complete this schedule to:</t>
    </r>
  </si>
  <si>
    <t xml:space="preserve"> - calculate your tuition and educational amounts to claim on line 323 of Schedule 1; and</t>
  </si>
  <si>
    <r>
      <t xml:space="preserve">In both cases, attach a copy of this schedule to </t>
    </r>
    <r>
      <rPr>
        <b/>
        <sz val="12"/>
        <color indexed="8"/>
        <rFont val="Arial"/>
        <family val="2"/>
      </rPr>
      <t xml:space="preserve">your </t>
    </r>
    <r>
      <rPr>
        <sz val="12"/>
        <color indexed="8"/>
        <rFont val="Arial"/>
        <family val="2"/>
      </rPr>
      <t>return.</t>
    </r>
  </si>
  <si>
    <t>Transferring your unused 2001 amounts:</t>
  </si>
  <si>
    <t>Note:</t>
  </si>
  <si>
    <t>TAKE IT FROM APPROPRIATE MISC CELL.</t>
  </si>
  <si>
    <t>THIS SUMMARY DATA IS PICKED UP</t>
  </si>
  <si>
    <t>BY THE MISC SHEET.</t>
  </si>
  <si>
    <t>MISC TOTALS UP THE DATA FROM ALL</t>
  </si>
  <si>
    <t>THE INPUT SHEETS AND ALLOCATES IT.</t>
  </si>
  <si>
    <t>THE T1 &amp; SCH LINES THAT NEED THE DATA</t>
  </si>
  <si>
    <t>Data
T4PS #5</t>
  </si>
  <si>
    <t>T4PS-2001 GENERAL DATA ENTRY</t>
  </si>
  <si>
    <t xml:space="preserve"> For example, if you have the following amounts in three box 35's:  21500.00, 1467.33, 991.56, </t>
  </si>
  <si>
    <t>you would position the cursor the data entry line 104 below, and then key in</t>
  </si>
  <si>
    <t>Welcome to the data entry interface for your T4RSP slips.</t>
  </si>
  <si>
    <t>Attach your personal label here.  Correct any wrong information.</t>
  </si>
  <si>
    <t>Information about you</t>
  </si>
  <si>
    <t>Line 5 minus line 6 (if negative, enter "0")</t>
  </si>
  <si>
    <t>Schedule 11</t>
  </si>
  <si>
    <t>See line 323 in the guide for more information</t>
  </si>
  <si>
    <t>count each month only once to a maximum of 12 months in total</t>
  </si>
  <si>
    <r>
      <t xml:space="preserve">  Enter the number of months from Column </t>
    </r>
    <r>
      <rPr>
        <b/>
        <sz val="12"/>
        <color indexed="8"/>
        <rFont val="Arial"/>
        <family val="2"/>
      </rPr>
      <t>B</t>
    </r>
    <r>
      <rPr>
        <sz val="12"/>
        <color indexed="8"/>
        <rFont val="Arial"/>
        <family val="2"/>
      </rPr>
      <t xml:space="preserve"> </t>
    </r>
  </si>
  <si>
    <r>
      <t xml:space="preserve">  Enter the number of months from Column </t>
    </r>
    <r>
      <rPr>
        <b/>
        <sz val="12"/>
        <color indexed="8"/>
        <rFont val="Arial"/>
        <family val="2"/>
      </rPr>
      <t>C</t>
    </r>
    <r>
      <rPr>
        <sz val="12"/>
        <color indexed="8"/>
        <rFont val="Arial"/>
        <family val="2"/>
      </rPr>
      <t xml:space="preserve"> </t>
    </r>
  </si>
  <si>
    <t xml:space="preserve">Total tuition and education amounts:  Add lines 1 and 5 </t>
  </si>
  <si>
    <t>Taxable income from line 260 of your return</t>
  </si>
  <si>
    <t>Total of lines 300 to 318 of your return</t>
  </si>
  <si>
    <t>Line 7 minus line 8 (if negative, equals "0")</t>
  </si>
  <si>
    <r>
      <t xml:space="preserve">Enter the amount from line 1 or line 9, whichever is </t>
    </r>
    <r>
      <rPr>
        <b/>
        <sz val="12"/>
        <color indexed="8"/>
        <rFont val="Arial"/>
        <family val="2"/>
      </rPr>
      <t>less</t>
    </r>
    <r>
      <rPr>
        <sz val="12"/>
        <color indexed="8"/>
        <rFont val="Arial"/>
        <family val="2"/>
      </rPr>
      <t xml:space="preserve"> </t>
    </r>
  </si>
  <si>
    <t xml:space="preserve">Line 9 minus line 10  </t>
  </si>
  <si>
    <r>
      <t xml:space="preserve">Enter the amount from line 5 or line 11, whichever is </t>
    </r>
    <r>
      <rPr>
        <b/>
        <sz val="12"/>
        <color indexed="8"/>
        <rFont val="Arial"/>
        <family val="2"/>
      </rPr>
      <t>less</t>
    </r>
    <r>
      <rPr>
        <sz val="12"/>
        <color indexed="8"/>
        <rFont val="Arial"/>
        <family val="2"/>
      </rPr>
      <t xml:space="preserve"> </t>
    </r>
  </si>
  <si>
    <t xml:space="preserve">Total unused tuition and education amounts: Line 6 minus line 13 </t>
  </si>
  <si>
    <t>Attendant care expenses</t>
  </si>
  <si>
    <t>5832</t>
  </si>
  <si>
    <t>5836</t>
  </si>
  <si>
    <t>5840</t>
  </si>
  <si>
    <t>5844</t>
  </si>
  <si>
    <t>5848</t>
  </si>
  <si>
    <t>5852</t>
  </si>
  <si>
    <t>5856</t>
  </si>
  <si>
    <t>5860</t>
  </si>
  <si>
    <t>5864</t>
  </si>
  <si>
    <t>Your authorization is needed each year.  This information will be used for electoral purposes only.</t>
  </si>
  <si>
    <t>Goods and services tax / Harmonized sales tax (GST/HST) credit application</t>
  </si>
  <si>
    <t>5824</t>
  </si>
  <si>
    <t>5828</t>
  </si>
  <si>
    <t>15</t>
  </si>
  <si>
    <t>21</t>
  </si>
  <si>
    <t>23</t>
  </si>
  <si>
    <t>Amounts deemed received on</t>
  </si>
  <si>
    <t>deregistration</t>
  </si>
  <si>
    <t>Other income or deductions</t>
  </si>
  <si>
    <t>129,232</t>
  </si>
  <si>
    <t>Withdrawal and commutation</t>
  </si>
  <si>
    <t xml:space="preserve"> payments</t>
  </si>
  <si>
    <t>BC</t>
  </si>
  <si>
    <t>AB</t>
  </si>
  <si>
    <t>NS</t>
  </si>
  <si>
    <t>L428</t>
  </si>
  <si>
    <t>L479</t>
  </si>
  <si>
    <t>Amounts Transferred From Your Spouse</t>
  </si>
  <si>
    <t>Schedule 2</t>
  </si>
  <si>
    <r>
      <t xml:space="preserve">  Minus: $1678 or 3% of line 236, whichever is </t>
    </r>
    <r>
      <rPr>
        <b/>
        <sz val="12"/>
        <color indexed="8"/>
        <rFont val="Arial"/>
        <family val="2"/>
      </rPr>
      <t>less</t>
    </r>
  </si>
  <si>
    <t>Age Amount (If your spouse was 65 years of age or older in 2001):</t>
  </si>
  <si>
    <t>Capital Gains (or Losses) in 2001</t>
  </si>
  <si>
    <t xml:space="preserve">Note:  You must manually post/enter the amount above to line 232.  </t>
  </si>
  <si>
    <t>If your martial status changed in 2001, give the date of the change:</t>
  </si>
  <si>
    <t>Destination Spreadsheet</t>
  </si>
  <si>
    <t>T4RIF-2001 GENERAL DATA SUMMARY</t>
  </si>
  <si>
    <t>T4RSP-2001 GENERAL DATA SUMMARY</t>
  </si>
  <si>
    <t>Allocated Slip # 1</t>
  </si>
  <si>
    <t>Allocated Slip # 2</t>
  </si>
  <si>
    <t>Allocated Slip # 3</t>
  </si>
  <si>
    <t>Allocated Slip # 4</t>
  </si>
  <si>
    <t>Allocated Slip # 5</t>
  </si>
  <si>
    <t>From Box 16 if spousal for T2205</t>
  </si>
  <si>
    <t>From Box 20 if spousal for T2205</t>
  </si>
  <si>
    <t>From Box 24 if spousal for T2205</t>
  </si>
  <si>
    <t>Enter the provincial foreign tax credit, if applicable, from Form T2036</t>
  </si>
  <si>
    <t>Multiply line 3 by line 4</t>
  </si>
  <si>
    <t>Alternatively, you can print the schedules one at a time from the Excel print menu by picking the radio button</t>
  </si>
  <si>
    <t>for Active Sheet.  You can print the complete workbook by picking the radio button for Entire Workbook</t>
  </si>
  <si>
    <t xml:space="preserve">click the Excel "File" menu and then select Page Setup from the drop down list.  Under the Scale Printer </t>
  </si>
  <si>
    <t>you can choose "Adjust to:" and enter a specific scale factor or you can select the "Fit to:" radio button.</t>
  </si>
  <si>
    <t>2.  In the GO TO sheet, the User Data Status column shows whether a sheet has received user related data.</t>
  </si>
  <si>
    <t>3.  In the GO TO sheet you will find print command boxes that you can click to print a specific sheet.</t>
  </si>
  <si>
    <t>3.  Before you start entering data, please go to the MISC sheet and read the top of that sheet.</t>
  </si>
  <si>
    <t>4.  To enter data into a schedule, go to the desired schedule, position the cursor to the appropriate box / cell and</t>
  </si>
  <si>
    <t xml:space="preserve">key in your data.  While you can enter your data in any order, we advise you to begin by entering data into the T4 form. </t>
  </si>
  <si>
    <t>Conditions of Usage</t>
  </si>
  <si>
    <t>For new users, I believe you will agree that MyTAX is the result of much development effort and is fairly priced.</t>
  </si>
  <si>
    <r>
      <t xml:space="preserve">Your payment of the $10.00 annual user fee is </t>
    </r>
    <r>
      <rPr>
        <b/>
        <sz val="14"/>
        <color indexed="8"/>
        <rFont val="Arial"/>
        <family val="2"/>
      </rPr>
      <t>VITAL</t>
    </r>
    <r>
      <rPr>
        <sz val="14"/>
        <color indexed="8"/>
        <rFont val="Arial"/>
        <family val="2"/>
      </rPr>
      <t xml:space="preserve"> to the future of MyTAX.</t>
    </r>
  </si>
  <si>
    <t xml:space="preserve">Thank you for choosing MyTAX! </t>
  </si>
  <si>
    <t xml:space="preserve">all your friends &amp; colleagues.  Ask them to give MyTAX to their friends &amp; colleagues. </t>
  </si>
  <si>
    <t>Why?  Everyone should have access to powerful &amp; economical income tax return preparation software.</t>
  </si>
  <si>
    <t xml:space="preserve">I encourage you to openly distribute &amp; promote MyTAX.  Email and/or give diskette copies of MyTAX to </t>
  </si>
  <si>
    <t>The GO TO buttons and radio buttons will only work when macros are enabled.</t>
  </si>
  <si>
    <t>Another way is to choose "Format" from the main Excel menu at the top and then choose "Sheet", "Unhide"</t>
  </si>
  <si>
    <t>More Instructions</t>
  </si>
  <si>
    <t>as you load the next copy.  As you need data across returns, you can cut &amp; paste as you switch spreadsheet windows.</t>
  </si>
  <si>
    <t>(Enter Yes if amt. qualifies for line 232 deduction)</t>
  </si>
  <si>
    <t>Enter amounts on T4RSP Sheet</t>
  </si>
  <si>
    <t>Statement of Investment Income</t>
  </si>
  <si>
    <t>Schedule 4</t>
  </si>
  <si>
    <t xml:space="preserve">State the names of the payers below and attach any information slips you received. </t>
  </si>
  <si>
    <t xml:space="preserve">Total dividends (enter on line 120 of your return) </t>
  </si>
  <si>
    <t>Income from foreign sources</t>
  </si>
  <si>
    <t>Total Interest and other investment income (enter on line 121 of your return)</t>
  </si>
  <si>
    <t xml:space="preserve">Net partnership income (loss) (enter on line 122 of your return) </t>
  </si>
  <si>
    <t>Data
T4 # 5</t>
  </si>
  <si>
    <t>Total</t>
  </si>
  <si>
    <t>10</t>
  </si>
  <si>
    <t>Province of employment</t>
  </si>
  <si>
    <t>14</t>
  </si>
  <si>
    <t>101</t>
  </si>
  <si>
    <t>16</t>
  </si>
  <si>
    <t>308</t>
  </si>
  <si>
    <t>17</t>
  </si>
  <si>
    <t>18</t>
  </si>
  <si>
    <t>312</t>
  </si>
  <si>
    <t>20</t>
  </si>
  <si>
    <t>207</t>
  </si>
  <si>
    <t>22</t>
  </si>
  <si>
    <t>437</t>
  </si>
  <si>
    <t>37</t>
  </si>
  <si>
    <t>Employee home relocation loan deduction</t>
  </si>
  <si>
    <t>248</t>
  </si>
  <si>
    <t>39</t>
  </si>
  <si>
    <t>Stock Option and shares deduction
 (110(1)(d.))</t>
  </si>
  <si>
    <t>249</t>
  </si>
  <si>
    <t>41</t>
  </si>
  <si>
    <t>T3-2001 GENERAL DATA SUMMARY</t>
  </si>
  <si>
    <t>Capital Gains</t>
  </si>
  <si>
    <t>Lump-sum pension benefits</t>
  </si>
  <si>
    <t>If, at the end of the year, you and your dependant were not resident of the same province, please contact your local tax services</t>
  </si>
  <si>
    <t>(not to exceed the amount on line 236 of your return)</t>
  </si>
  <si>
    <r>
      <t xml:space="preserve"> (enter the amount from line 1 or line 6, whichever is </t>
    </r>
    <r>
      <rPr>
        <b/>
        <sz val="12"/>
        <color indexed="8"/>
        <rFont val="Arial"/>
        <family val="2"/>
      </rPr>
      <t>less</t>
    </r>
    <r>
      <rPr>
        <sz val="12"/>
        <color indexed="8"/>
        <rFont val="Arial"/>
        <family val="2"/>
      </rPr>
      <t>)</t>
    </r>
  </si>
  <si>
    <t>X 16% =</t>
  </si>
  <si>
    <t xml:space="preserve">Enter this amount on line 349 of Schedule 1.  </t>
  </si>
  <si>
    <t>entered an amount on line 20 or 21 below.  Otherwise, keep the schedule for your records.</t>
  </si>
  <si>
    <t>5914</t>
  </si>
  <si>
    <t>5916</t>
  </si>
  <si>
    <t>5918</t>
  </si>
  <si>
    <t>Add lines 2, 3, and 4</t>
  </si>
  <si>
    <t xml:space="preserve">Add lines 1 and 5 </t>
  </si>
  <si>
    <t>Total tuition and education amounts:</t>
  </si>
  <si>
    <t>Line 7 minus line 8 (if negative, enter "0")</t>
  </si>
  <si>
    <t/>
  </si>
  <si>
    <t>Schedule 1</t>
  </si>
  <si>
    <t>Federal Tax</t>
  </si>
  <si>
    <t>Data  Slips or Forms</t>
  </si>
  <si>
    <r>
      <t xml:space="preserve">- the amount from line 4 of your spouse or common-law partner's Schedule 2, </t>
    </r>
    <r>
      <rPr>
        <b/>
        <sz val="12"/>
        <color indexed="8"/>
        <rFont val="Arial"/>
        <family val="2"/>
      </rPr>
      <t xml:space="preserve">or </t>
    </r>
  </si>
  <si>
    <t>3. You may find it convenient to do "what-if" calculations by splitting the screen horizontally or vertically.</t>
  </si>
  <si>
    <t xml:space="preserve">You can work in one section of the screen, having scrolled the other screen for viewing the result. </t>
  </si>
  <si>
    <t>All screens are updated whenever a change occurs.</t>
  </si>
  <si>
    <t>You can also adjust the top &amp; bottom and left &amp; right margins to suit your printer.</t>
  </si>
  <si>
    <t>If a sheet has user related data, then you will likely want to print it sometime.</t>
  </si>
  <si>
    <t xml:space="preserve">5.  You can insert your own spreadsheet(s) to do calculations specific to your needs, such as if you are </t>
  </si>
  <si>
    <t>A mouse click on a GO TO button will send you to the GO TO sheet where there are buttons for specific sheets.</t>
  </si>
  <si>
    <t xml:space="preserve">You must enter your T3 data into this form.  As your enter data, it is posted to the cells in the schedules and forms </t>
  </si>
  <si>
    <t>where they are needed.  If you have more than one T3 slip, then enter the amounts from each T3 into one set of columns.</t>
  </si>
  <si>
    <t>If you have more than five T3 forms, you can add the data from the extra ones as a sum rather than a single #.</t>
  </si>
  <si>
    <t>T4A(OAS)-2001 SLIPS DATA ENTRY FORM</t>
  </si>
  <si>
    <t>(specify)</t>
  </si>
  <si>
    <t>2001, enter the amount from line 5 of his</t>
  </si>
  <si>
    <t>or her chart for line 316.  Otherwise, enter "0".</t>
  </si>
  <si>
    <t>his or her return</t>
  </si>
  <si>
    <t>Usage Tips:</t>
  </si>
  <si>
    <t>Dependant's taxable income from line 260 of</t>
  </si>
  <si>
    <t>Foreign pension income</t>
  </si>
  <si>
    <t>included on line 115 and</t>
  </si>
  <si>
    <t>deducted on line 256</t>
  </si>
  <si>
    <t xml:space="preserve">Income from a U.S. </t>
  </si>
  <si>
    <t>individual retirement</t>
  </si>
  <si>
    <t>(Form T1212)</t>
  </si>
  <si>
    <t>IV -</t>
  </si>
  <si>
    <t>Labour-sponsored funds tax credit</t>
  </si>
  <si>
    <t>Net cost</t>
  </si>
  <si>
    <t>416</t>
  </si>
  <si>
    <t>Add lines 410, 412, and 414.</t>
  </si>
  <si>
    <t>(if you have an amount on line 424 above, see Form T1206)</t>
  </si>
  <si>
    <t>417</t>
  </si>
  <si>
    <t>418</t>
  </si>
  <si>
    <t>19</t>
  </si>
  <si>
    <t>420</t>
  </si>
  <si>
    <t>Additional tax on RESP accumulated income payments (complete Form T1172)</t>
  </si>
  <si>
    <t>Enter this amount on line 420 of your return</t>
  </si>
  <si>
    <r>
      <t>Net federal tax:</t>
    </r>
    <r>
      <rPr>
        <sz val="12"/>
        <color indexed="8"/>
        <rFont val="Arial"/>
        <family val="2"/>
      </rPr>
      <t xml:space="preserve"> Add lines 17 and 18</t>
    </r>
  </si>
  <si>
    <t>(i)</t>
  </si>
  <si>
    <r>
      <t xml:space="preserve">Gain (or loss) </t>
    </r>
    <r>
      <rPr>
        <b/>
        <sz val="12"/>
        <color indexed="8"/>
        <rFont val="Arial"/>
        <family val="2"/>
      </rPr>
      <t>110</t>
    </r>
  </si>
  <si>
    <r>
      <t xml:space="preserve">Total </t>
    </r>
    <r>
      <rPr>
        <b/>
        <sz val="12"/>
        <color indexed="8"/>
        <rFont val="Arial"/>
        <family val="2"/>
      </rPr>
      <t>123</t>
    </r>
  </si>
  <si>
    <r>
      <t xml:space="preserve">Gain (or loss) </t>
    </r>
    <r>
      <rPr>
        <b/>
        <sz val="12"/>
        <color indexed="8"/>
        <rFont val="Arial"/>
        <family val="2"/>
      </rPr>
      <t>124</t>
    </r>
  </si>
  <si>
    <t>3. Mutual fund units and other shares including publicly traded shares</t>
  </si>
  <si>
    <t>Number</t>
  </si>
  <si>
    <t>Complete the calculation for each dependant.</t>
  </si>
  <si>
    <t>If you are not attaching a label, print your name and address below.</t>
  </si>
  <si>
    <t>First name and initial</t>
  </si>
  <si>
    <t>Year</t>
  </si>
  <si>
    <t>Month</t>
  </si>
  <si>
    <t>Day</t>
  </si>
  <si>
    <t>Add line 1 and 2</t>
  </si>
  <si>
    <t>Dependant's taxable income (from line 260 of his or her return)</t>
  </si>
  <si>
    <t>Allowable amount for this dependant: Line 5 minus line 6 (if negative, enter "0")</t>
  </si>
  <si>
    <r>
      <t xml:space="preserve">If the dependant was </t>
    </r>
    <r>
      <rPr>
        <b/>
        <sz val="12"/>
        <color indexed="8"/>
        <rFont val="Arial"/>
        <family val="2"/>
      </rPr>
      <t>under age 18</t>
    </r>
    <r>
      <rPr>
        <sz val="12"/>
        <color indexed="8"/>
        <rFont val="Arial"/>
        <family val="2"/>
      </rPr>
      <t xml:space="preserve"> on December 31, 2001, enter the amount from line 5 of the chart for line 5844</t>
    </r>
  </si>
  <si>
    <r>
      <t>This is your</t>
    </r>
    <r>
      <rPr>
        <b/>
        <sz val="12"/>
        <color indexed="8"/>
        <rFont val="Arial"/>
        <family val="2"/>
      </rPr>
      <t xml:space="preserve"> total income.</t>
    </r>
  </si>
  <si>
    <t>Net Income</t>
  </si>
  <si>
    <t>RRSP deduction (see Schedule 7; attach receipts)</t>
  </si>
  <si>
    <t>Gross</t>
  </si>
  <si>
    <t>README</t>
  </si>
  <si>
    <t>THIS SHEET IS UNDER CONTSTRUCTION.  DO NOT USE.  ENTER T3 DATA DIRECTLY ON MISC SHEET</t>
  </si>
  <si>
    <t>THIS SHEET IS UNDER CONSTRUCTION.  DO NOT USE.  ENTER T5 DATA DIRECTLY ON MISC SHEET</t>
  </si>
  <si>
    <t>Telephone:</t>
  </si>
  <si>
    <t>CPP overpayment (enter your excess contributions)</t>
  </si>
  <si>
    <r>
      <t xml:space="preserve">Carrying charges and interest expenses </t>
    </r>
    <r>
      <rPr>
        <sz val="12"/>
        <color indexed="8"/>
        <rFont val="Arial"/>
        <family val="2"/>
      </rPr>
      <t>(see line 221 in the guide)</t>
    </r>
  </si>
  <si>
    <t>V -</t>
  </si>
  <si>
    <t>VI -</t>
  </si>
  <si>
    <r>
      <t xml:space="preserve">Exploration and development expenses </t>
    </r>
    <r>
      <rPr>
        <sz val="12"/>
        <color indexed="8"/>
        <rFont val="Arial"/>
        <family val="2"/>
      </rPr>
      <t>(see line 224 in the guide) (attach T101 or T5013 slips)</t>
    </r>
  </si>
  <si>
    <t>224</t>
  </si>
  <si>
    <t>(enter on line 224 of your return)</t>
  </si>
  <si>
    <r>
      <t xml:space="preserve">Depletion allowances </t>
    </r>
    <r>
      <rPr>
        <sz val="12"/>
        <color indexed="8"/>
        <rFont val="Arial"/>
        <family val="2"/>
      </rPr>
      <t>(specify)</t>
    </r>
  </si>
  <si>
    <t>(enter on line 232 of your return)</t>
  </si>
  <si>
    <t>(Allowable entries are: Yes or No)</t>
  </si>
  <si>
    <t>Contributor spouse or</t>
  </si>
  <si>
    <r>
      <t xml:space="preserve">common-law partner: </t>
    </r>
    <r>
      <rPr>
        <sz val="14"/>
        <color indexed="8"/>
        <rFont val="Arial"/>
        <family val="2"/>
      </rPr>
      <t>(Yes or No)</t>
    </r>
  </si>
  <si>
    <t>Enter your social insurance number (SIN)</t>
  </si>
  <si>
    <t>Enter his or her social insurance # (SIN)</t>
  </si>
  <si>
    <t>Annuities NOT from death of spouse or common law partner</t>
  </si>
  <si>
    <t xml:space="preserve">Amounts deemed received by </t>
  </si>
  <si>
    <t>the annuitant; Deceased</t>
  </si>
  <si>
    <t>10,18</t>
  </si>
  <si>
    <t>Annuitant is your spouse</t>
  </si>
  <si>
    <r>
      <t>This is your</t>
    </r>
    <r>
      <rPr>
        <b/>
        <sz val="12"/>
        <color indexed="8"/>
        <rFont val="Arial"/>
        <family val="2"/>
      </rPr>
      <t xml:space="preserve"> taxable income.</t>
    </r>
  </si>
  <si>
    <t>Stock Option and shares deduction
 (110(1)(d.1))</t>
  </si>
  <si>
    <t>42</t>
  </si>
  <si>
    <t>102</t>
  </si>
  <si>
    <t>44</t>
  </si>
  <si>
    <t>212</t>
  </si>
  <si>
    <t>46</t>
  </si>
  <si>
    <t>52</t>
  </si>
  <si>
    <t>206</t>
  </si>
  <si>
    <t>53</t>
  </si>
  <si>
    <t>Deferred stock option benefits</t>
  </si>
  <si>
    <t>6520</t>
  </si>
  <si>
    <r>
      <t xml:space="preserve">MyTAX does </t>
    </r>
    <r>
      <rPr>
        <b/>
        <sz val="14"/>
        <color indexed="8"/>
        <rFont val="Arial"/>
        <family val="2"/>
      </rPr>
      <t>NOT</t>
    </r>
    <r>
      <rPr>
        <sz val="14"/>
        <color indexed="8"/>
        <rFont val="Arial"/>
        <family val="2"/>
      </rPr>
      <t xml:space="preserve"> allow you to enter T4 data directly to other sheets and forms and schedules</t>
    </r>
  </si>
  <si>
    <r>
      <t xml:space="preserve">You must enter your T4 data into </t>
    </r>
    <r>
      <rPr>
        <b/>
        <sz val="14"/>
        <color indexed="8"/>
        <rFont val="Arial"/>
        <family val="2"/>
      </rPr>
      <t>this</t>
    </r>
    <r>
      <rPr>
        <sz val="14"/>
        <color indexed="8"/>
        <rFont val="Arial"/>
        <family val="2"/>
      </rPr>
      <t xml:space="preserve"> form.  As your enter data, it is posted to the cells in the schedules and forms </t>
    </r>
  </si>
  <si>
    <t xml:space="preserve">Pension income amount </t>
  </si>
  <si>
    <t>(maximum $1000.)</t>
  </si>
  <si>
    <t>(maximum $877.50)</t>
  </si>
  <si>
    <t>Caregiver amount</t>
  </si>
  <si>
    <t>Disability amount</t>
  </si>
  <si>
    <t>Tax on base amount</t>
  </si>
  <si>
    <t>Add lines 6 and 7</t>
  </si>
  <si>
    <t>Line 2 minus line 3
(this amount cannot be negative)</t>
  </si>
  <si>
    <r>
      <t xml:space="preserve">Federal non-refundable tax credits </t>
    </r>
    <r>
      <rPr>
        <sz val="14"/>
        <color indexed="8"/>
        <rFont val="Arial"/>
        <family val="2"/>
      </rPr>
      <t>(Read the guide for details about these credits.)</t>
    </r>
  </si>
  <si>
    <t>claim $7412</t>
  </si>
  <si>
    <t>Age amount (if you were born in 1936 or earlier)</t>
  </si>
  <si>
    <t>Spousal amount or common-law partner amount:</t>
  </si>
  <si>
    <t xml:space="preserve">  Minus: His or her net income (from page 1 of your return)</t>
  </si>
  <si>
    <t>Enter your total contributions:</t>
  </si>
  <si>
    <t>ON428</t>
  </si>
  <si>
    <t>T1 General - 2001</t>
  </si>
  <si>
    <r>
      <t xml:space="preserve">Complete this form and </t>
    </r>
    <r>
      <rPr>
        <b/>
        <sz val="12"/>
        <color indexed="8"/>
        <rFont val="Arial"/>
        <family val="2"/>
      </rPr>
      <t>attach a copy of it to your return.</t>
    </r>
    <r>
      <rPr>
        <sz val="12"/>
        <color indexed="8"/>
        <rFont val="Arial"/>
        <family val="2"/>
      </rPr>
      <t xml:space="preserve">  For details, see pages 1 to 4 in the forms book.</t>
    </r>
  </si>
  <si>
    <t>Check this box if he or she was self-employed in 2001:</t>
  </si>
  <si>
    <t>1</t>
  </si>
  <si>
    <t>If you became or ceased to be a resident of Canada in 2001, give the date of:</t>
  </si>
  <si>
    <t>64</t>
  </si>
  <si>
    <t>65</t>
  </si>
  <si>
    <t xml:space="preserve">You must enter your T4RSP data into this form.  As your enter data, it is posted to the cells in the schedules and forms </t>
  </si>
  <si>
    <t>where they are needed.  If you have more than one T4RSP slip, then enter the amounts from each T4RSP.</t>
  </si>
  <si>
    <t>If you have more than five T4RSP forms, you can add the data from the extra ones as a sum rather than a single #.</t>
  </si>
  <si>
    <t>Complete Part 1 to determine any overpayment of Canada Pension Plan (CPP) or Quebec Pension Plan (QPP) contributions made</t>
  </si>
  <si>
    <r>
      <t xml:space="preserve">through employment if you had no self-employment earnings </t>
    </r>
    <r>
      <rPr>
        <b/>
        <sz val="9"/>
        <color indexed="8"/>
        <rFont val="Arial"/>
        <family val="2"/>
      </rPr>
      <t>and</t>
    </r>
    <r>
      <rPr>
        <sz val="9"/>
        <color indexed="8"/>
        <rFont val="Arial"/>
        <family val="2"/>
      </rPr>
      <t xml:space="preserve"> you were not a resident of Quebec on December 31 2001. If you </t>
    </r>
  </si>
  <si>
    <t>were a resident of Quebec on December 31, 2001, and you made CPP or QPP contribution, see your Quebec provincial tax guide.</t>
  </si>
  <si>
    <t>Line 1</t>
  </si>
  <si>
    <t>Line 2</t>
  </si>
  <si>
    <t>Line 3</t>
  </si>
  <si>
    <t>Line 4</t>
  </si>
  <si>
    <t>Maximum amount of total</t>
  </si>
  <si>
    <t>CPP Pensionable earnings</t>
  </si>
  <si>
    <t>basic CPP Exemption</t>
  </si>
  <si>
    <t>Maximum amount of</t>
  </si>
  <si>
    <t>earnings subject to contribution</t>
  </si>
  <si>
    <t>Applicable</t>
  </si>
  <si>
    <t>number of</t>
  </si>
  <si>
    <t xml:space="preserve">                         Contributions and 2001 Employment Insurance Premiums</t>
  </si>
  <si>
    <t xml:space="preserve">- If you received, or were entitled to receive, a CPP or QPP retirement or disability pension for part of 2001, proration is based on </t>
  </si>
  <si>
    <t>Enter amount from line 4 or 5, whichever is less, on line 308 of Schedule 1 and , if it applies, on line 5824 of Form 428.</t>
  </si>
  <si>
    <t>Charitable Donations</t>
  </si>
  <si>
    <t>Schedule 9</t>
  </si>
  <si>
    <t>Pension Adjustment</t>
  </si>
  <si>
    <t>Total Income</t>
  </si>
  <si>
    <r>
      <t xml:space="preserve">Use the amount on line 1 to determine which </t>
    </r>
    <r>
      <rPr>
        <b/>
        <sz val="11"/>
        <color indexed="8"/>
        <rFont val="Arial"/>
        <family val="2"/>
      </rPr>
      <t xml:space="preserve">ONE </t>
    </r>
    <r>
      <rPr>
        <sz val="11"/>
        <color indexed="8"/>
        <rFont val="Arial"/>
        <family val="2"/>
      </rPr>
      <t>of the</t>
    </r>
  </si>
  <si>
    <r>
      <t>more than</t>
    </r>
    <r>
      <rPr>
        <b/>
        <sz val="10"/>
        <color indexed="8"/>
        <rFont val="Arial"/>
        <family val="2"/>
      </rPr>
      <t xml:space="preserve"> $29,590, </t>
    </r>
    <r>
      <rPr>
        <sz val="10"/>
        <color indexed="8"/>
        <rFont val="Arial"/>
        <family val="2"/>
      </rPr>
      <t>but</t>
    </r>
  </si>
  <si>
    <r>
      <t>$29,590</t>
    </r>
    <r>
      <rPr>
        <sz val="11"/>
        <color indexed="8"/>
        <rFont val="Arial"/>
        <family val="2"/>
      </rPr>
      <t xml:space="preserve"> or less</t>
    </r>
  </si>
  <si>
    <r>
      <t xml:space="preserve">not more than </t>
    </r>
    <r>
      <rPr>
        <b/>
        <sz val="10"/>
        <color indexed="8"/>
        <rFont val="Arial"/>
        <family val="2"/>
      </rPr>
      <t>$59,180</t>
    </r>
  </si>
  <si>
    <r>
      <t xml:space="preserve">more than </t>
    </r>
    <r>
      <rPr>
        <b/>
        <sz val="11"/>
        <color indexed="8"/>
        <rFont val="Arial"/>
        <family val="2"/>
      </rPr>
      <t>$59,180</t>
    </r>
  </si>
  <si>
    <t>Nova Scotia tax</t>
  </si>
  <si>
    <t>on taxable income</t>
  </si>
  <si>
    <t>Step 2 - Nova Scotia non-refundable tax credits</t>
  </si>
  <si>
    <t>For details, see the Provincial Worksheet and pages 1 to 3 in the forms book.</t>
  </si>
  <si>
    <t>claim $7,231</t>
  </si>
  <si>
    <r>
      <t xml:space="preserve">(if negative, enter "0") </t>
    </r>
    <r>
      <rPr>
        <b/>
        <sz val="12"/>
        <color indexed="8"/>
        <rFont val="Arial"/>
        <family val="2"/>
      </rPr>
      <t>(maximum $6,140)</t>
    </r>
  </si>
  <si>
    <t>Interest paid on your student loans (amount from line 319 of your federal Schedule 1)</t>
  </si>
  <si>
    <r>
      <t xml:space="preserve">Tuition and education amounts </t>
    </r>
    <r>
      <rPr>
        <b/>
        <sz val="12"/>
        <color indexed="8"/>
        <rFont val="Arial"/>
        <family val="2"/>
      </rPr>
      <t>[attach Schedule NS(S11)]</t>
    </r>
  </si>
  <si>
    <r>
      <t xml:space="preserve">Amounts transferred from your spouse or common-law partner </t>
    </r>
    <r>
      <rPr>
        <b/>
        <sz val="11"/>
        <color indexed="8"/>
        <rFont val="Arial"/>
        <family val="2"/>
      </rPr>
      <t>[attach Schedule NS(S2)]</t>
    </r>
  </si>
  <si>
    <r>
      <t xml:space="preserve">  Enter $1,637 or 3% of line 236, whichever is </t>
    </r>
    <r>
      <rPr>
        <b/>
        <sz val="12"/>
        <color indexed="8"/>
        <rFont val="Arial"/>
        <family val="2"/>
      </rPr>
      <t>less</t>
    </r>
  </si>
  <si>
    <t>Multiply the amount on line 30 by 9.77%</t>
  </si>
  <si>
    <t>x9.77%</t>
  </si>
  <si>
    <t>x16.67%</t>
  </si>
  <si>
    <t>Nova Scotia non-refundable tax credits</t>
  </si>
  <si>
    <t>Step 3 - Nova Scotia tax</t>
  </si>
  <si>
    <t>Enter your Nova Scotia tax on taxable income from line 8</t>
  </si>
  <si>
    <t>Enter your Nova Scotia tax on split income, if applicable, from Form T1206</t>
  </si>
  <si>
    <t>Enter your Nova Scotia non-refundable tax credits from line 36</t>
  </si>
  <si>
    <t>Nova Scotia dividend tax credit</t>
  </si>
  <si>
    <t>x 7.7%</t>
  </si>
  <si>
    <t>Nova Scotia overseas employment tax credit:</t>
  </si>
  <si>
    <t>x 57.5%</t>
  </si>
  <si>
    <t>Nova Scotia minimum tax carry-over;</t>
  </si>
  <si>
    <t>Otherwise, enter the amount from line 6 on line 479 of your return.</t>
  </si>
  <si>
    <t>Enter the amount from line 6 on the front of this form</t>
  </si>
  <si>
    <t>Equity tax credit</t>
  </si>
  <si>
    <t>Enter your equity tax credit from Form NSETC-1</t>
  </si>
  <si>
    <t>Enter your unused Nova Scotia Equity tax credit from previous years</t>
  </si>
  <si>
    <t>Add lines 7 and 8</t>
  </si>
  <si>
    <t>Line 10 minus line 11</t>
  </si>
  <si>
    <r>
      <t xml:space="preserve">Enter the amount from line 9 or line 12, whichever is </t>
    </r>
    <r>
      <rPr>
        <b/>
        <sz val="12"/>
        <color indexed="8"/>
        <rFont val="Arial"/>
        <family val="2"/>
      </rPr>
      <t>less</t>
    </r>
    <r>
      <rPr>
        <sz val="12"/>
        <color indexed="8"/>
        <rFont val="Arial"/>
        <family val="2"/>
      </rPr>
      <t xml:space="preserve"> (maximum $9,000)</t>
    </r>
  </si>
  <si>
    <t>Request for carryback of unused Equity tax credit</t>
  </si>
  <si>
    <r>
      <t xml:space="preserve">  Enter the amount you want to carry back to </t>
    </r>
    <r>
      <rPr>
        <b/>
        <sz val="12"/>
        <color indexed="8"/>
        <rFont val="Arial"/>
        <family val="2"/>
      </rPr>
      <t>2000</t>
    </r>
  </si>
  <si>
    <r>
      <t xml:space="preserve">  Enter the amount you want to carry back to </t>
    </r>
    <r>
      <rPr>
        <b/>
        <sz val="12"/>
        <color indexed="8"/>
        <rFont val="Arial"/>
        <family val="2"/>
      </rPr>
      <t>1999</t>
    </r>
  </si>
  <si>
    <r>
      <t xml:space="preserve">  Enter the amount you want to carry back to </t>
    </r>
    <r>
      <rPr>
        <b/>
        <sz val="12"/>
        <color indexed="8"/>
        <rFont val="Arial"/>
        <family val="2"/>
      </rPr>
      <t>1998</t>
    </r>
  </si>
  <si>
    <t>Nova Scotia home ownership savings plan (NSHOSP) tax credit</t>
  </si>
  <si>
    <t>You</t>
  </si>
  <si>
    <t>Your spouse or common-law partner</t>
  </si>
  <si>
    <t>from line 236 of the return</t>
  </si>
  <si>
    <t>Contributions to NSHOSP</t>
  </si>
  <si>
    <t>In 2001</t>
  </si>
  <si>
    <t xml:space="preserve">    deductible as exempt income under a tax treaty or any income deductible as net employment income from a prescribed international organization</t>
  </si>
  <si>
    <t xml:space="preserve"> ***Line 429 plus the amount on lines 425 and 426, and minus any refundable Quebec abatement (line 440) and any federal refundable First Nations</t>
  </si>
  <si>
    <t>314-Line 2</t>
  </si>
  <si>
    <t>CPT20</t>
  </si>
  <si>
    <t xml:space="preserve">You must enter your T5 data into this form.  As your enter data, it is posted to the cells in the schedules and forms </t>
  </si>
  <si>
    <r>
      <t xml:space="preserve">complete the applicable chart on the </t>
    </r>
    <r>
      <rPr>
        <i/>
        <sz val="12"/>
        <color indexed="8"/>
        <rFont val="Arial"/>
        <family val="2"/>
      </rPr>
      <t>Federal Workshee</t>
    </r>
    <r>
      <rPr>
        <sz val="12"/>
        <color indexed="8"/>
        <rFont val="Arial"/>
        <family val="2"/>
      </rPr>
      <t>t which you will find in the forms book.</t>
    </r>
  </si>
  <si>
    <t>For each dependant claimed on line 305,306, or 315, provide the details requested below.  Attach a copy ot this schedule to your return.</t>
  </si>
  <si>
    <t>Line 305 -</t>
  </si>
  <si>
    <t xml:space="preserve">                              Employee Overpayment of 2001 Canada Pension Plan </t>
  </si>
  <si>
    <t>Complete Part 2 to determine any overpayment of Employment Insurance (EI) premiums.</t>
  </si>
  <si>
    <t xml:space="preserve">    Part 1-Calculating your Canada Pension Plan Overpayment</t>
  </si>
  <si>
    <t>the number of months in the year you did not or were not entitled to receive the pension.</t>
  </si>
  <si>
    <t>- If the individual died in 2001, proration is based on the number of months in the year up to and including the month the individual died.</t>
  </si>
  <si>
    <t>received the payments because of the death of</t>
  </si>
  <si>
    <t>Read the guide to find out if you can claim an amount on line 305, 306, or 315 of your return.  To calculate the amount of your claim,</t>
  </si>
  <si>
    <t>yyyy-mm-dd</t>
  </si>
  <si>
    <t>Last name</t>
  </si>
  <si>
    <t>Date of Birth</t>
  </si>
  <si>
    <t>Relationship</t>
  </si>
  <si>
    <t>Nature of the infirmity</t>
  </si>
  <si>
    <t>Amount of claim</t>
  </si>
  <si>
    <t>First name</t>
  </si>
  <si>
    <t>Year-Month-Day</t>
  </si>
  <si>
    <t>to you</t>
  </si>
  <si>
    <t>if it applies</t>
  </si>
  <si>
    <t>Address:</t>
  </si>
  <si>
    <t>Line 306 - Amount for infirm dependants age 18 or older *</t>
  </si>
  <si>
    <t>Line 315 - Caregiver amount *</t>
  </si>
  <si>
    <t>* Attach a separate sheet if your are claiming more than one dependant.</t>
  </si>
  <si>
    <t xml:space="preserve"> 5000-S5</t>
  </si>
  <si>
    <t>RRSP Unused Contributions</t>
  </si>
  <si>
    <t>Net federal supplements (box 21 on the T4A(OAS) slip)</t>
  </si>
  <si>
    <t>Add lines 101, 104 to 143, and 147</t>
  </si>
  <si>
    <t>Name of fund/corporation and class of shares</t>
  </si>
  <si>
    <r>
      <t xml:space="preserve">Total </t>
    </r>
    <r>
      <rPr>
        <b/>
        <sz val="12"/>
        <color indexed="8"/>
        <rFont val="Arial"/>
        <family val="2"/>
      </rPr>
      <t>131</t>
    </r>
  </si>
  <si>
    <r>
      <t xml:space="preserve">Gain (or loss) </t>
    </r>
    <r>
      <rPr>
        <b/>
        <sz val="12"/>
        <color indexed="8"/>
        <rFont val="Arial"/>
        <family val="2"/>
      </rPr>
      <t>132</t>
    </r>
  </si>
  <si>
    <r>
      <t xml:space="preserve">Total </t>
    </r>
    <r>
      <rPr>
        <b/>
        <sz val="12"/>
        <color indexed="8"/>
        <rFont val="Arial"/>
        <family val="2"/>
      </rPr>
      <t>136</t>
    </r>
  </si>
  <si>
    <r>
      <t xml:space="preserve">Gain (or loss) </t>
    </r>
    <r>
      <rPr>
        <b/>
        <sz val="12"/>
        <color indexed="8"/>
        <rFont val="Arial"/>
        <family val="2"/>
      </rPr>
      <t>138</t>
    </r>
  </si>
  <si>
    <t>Face Value</t>
  </si>
  <si>
    <t>Maturity date</t>
  </si>
  <si>
    <t>Total of amounts your dependant can claim on</t>
  </si>
  <si>
    <t>Version 2001-xls-2.1d</t>
  </si>
  <si>
    <t>If you are upgrading your earlier version of MyTAX 2001 &amp; you have already paid, UPGRADES during the year are free.</t>
  </si>
  <si>
    <r>
      <t xml:space="preserve">2)  MyTAX opens with </t>
    </r>
    <r>
      <rPr>
        <b/>
        <sz val="14"/>
        <color indexed="8"/>
        <rFont val="Arial"/>
        <family val="2"/>
      </rPr>
      <t xml:space="preserve">only the README &amp; GOTO &amp; HELP </t>
    </r>
    <r>
      <rPr>
        <sz val="14"/>
        <color indexed="8"/>
        <rFont val="Arial"/>
        <family val="2"/>
      </rPr>
      <t>sheet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 xml:space="preserve">showing.  </t>
    </r>
  </si>
  <si>
    <r>
      <t xml:space="preserve">All the others are "hidden" and can be made visible as needed.  </t>
    </r>
  </si>
  <si>
    <t>To get started, click the GO TO button at the top left corner of this page.  It will take you to the GO TO</t>
  </si>
  <si>
    <t>MyTAX HELP</t>
  </si>
  <si>
    <t xml:space="preserve">This page as well as the other spreadsheets in MyTAX are searchable.  </t>
  </si>
  <si>
    <t>Control-F will pop up a search box for you to enter a text string.</t>
  </si>
  <si>
    <t>1) Support &amp; Upgrades</t>
  </si>
  <si>
    <t>User support via email is free.  Email us as follows:  support@peeltech.ca</t>
  </si>
  <si>
    <t>If it looks like you have hit a bug, then please email us with a few details at the email address above.</t>
  </si>
  <si>
    <t>Including a copy of your MyTAX workbook as an attachment to your email is very helpful in our support work.</t>
  </si>
  <si>
    <t xml:space="preserve">MyTAX upgrades throughout the year are free.  Download the latest version:   http://www.peeltech.ca   </t>
  </si>
  <si>
    <t>2) Getting Started</t>
  </si>
  <si>
    <t>3) Frequent Questions &amp; Comments</t>
  </si>
  <si>
    <t>(complete Form CPT20)</t>
  </si>
  <si>
    <t>24</t>
  </si>
  <si>
    <t>EI insurable earnings</t>
  </si>
  <si>
    <t>26</t>
  </si>
  <si>
    <t>CPP-QPP pensionable earnings</t>
  </si>
  <si>
    <t xml:space="preserve"> 5000-S8</t>
  </si>
  <si>
    <t>claim $3,500</t>
  </si>
  <si>
    <t>Multiply the amount on line 7 by 8.6%</t>
  </si>
  <si>
    <t>T776</t>
  </si>
  <si>
    <t>T2032</t>
  </si>
  <si>
    <t>(details on following sheet,  Sch4-2)</t>
  </si>
  <si>
    <t xml:space="preserve">Enter additional items on Sheet Sch4-2 </t>
  </si>
  <si>
    <t>Enter amounts on T5007 input sheet</t>
  </si>
  <si>
    <t>Basic person amount (see lines 300 and 307 in the guide)</t>
  </si>
  <si>
    <t xml:space="preserve">  Base amount</t>
  </si>
  <si>
    <r>
      <t xml:space="preserve">Enter your </t>
    </r>
    <r>
      <rPr>
        <b/>
        <sz val="12"/>
        <rFont val="Arial MT"/>
        <family val="0"/>
      </rPr>
      <t>net income</t>
    </r>
  </si>
  <si>
    <r>
      <t xml:space="preserve">Enter the amount from line 18, 19, 20, 21, or (if it applies) 22, whichever is the </t>
    </r>
    <r>
      <rPr>
        <b/>
        <sz val="12"/>
        <rFont val="Arial MT"/>
        <family val="0"/>
      </rPr>
      <t>least</t>
    </r>
  </si>
  <si>
    <t xml:space="preserve">Add line 23 and line 24. Enter this amount on line 214 of your return </t>
  </si>
  <si>
    <r>
      <t xml:space="preserve">were in </t>
    </r>
    <r>
      <rPr>
        <b/>
        <sz val="12"/>
        <rFont val="Arial MT"/>
        <family val="0"/>
      </rPr>
      <t>part-time</t>
    </r>
    <r>
      <rPr>
        <sz val="12"/>
        <rFont val="Arial MT"/>
        <family val="0"/>
      </rPr>
      <t xml:space="preserve"> attendance (other than a month that includes a week used in the calculation on line 17)</t>
    </r>
  </si>
  <si>
    <r>
      <t xml:space="preserve">Multiply the amount on line 15 by the number of </t>
    </r>
    <r>
      <rPr>
        <b/>
        <sz val="12"/>
        <rFont val="Arial MT"/>
        <family val="0"/>
      </rPr>
      <t>full months</t>
    </r>
    <r>
      <rPr>
        <sz val="12"/>
        <rFont val="Arial MT"/>
        <family val="0"/>
      </rPr>
      <t xml:space="preserve"> </t>
    </r>
  </si>
  <si>
    <r>
      <t xml:space="preserve">If the result is negative, you have a </t>
    </r>
    <r>
      <rPr>
        <b/>
        <sz val="12"/>
        <color indexed="8"/>
        <rFont val="Arial"/>
        <family val="2"/>
      </rPr>
      <t xml:space="preserve">refund.   </t>
    </r>
  </si>
  <si>
    <r>
      <t xml:space="preserve">If the result is positive, you have a </t>
    </r>
    <r>
      <rPr>
        <b/>
        <sz val="12"/>
        <color indexed="8"/>
        <rFont val="Arial"/>
        <family val="2"/>
      </rPr>
      <t xml:space="preserve">balance owing.   </t>
    </r>
  </si>
  <si>
    <t>Direct deposit - Start or change (see line 484 in the guide)</t>
  </si>
  <si>
    <t>if your direct deposit information for your refund has not changed.</t>
  </si>
  <si>
    <t>(Make sure you have checked the box on page 1 of your return to indicate your marital status.)</t>
  </si>
  <si>
    <t xml:space="preserve">  return if you are filing a return.  If you are not filing a return, keep it for your records.</t>
  </si>
  <si>
    <t>Enter this amount on line 323 of Schedule 1.</t>
  </si>
  <si>
    <r>
      <t>2001 RRSP deduction:</t>
    </r>
    <r>
      <rPr>
        <sz val="12"/>
        <color indexed="8"/>
        <rFont val="Arial"/>
        <family val="2"/>
      </rPr>
      <t xml:space="preserve">  Enter the amount from line 9 or line 12, whichever is </t>
    </r>
    <r>
      <rPr>
        <b/>
        <sz val="12"/>
        <color indexed="8"/>
        <rFont val="Arial"/>
        <family val="2"/>
      </rPr>
      <t>less</t>
    </r>
  </si>
  <si>
    <t>Line 9 minus line 13</t>
  </si>
  <si>
    <t xml:space="preserve">  Transfers (see "Line 11 -Transfers" at line 208 in the guide)</t>
  </si>
  <si>
    <r>
      <t xml:space="preserve">Limit Statement" on your 2000 </t>
    </r>
    <r>
      <rPr>
        <i/>
        <sz val="12"/>
        <color indexed="8"/>
        <rFont val="Arial"/>
        <family val="2"/>
      </rPr>
      <t xml:space="preserve">Notice of Assessment </t>
    </r>
    <r>
      <rPr>
        <sz val="12"/>
        <color indexed="8"/>
        <rFont val="Arial"/>
        <family val="2"/>
      </rPr>
      <t>or</t>
    </r>
    <r>
      <rPr>
        <i/>
        <sz val="12"/>
        <color indexed="8"/>
        <rFont val="Arial"/>
        <family val="2"/>
      </rPr>
      <t xml:space="preserve"> Notice of Reassessment)</t>
    </r>
  </si>
  <si>
    <t>RRSP deduction limit for 2001 shown on the second last line of your 2001 "RRSP Deduction</t>
  </si>
  <si>
    <r>
      <t>(not to exceed</t>
    </r>
    <r>
      <rPr>
        <b/>
        <sz val="12"/>
        <color indexed="8"/>
        <rFont val="Arial"/>
        <family val="2"/>
      </rPr>
      <t xml:space="preserve"> the lesser of</t>
    </r>
    <r>
      <rPr>
        <sz val="12"/>
        <color indexed="8"/>
        <rFont val="Arial"/>
        <family val="2"/>
      </rPr>
      <t xml:space="preserve"> the amount on line 9 above excluding transfers, and your</t>
    </r>
  </si>
  <si>
    <t>RRSP contributions you are deducting for 2001</t>
  </si>
  <si>
    <t>LLP student</t>
  </si>
  <si>
    <t xml:space="preserve">Check this box is you want to designate your spouse or common-law partner as the </t>
  </si>
  <si>
    <t>Gross earnings</t>
  </si>
  <si>
    <t>Employment Insurance (EI) insurable</t>
  </si>
  <si>
    <t>EI premiums</t>
  </si>
  <si>
    <t>Income Tax Deducted</t>
  </si>
  <si>
    <t>312,5832</t>
  </si>
  <si>
    <t>Provincial 428</t>
  </si>
  <si>
    <t>earnings</t>
  </si>
  <si>
    <t>T2204</t>
  </si>
  <si>
    <t>PartII-1</t>
  </si>
  <si>
    <t>(maximum $3,619)</t>
  </si>
  <si>
    <r>
      <t xml:space="preserve">Amount for an eligible dependant </t>
    </r>
    <r>
      <rPr>
        <sz val="12"/>
        <color indexed="8"/>
        <rFont val="Arial"/>
        <family val="2"/>
      </rPr>
      <t>(formerly the "Equivalent-to-spouse amount")</t>
    </r>
  </si>
  <si>
    <t>Interest from Canadian sources</t>
  </si>
  <si>
    <t>Foreign Income</t>
  </si>
  <si>
    <t>Foreign tax paid</t>
  </si>
  <si>
    <t>Royalties from Canadian sources</t>
  </si>
  <si>
    <t>Capital gains dividends - Period 3</t>
  </si>
  <si>
    <t>Accured income</t>
  </si>
  <si>
    <t>Amount eligible for resource</t>
  </si>
  <si>
    <t>allowance deduction</t>
  </si>
  <si>
    <t>Capital gains dividends - Period 1</t>
  </si>
  <si>
    <t>Capital gains dividends - Period 2</t>
  </si>
  <si>
    <t xml:space="preserve">Other income from Canadian </t>
  </si>
  <si>
    <t>sources</t>
  </si>
  <si>
    <t>431,433</t>
  </si>
  <si>
    <t>115,121</t>
  </si>
  <si>
    <t>(If not from work or invention put on 14 above)</t>
  </si>
  <si>
    <t>pick up otherwise from 19 above</t>
  </si>
  <si>
    <t>if and but from 19 above</t>
  </si>
  <si>
    <t>lots of polaver here</t>
  </si>
  <si>
    <t>kicks in from 431, 433 - maybe</t>
  </si>
  <si>
    <t>Taxable capital gains (complete Schedule 3)</t>
  </si>
  <si>
    <t xml:space="preserve">Rental Income </t>
  </si>
  <si>
    <t>Support payments received</t>
  </si>
  <si>
    <t>Other income</t>
  </si>
  <si>
    <t>Specify</t>
  </si>
  <si>
    <t xml:space="preserve">  Business income</t>
  </si>
  <si>
    <t xml:space="preserve">  Professional income</t>
  </si>
  <si>
    <t xml:space="preserve">  Commission Income</t>
  </si>
  <si>
    <t xml:space="preserve">  Farming Income</t>
  </si>
  <si>
    <t xml:space="preserve">  Fishing Income</t>
  </si>
  <si>
    <t xml:space="preserve">Social assistance payments </t>
  </si>
  <si>
    <t xml:space="preserve">Add lines 144, 145, and 146 </t>
  </si>
  <si>
    <t xml:space="preserve">             Attach here all of the schedules, information slips, forms, receipts, and other</t>
  </si>
  <si>
    <t xml:space="preserve">             documents that you need to attach to your return.</t>
  </si>
  <si>
    <t>Enter your total income from line 150</t>
  </si>
  <si>
    <t>150</t>
  </si>
  <si>
    <t>Pension adjustment</t>
  </si>
  <si>
    <t xml:space="preserve">Saskatchewan Pension Plan deduction </t>
  </si>
  <si>
    <t>(maximum $600)</t>
  </si>
  <si>
    <t>Child care expenses (complete Form T778)</t>
  </si>
  <si>
    <t>where they are needed.  If you have more than one T4 slip, then enter the amounts from each T4 into one set of columns.</t>
  </si>
  <si>
    <t>If you have more than five T4 forms, you can add the data from the extra ones as a sum rather than a single #.</t>
  </si>
  <si>
    <t>MyTAX does NOT allow you to enter T4RSP data directly to other sheets and forms and schedules</t>
  </si>
  <si>
    <t>Business investment loss</t>
  </si>
  <si>
    <t>Moving expenses</t>
  </si>
  <si>
    <t>Support payments made                                                Total</t>
  </si>
  <si>
    <t>Carrying charges and interest expenses (Complete Schedule 4)</t>
  </si>
  <si>
    <t>Basic personal amount</t>
  </si>
  <si>
    <t>5804</t>
  </si>
  <si>
    <t>5808</t>
  </si>
  <si>
    <t>9</t>
  </si>
  <si>
    <t>(use provincial worksheet)</t>
  </si>
  <si>
    <t>Age amount (if born in 1936 or earlier)</t>
  </si>
  <si>
    <t>Spouse or common-law partner amount</t>
  </si>
  <si>
    <t xml:space="preserve">   Basic amount</t>
  </si>
  <si>
    <t xml:space="preserve">  Minus his or her net income from page 1 of your return</t>
  </si>
  <si>
    <t>Amount for an eligible dependant</t>
  </si>
  <si>
    <t>5812</t>
  </si>
  <si>
    <t>11</t>
  </si>
  <si>
    <t>5816</t>
  </si>
  <si>
    <t>12</t>
  </si>
  <si>
    <t>5820</t>
  </si>
  <si>
    <t>13</t>
  </si>
  <si>
    <t>Canada Pension Plan or Quebec Pension Plan contributions:</t>
  </si>
  <si>
    <t xml:space="preserve">  Amount from line 308 of your federal Schedule 1</t>
  </si>
  <si>
    <t xml:space="preserve">  Amount from line 310 of your federal Schedule 1</t>
  </si>
  <si>
    <t xml:space="preserve">  Amount from line 120 on your return</t>
  </si>
  <si>
    <t>T2205</t>
  </si>
  <si>
    <t>T3012A</t>
  </si>
  <si>
    <t xml:space="preserve">Total donations limit:  Add lines 2 and 5 </t>
  </si>
  <si>
    <t>(box 52 on all T4 slips and box 34 on all T4A slips)</t>
  </si>
  <si>
    <t>Part B – Basic limit for child care expenses deduction</t>
  </si>
  <si>
    <t>Number of elibible children:</t>
  </si>
  <si>
    <t>infirmity for whom the disability amount cannot be claimed)</t>
  </si>
  <si>
    <t>Add lines 1 to 3</t>
  </si>
  <si>
    <t>Multiply the amount on line 335 by16%</t>
  </si>
  <si>
    <t xml:space="preserve">Donations and gifts:  complete Schedule 9 </t>
  </si>
  <si>
    <r>
      <t xml:space="preserve">Total federal non-refundable tax credits; </t>
    </r>
    <r>
      <rPr>
        <sz val="12"/>
        <color indexed="8"/>
        <rFont val="Arial"/>
        <family val="2"/>
      </rPr>
      <t>Add Lines 338 and 349.</t>
    </r>
  </si>
  <si>
    <t>continue on the back</t>
  </si>
  <si>
    <t>Deduction and tax credit for CPP contributions on self-employment and other earnings:</t>
  </si>
  <si>
    <t>65 or older on December 31, 2001, or you</t>
  </si>
  <si>
    <t>314-2</t>
  </si>
  <si>
    <t>Registered pension plan deduction (box 20 on all T4 slips and box 32 on all T4A slips)</t>
  </si>
  <si>
    <t>Annual union, professional, or like dues (box 44 on all T4 slips, or from receipts)</t>
  </si>
  <si>
    <t>Non-resident tax deducted</t>
  </si>
  <si>
    <t>Repayment of Overpayment Total</t>
  </si>
  <si>
    <t>Paid to Issuer</t>
  </si>
  <si>
    <t>Reversal of federal tax deducted</t>
  </si>
  <si>
    <t>Employment Insurance (EI) benefits repayment chart</t>
  </si>
  <si>
    <t>In the first 60 days of 2002</t>
  </si>
  <si>
    <t>Total (max. $2,000 per person)</t>
  </si>
  <si>
    <t>If you have more than five T4A forms, you can add the data from the extra ones as a sum rather than a single #.</t>
  </si>
  <si>
    <t xml:space="preserve"> For example, if you have the following amounts in three box 16's:  21500.00, 1467.33, 991.56, </t>
  </si>
  <si>
    <t>Data
T4A # 1</t>
  </si>
  <si>
    <t>Data
T4A # 2</t>
  </si>
  <si>
    <t>Data
T4A # 3</t>
  </si>
  <si>
    <t>Data
T4A # 4</t>
  </si>
  <si>
    <t>Data
T4A # 5</t>
  </si>
  <si>
    <t>Footnote codes</t>
  </si>
  <si>
    <t>Pension or Superannuation</t>
  </si>
  <si>
    <t>Lump-sum payments</t>
  </si>
  <si>
    <t>Income Tax deducted</t>
  </si>
  <si>
    <t>Eligible retiring allowances</t>
  </si>
  <si>
    <t>Non-eligible retiring allownances</t>
  </si>
  <si>
    <t>Patronage allocations</t>
  </si>
  <si>
    <t>Registered Pension plan contributions (past service)</t>
  </si>
  <si>
    <t>RESP accumulated income payments</t>
  </si>
  <si>
    <t>RESP educational assistance payments</t>
  </si>
  <si>
    <t>115</t>
  </si>
  <si>
    <t>130</t>
  </si>
  <si>
    <t>166</t>
  </si>
  <si>
    <t>104,130</t>
  </si>
  <si>
    <r>
      <t>You do not have to complete this area every year</t>
    </r>
    <r>
      <rPr>
        <sz val="12"/>
        <color indexed="8"/>
        <rFont val="Arial"/>
        <family val="2"/>
      </rPr>
      <t>.  Do not complete it this year</t>
    </r>
  </si>
  <si>
    <t xml:space="preserve">     called "Did you or the other supporting person attend school in 2001?" on the attached information sheet.</t>
  </si>
  <si>
    <t xml:space="preserve">- You can transfer your unused 2001 amounts to ONE individual, either your spouse or common-law partner, or your spouse or </t>
  </si>
  <si>
    <t xml:space="preserve">  common-law partner's parent or grandparent.</t>
  </si>
  <si>
    <t>- You cannot transfer your unused 2001 amounts to your or your spouse or common-law partner's parent or grandparent if your spouse</t>
  </si>
  <si>
    <t xml:space="preserve">  or common-law partner is claiming an amount for you on line 303 or line 326 of his or her Schedule 1.</t>
  </si>
  <si>
    <t>Complete this calculation for each dependant.</t>
  </si>
  <si>
    <t>Enter the amount from line 7 above (if any)</t>
  </si>
  <si>
    <t xml:space="preserve">Printing </t>
  </si>
  <si>
    <t>Name of employee profit-sharing plan</t>
  </si>
  <si>
    <t xml:space="preserve">Statement of Investment Income             Details of </t>
  </si>
  <si>
    <t>Amount</t>
  </si>
  <si>
    <t xml:space="preserve">Allowable Deduction </t>
  </si>
  <si>
    <t>* You withdrew funds from your RRSP in 2001 under the LLP.</t>
  </si>
  <si>
    <t xml:space="preserve">  March 2, 2001 to December 31, 2001 (attach all receipts)</t>
  </si>
  <si>
    <t xml:space="preserve">  January 1, 2002, to February 28, 2002 (attach all receipts)</t>
  </si>
  <si>
    <t>2001 withdrawals under the LLP</t>
  </si>
  <si>
    <t>Starting this year you will also use Schedule 1 to claim you federal non-refundable tax credits.</t>
  </si>
  <si>
    <t>Medical expenses</t>
  </si>
  <si>
    <t>5868</t>
  </si>
  <si>
    <t>25</t>
  </si>
  <si>
    <t>27</t>
  </si>
  <si>
    <t>28</t>
  </si>
  <si>
    <t>29</t>
  </si>
  <si>
    <r>
      <t xml:space="preserve">If the amount on line 12 is more than "0", we will show it on your 2001 </t>
    </r>
    <r>
      <rPr>
        <i/>
        <sz val="12"/>
        <color indexed="8"/>
        <rFont val="Arial"/>
        <family val="2"/>
      </rPr>
      <t>Notice of Assessment.</t>
    </r>
  </si>
  <si>
    <t>Medical expenses (attach receipts)</t>
  </si>
  <si>
    <t>5006-R</t>
  </si>
  <si>
    <t>Please answer the following question</t>
  </si>
  <si>
    <t>Did you own or hold foreign property at any time in 2001 with a total cost of more than CAN$100,000?</t>
  </si>
  <si>
    <t>(read the "Foreign income" section in the guide for details) . . . . . . . . . . . . . . . . . . . . . . . . . . . . . . . . . . . . .</t>
  </si>
  <si>
    <t>If yes, complete Form T1135.</t>
  </si>
  <si>
    <t>(do not include any contributions or transfers that you will be including on line 10 or 11 below)</t>
  </si>
  <si>
    <t xml:space="preserve"> Contributions made to your RRSP from January 1, 2001, to March 1, 2002, you are designating as your:</t>
  </si>
  <si>
    <t xml:space="preserve">     Repayment under the HBP</t>
  </si>
  <si>
    <t xml:space="preserve">     Repayment under the LLP</t>
  </si>
  <si>
    <t>RRSP contributions available to deduct: Line 5 minus line 8</t>
  </si>
  <si>
    <t>- the amount from line 324 of your or your spouse or common-law partner's parent's or grandparents</t>
  </si>
  <si>
    <t>Exploration and development expenses (attach a completed Schedule 4)</t>
  </si>
  <si>
    <t xml:space="preserve">Add lines 207 to 224, 229, 231 and 232   </t>
  </si>
  <si>
    <r>
      <t>This is your</t>
    </r>
    <r>
      <rPr>
        <b/>
        <sz val="12"/>
        <color indexed="8"/>
        <rFont val="Arial"/>
        <family val="2"/>
      </rPr>
      <t xml:space="preserve"> net income before adjustments. </t>
    </r>
  </si>
  <si>
    <t>Enter the province or territory where you currently reside if</t>
  </si>
  <si>
    <t>Data
T5007 #4</t>
  </si>
  <si>
    <t>Data
T5007 #5</t>
  </si>
  <si>
    <t>STATEMENT OF BENEFITS</t>
  </si>
  <si>
    <t>T5007-2001 GENERAL DATA SUMMARY</t>
  </si>
  <si>
    <t xml:space="preserve"> For example, if you have the following amounts in three box 10's:  21500.00, 1467.33, 991.56, </t>
  </si>
  <si>
    <t>you would position the cursor the data entry line 144 below, and then key in</t>
  </si>
  <si>
    <t>Workers' compensation benefits</t>
  </si>
  <si>
    <t>144</t>
  </si>
  <si>
    <r>
      <t xml:space="preserve">Keep this </t>
    </r>
    <r>
      <rPr>
        <i/>
        <sz val="12"/>
        <color indexed="8"/>
        <rFont val="Arial"/>
        <family val="2"/>
      </rPr>
      <t xml:space="preserve">Provincial Worksheet </t>
    </r>
    <r>
      <rPr>
        <sz val="12"/>
        <color indexed="8"/>
        <rFont val="Arial"/>
        <family val="2"/>
      </rPr>
      <t xml:space="preserve">for your records.  </t>
    </r>
    <r>
      <rPr>
        <b/>
        <sz val="12"/>
        <color indexed="8"/>
        <rFont val="Arial"/>
        <family val="2"/>
      </rPr>
      <t>Do not attach it to the return you send us.</t>
    </r>
    <r>
      <rPr>
        <i/>
        <sz val="12"/>
        <color indexed="8"/>
        <rFont val="Arial"/>
        <family val="2"/>
      </rPr>
      <t xml:space="preserve"> </t>
    </r>
  </si>
  <si>
    <t>Line 5508 - Age Amount</t>
  </si>
  <si>
    <t>Maximum claim</t>
  </si>
  <si>
    <t>Line 2 minus line 3 (if negative, enter "0")</t>
  </si>
  <si>
    <t>Applicable rate</t>
  </si>
  <si>
    <t>Personal Income Tax Calculator for Canadians</t>
  </si>
  <si>
    <t>MyTAX</t>
  </si>
  <si>
    <t>Types of Fields</t>
  </si>
  <si>
    <t>Enter your total federal non-refundable tax credits from line 350 on the other side</t>
  </si>
  <si>
    <t>350</t>
  </si>
  <si>
    <t>Overseas employment tax credit (complete Form T626)</t>
  </si>
  <si>
    <t>426</t>
  </si>
  <si>
    <t>Minimum tax carry-over</t>
  </si>
  <si>
    <t>Add lines 350,425,426, and 427</t>
  </si>
  <si>
    <r>
      <t>Basic federal tax</t>
    </r>
    <r>
      <rPr>
        <sz val="12"/>
        <color indexed="8"/>
        <rFont val="Arial"/>
        <family val="2"/>
      </rPr>
      <t xml:space="preserve">: Line 11 minus line 12 (if negative, enter "0")  </t>
    </r>
  </si>
  <si>
    <t>Federal foreign tax credit: Complete the federal foreign tax credit calculation below and enter the amount from</t>
  </si>
  <si>
    <r>
      <t xml:space="preserve">line (i) or line (ii), whichever is </t>
    </r>
    <r>
      <rPr>
        <b/>
        <sz val="12"/>
        <color indexed="8"/>
        <rFont val="Arial"/>
        <family val="2"/>
      </rPr>
      <t>less</t>
    </r>
  </si>
  <si>
    <t>406</t>
  </si>
  <si>
    <r>
      <t>Federal tax</t>
    </r>
    <r>
      <rPr>
        <sz val="12"/>
        <color indexed="8"/>
        <rFont val="Arial"/>
        <family val="2"/>
      </rPr>
      <t>: Line 13 minus line 14 (if negative, enter "0")</t>
    </r>
  </si>
  <si>
    <r>
      <t>Refund and GST/HST credit -</t>
    </r>
    <r>
      <rPr>
        <sz val="12"/>
        <color indexed="8"/>
        <rFont val="Arial"/>
        <family val="2"/>
      </rPr>
      <t xml:space="preserve"> To start direct deposit or to change account</t>
    </r>
  </si>
  <si>
    <r>
      <t>Note:</t>
    </r>
    <r>
      <rPr>
        <sz val="12"/>
        <color indexed="8"/>
        <rFont val="Arial"/>
        <family val="2"/>
      </rPr>
      <t xml:space="preserve"> To deposit your </t>
    </r>
    <r>
      <rPr>
        <b/>
        <sz val="12"/>
        <color indexed="8"/>
        <rFont val="Arial"/>
        <family val="2"/>
      </rPr>
      <t>CCTB</t>
    </r>
    <r>
      <rPr>
        <sz val="12"/>
        <color indexed="8"/>
        <rFont val="Arial"/>
        <family val="2"/>
      </rPr>
      <t xml:space="preserve"> payments (including certain related provincial or</t>
    </r>
  </si>
  <si>
    <t>WRK</t>
  </si>
  <si>
    <t>S2</t>
  </si>
  <si>
    <t>S11</t>
  </si>
  <si>
    <t>S479</t>
  </si>
  <si>
    <t xml:space="preserve"> (see your farming income guide for details)</t>
  </si>
  <si>
    <t>Capital loss from a reduction in your business investment loss</t>
  </si>
  <si>
    <t>If you have a net capital loss, see line 127 in the guide.</t>
  </si>
  <si>
    <t xml:space="preserve"> 5000-S3</t>
  </si>
  <si>
    <t xml:space="preserve">      </t>
  </si>
  <si>
    <t>4. If you have more than five T4 slips you can enter the amounts as a formula: +n1+n2+n3+…</t>
  </si>
  <si>
    <t>Employment commissions</t>
  </si>
  <si>
    <t>you would position the cursor to one of the data entry boxes for item 14 below, and then key in</t>
  </si>
  <si>
    <t>Living common law</t>
  </si>
  <si>
    <t>Enter your province or territory of</t>
  </si>
  <si>
    <t>Enter $200, or the amount from line 344, whichever is less</t>
  </si>
  <si>
    <t xml:space="preserve">Line 344 minus line 345 </t>
  </si>
  <si>
    <t>X 29% =</t>
  </si>
  <si>
    <t xml:space="preserve">Donations and gifts: </t>
  </si>
  <si>
    <t xml:space="preserve"> Add lines 7 and 8</t>
  </si>
  <si>
    <t xml:space="preserve"> 5000-S9</t>
  </si>
  <si>
    <t>461</t>
  </si>
  <si>
    <t>460</t>
  </si>
  <si>
    <t>(3 digits)</t>
  </si>
  <si>
    <t>(maximum 12 digits)</t>
  </si>
  <si>
    <t>QUAL</t>
  </si>
  <si>
    <t>SPREADSHEET</t>
  </si>
  <si>
    <t>QUALIFICATION</t>
  </si>
  <si>
    <t>SOURCE</t>
  </si>
  <si>
    <t>DESTINATION</t>
  </si>
  <si>
    <t>LINE #</t>
  </si>
  <si>
    <t>SCHEDULE 1</t>
  </si>
  <si>
    <t>Use this schedule to claim your federal non-refundable tax credits and to calculate your net federal tax.</t>
  </si>
  <si>
    <t>When you have finished entering the data for each person, do a SAVE AS  to a separate file.</t>
  </si>
  <si>
    <t>Enter this amount on lines 235 and 422 of your return.  However,</t>
  </si>
  <si>
    <t>if you also received Old Age Security benefits and the amount on</t>
  </si>
  <si>
    <t>line 234 of your return is more than $55,309, see line 235 in your</t>
  </si>
  <si>
    <t>tax guide.</t>
  </si>
  <si>
    <t xml:space="preserve"> 1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</si>
  <si>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</si>
  <si>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</si>
  <si>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</si>
  <si>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</si>
  <si>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</si>
  <si>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</si>
  <si>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X    30%</t>
  </si>
  <si>
    <t>Dependant's net income (from line 236 of his or her return)</t>
  </si>
  <si>
    <t>or she were filing a return.</t>
  </si>
  <si>
    <t>If, at the end of the year you and your spouse or common-law partner were not resident of the same province, please contact your local</t>
  </si>
  <si>
    <t>Enter an amount that is not more than the amount on line 17 of his or her Schedule 11</t>
  </si>
  <si>
    <t>His or her taxable income (line 260 of his or her return)</t>
  </si>
  <si>
    <t>Enter the total of lines 300, 308, 310, and 312 of his or her Schedule 1, plus line 13 of</t>
  </si>
  <si>
    <t>his or her Schedule 11</t>
  </si>
  <si>
    <r>
      <t>Note:</t>
    </r>
    <r>
      <rPr>
        <sz val="12"/>
        <color indexed="8"/>
        <rFont val="Arial"/>
        <family val="2"/>
      </rPr>
      <t xml:space="preserve"> If the amount on line 14 is "0", you do not have to complete the rest of this schedule.</t>
    </r>
  </si>
  <si>
    <t>Enter $5,000, or the amount from line 5, whichever is less</t>
  </si>
  <si>
    <t>Enter the amount from line 12 above</t>
  </si>
  <si>
    <t xml:space="preserve">Maximum amount available for transfer: Line 15 minus line 16 </t>
  </si>
  <si>
    <t>If you are transferring all or a part of the amount on line 17 to another individual *:</t>
  </si>
  <si>
    <t>in 2000</t>
  </si>
  <si>
    <t>(maximum $1,000)</t>
  </si>
  <si>
    <t>Federal sheets background colour</t>
  </si>
  <si>
    <t>Spreadsheet Calculated Value</t>
  </si>
  <si>
    <t>Unprotected cell</t>
  </si>
  <si>
    <r>
      <t xml:space="preserve">List the </t>
    </r>
    <r>
      <rPr>
        <b/>
        <sz val="12"/>
        <rFont val="Arial MT"/>
        <family val="0"/>
      </rPr>
      <t>first and last names</t>
    </r>
    <r>
      <rPr>
        <sz val="12"/>
        <rFont val="Arial MT"/>
        <family val="0"/>
      </rPr>
      <t xml:space="preserve"> and the </t>
    </r>
    <r>
      <rPr>
        <b/>
        <sz val="12"/>
        <rFont val="Arial MT"/>
        <family val="0"/>
      </rPr>
      <t>date of birth</t>
    </r>
    <r>
      <rPr>
        <sz val="12"/>
        <rFont val="Arial MT"/>
        <family val="0"/>
      </rPr>
      <t xml:space="preserve"> of all your eligible children</t>
    </r>
  </si>
  <si>
    <r>
      <t xml:space="preserve">Indicate who received the payments. Provide the </t>
    </r>
    <r>
      <rPr>
        <b/>
        <sz val="12"/>
        <rFont val="Arial MT"/>
        <family val="0"/>
      </rPr>
      <t>name of the child care</t>
    </r>
  </si>
  <si>
    <r>
      <t xml:space="preserve">organization </t>
    </r>
    <r>
      <rPr>
        <sz val="12"/>
        <rFont val="Arial MT"/>
        <family val="0"/>
      </rPr>
      <t>or the</t>
    </r>
    <r>
      <rPr>
        <b/>
        <sz val="12"/>
        <rFont val="Arial MT"/>
        <family val="0"/>
      </rPr>
      <t xml:space="preserve"> name and social insurance number of the individual.</t>
    </r>
  </si>
  <si>
    <t>Number of weeks for</t>
  </si>
  <si>
    <t>Enter any child care expenses included above that were paid in 2001 for a child who was 18 or older</t>
  </si>
  <si>
    <t xml:space="preserve">MyTAX uses the lines listed below to pick up data from other input forms including T4, T4A, T4(OAS), </t>
  </si>
  <si>
    <t>T4E, T4PS, T5007 and puts it in the "Total of all data" column</t>
  </si>
  <si>
    <t>Name of Issuer</t>
  </si>
  <si>
    <r>
      <t xml:space="preserve">Total </t>
    </r>
    <r>
      <rPr>
        <b/>
        <sz val="12"/>
        <color indexed="8"/>
        <rFont val="Arial"/>
        <family val="2"/>
      </rPr>
      <t>151</t>
    </r>
  </si>
  <si>
    <r>
      <t xml:space="preserve">Gain (or loss) </t>
    </r>
    <r>
      <rPr>
        <b/>
        <sz val="12"/>
        <color indexed="8"/>
        <rFont val="Arial"/>
        <family val="2"/>
      </rPr>
      <t>153</t>
    </r>
  </si>
  <si>
    <t>6. Other mortgage foreclosures and conditional sales repossessions</t>
  </si>
  <si>
    <r>
      <t xml:space="preserve">Total </t>
    </r>
    <r>
      <rPr>
        <b/>
        <sz val="12"/>
        <color indexed="8"/>
        <rFont val="Arial"/>
        <family val="2"/>
      </rPr>
      <t>154</t>
    </r>
  </si>
  <si>
    <r>
      <t xml:space="preserve">Gain (or loss) </t>
    </r>
    <r>
      <rPr>
        <b/>
        <sz val="12"/>
        <color indexed="8"/>
        <rFont val="Arial"/>
        <family val="2"/>
      </rPr>
      <t>155</t>
    </r>
  </si>
  <si>
    <r>
      <t xml:space="preserve">7. Personal-use property </t>
    </r>
    <r>
      <rPr>
        <sz val="12"/>
        <color indexed="8"/>
        <rFont val="Arial"/>
        <family val="2"/>
      </rPr>
      <t>(full description)</t>
    </r>
  </si>
  <si>
    <r>
      <t xml:space="preserve">       Gain only </t>
    </r>
    <r>
      <rPr>
        <b/>
        <sz val="12"/>
        <color indexed="8"/>
        <rFont val="Arial"/>
        <family val="2"/>
      </rPr>
      <t xml:space="preserve">158 </t>
    </r>
    <r>
      <rPr>
        <sz val="12"/>
        <color indexed="8"/>
        <rFont val="Arial"/>
        <family val="2"/>
      </rPr>
      <t xml:space="preserve"> </t>
    </r>
  </si>
  <si>
    <t xml:space="preserve"> *  Reduce this amount by any income from that foreign country for which you claimed a capital gains deduction, and by any income from that country</t>
  </si>
  <si>
    <t>Add line 16 and line 17</t>
  </si>
  <si>
    <t>Line 5 (in Part B) minus line 9 (in Part B) or line 14 (in Part C), whichever applies to you</t>
  </si>
  <si>
    <t>Line 4 (in Part B) minus line 9 (in Part B) or line 14 (in Part C), whichever applies to you</t>
  </si>
  <si>
    <r>
      <t xml:space="preserve">* You will not be deducting on your return for 2001 all of the RRSP contributions you made from </t>
    </r>
    <r>
      <rPr>
        <b/>
        <sz val="12"/>
        <color indexed="8"/>
        <rFont val="Arial"/>
        <family val="2"/>
      </rPr>
      <t xml:space="preserve">March 2, 2001, </t>
    </r>
    <r>
      <rPr>
        <sz val="12"/>
        <color indexed="8"/>
        <rFont val="Arial"/>
        <family val="2"/>
      </rPr>
      <t>to</t>
    </r>
    <r>
      <rPr>
        <b/>
        <sz val="12"/>
        <color indexed="8"/>
        <rFont val="Arial"/>
        <family val="2"/>
      </rPr>
      <t xml:space="preserve"> March 1, 2002.</t>
    </r>
  </si>
  <si>
    <t>User Data</t>
  </si>
  <si>
    <t>T1 GEN-1</t>
  </si>
  <si>
    <t>T1 GEN-2-3-4</t>
  </si>
  <si>
    <t>T4A-OAS</t>
  </si>
  <si>
    <t>T778</t>
  </si>
  <si>
    <t>Sch2</t>
  </si>
  <si>
    <t>Sch5</t>
  </si>
  <si>
    <t>Sch4-2</t>
  </si>
  <si>
    <t>Sch11</t>
  </si>
  <si>
    <t>SHEETS NAVIGATION &amp; STATUS</t>
  </si>
  <si>
    <t>Print Sheet</t>
  </si>
  <si>
    <t>Name</t>
  </si>
  <si>
    <t>Go To Sheet</t>
  </si>
  <si>
    <t>GO TO</t>
  </si>
  <si>
    <t xml:space="preserve">Employment benefits &amp; </t>
  </si>
  <si>
    <t>support measures paid</t>
  </si>
  <si>
    <t>Federal income tax deducted</t>
  </si>
  <si>
    <t>where they are needed.  If you have more than one T5 slip, then enter the amounts from each T5.</t>
  </si>
  <si>
    <t>If you have more than five T5 forms, you can add the data from the extra ones as a sum rather than a single #.</t>
  </si>
  <si>
    <t>Data
T5 #1</t>
  </si>
  <si>
    <t>Data
T5 #2</t>
  </si>
  <si>
    <t>Data
T5 #3</t>
  </si>
  <si>
    <t>Data
T5 #4</t>
  </si>
  <si>
    <t>Data
T5 #5</t>
  </si>
  <si>
    <t>T5-2001 SLIPS DATA ENTRY FOR</t>
  </si>
  <si>
    <t xml:space="preserve"> For example, if you have the following amounts in three box 11's:  21500.00, 1467.33, 991.56, </t>
  </si>
  <si>
    <t>you would position the cursor the data entry line 120 below, and then key in</t>
  </si>
  <si>
    <t>T4RIF-2001 SLIPS DATA ENTRY FOR</t>
  </si>
  <si>
    <r>
      <t xml:space="preserve">Enter, on line 5848 the total amount claimed for </t>
    </r>
    <r>
      <rPr>
        <b/>
        <sz val="12"/>
        <color indexed="8"/>
        <rFont val="Arial"/>
        <family val="2"/>
      </rPr>
      <t>all</t>
    </r>
    <r>
      <rPr>
        <sz val="12"/>
        <color indexed="8"/>
        <rFont val="Arial"/>
        <family val="2"/>
      </rPr>
      <t xml:space="preserve"> disabled dependants.</t>
    </r>
  </si>
  <si>
    <t>Amount for this dependant:</t>
  </si>
  <si>
    <t>Line 5872 - Medical expenses adjustment</t>
  </si>
  <si>
    <t>Adjustment rate</t>
  </si>
  <si>
    <t>Situation Index for boxes, 16,20,24</t>
  </si>
  <si>
    <t>Situation index for box 22</t>
  </si>
  <si>
    <t>Annuitant's date of death   (yyyy-mm-dd)</t>
  </si>
  <si>
    <t>THIS</t>
  </si>
  <si>
    <t>SUMMARY</t>
  </si>
  <si>
    <t>DATA</t>
  </si>
  <si>
    <t>IS</t>
  </si>
  <si>
    <t>PICKED</t>
  </si>
  <si>
    <t>UP</t>
  </si>
  <si>
    <t>BY</t>
  </si>
  <si>
    <t>UP BY</t>
  </si>
  <si>
    <t>THE</t>
  </si>
  <si>
    <t>SHEET</t>
  </si>
  <si>
    <t>DATA IS</t>
  </si>
  <si>
    <t>THE MISC</t>
  </si>
  <si>
    <t>MISC TOTALS</t>
  </si>
  <si>
    <t>UP THE DATA</t>
  </si>
  <si>
    <t>SHEETS AND</t>
  </si>
  <si>
    <t>ALLOCATES</t>
  </si>
  <si>
    <t>IT.</t>
  </si>
  <si>
    <t>&amp; T2205</t>
  </si>
  <si>
    <t>THE INPUT</t>
  </si>
  <si>
    <t>FROM ALL</t>
  </si>
  <si>
    <t>Employer's Name</t>
  </si>
  <si>
    <t>death</t>
  </si>
  <si>
    <t>From Box 40 (See T4040 Guide)</t>
  </si>
  <si>
    <t>From Box 34 for T1 GEN-2</t>
  </si>
  <si>
    <t>From Box 28 for T1 GEN-2</t>
  </si>
  <si>
    <t>From Box 28 for T1 GEN-3</t>
  </si>
  <si>
    <t>From Box 20 for T1 GEN-3</t>
  </si>
  <si>
    <t>From Box 16 for FED WRK</t>
  </si>
  <si>
    <t>From Box 18 for T1 GEN-2</t>
  </si>
  <si>
    <t>From Box 26 for T1 GEN-2</t>
  </si>
  <si>
    <t>From Box 20 for T2205</t>
  </si>
  <si>
    <t>From Box 22 for T2205</t>
  </si>
  <si>
    <t>Situation Index for boxes 20,22,26</t>
  </si>
  <si>
    <t>From Box 26 for T2205</t>
  </si>
  <si>
    <t>Payment because death of spouse:(Yes or No)</t>
  </si>
  <si>
    <t>Situation Index for box 16</t>
  </si>
  <si>
    <t>AND</t>
  </si>
  <si>
    <t>grandparent, if your spouse or common-law partner is claiming an amount for you on line 5812 or line 5864 of his or her Form NS428.</t>
  </si>
  <si>
    <t>If the amount on line 1 is:</t>
  </si>
  <si>
    <t>$30,754 or less</t>
  </si>
  <si>
    <t>more than '$30,754, but</t>
  </si>
  <si>
    <t>not more than $61,509</t>
  </si>
  <si>
    <t>more than '$61,509</t>
  </si>
  <si>
    <t>but not more than</t>
  </si>
  <si>
    <t>$100,000</t>
  </si>
  <si>
    <t>more than</t>
  </si>
  <si>
    <t>Enter the amount from line 1 above</t>
  </si>
  <si>
    <t>Rate</t>
  </si>
  <si>
    <t>Multiply the amount on line 4 by the rate on line 5</t>
  </si>
  <si>
    <t>Employee's QPP contributions</t>
  </si>
  <si>
    <t>Employee's EI premiums</t>
  </si>
  <si>
    <t>Union dues</t>
  </si>
  <si>
    <t>RPP contributions</t>
  </si>
  <si>
    <t>Enter your date of birth:</t>
  </si>
  <si>
    <t>Mailing address; Apt. NO. - Street No.  Street Name</t>
  </si>
  <si>
    <t>Your language of correspondence:</t>
  </si>
  <si>
    <t>tax services office.</t>
  </si>
  <si>
    <r>
      <t>Age amount</t>
    </r>
    <r>
      <rPr>
        <sz val="12"/>
        <rFont val="Arial MT"/>
        <family val="0"/>
      </rPr>
      <t xml:space="preserve"> (if he or she was age 65 or older in 2001):</t>
    </r>
  </si>
  <si>
    <t>Tuition and education amounts:</t>
  </si>
  <si>
    <t>Enter the provincial amount designated in your name on the back of his or her Form T2202 or T2202A</t>
  </si>
  <si>
    <r>
      <t xml:space="preserve">        </t>
    </r>
    <r>
      <rPr>
        <b/>
        <sz val="14"/>
        <color indexed="8"/>
        <rFont val="Arial"/>
        <family val="2"/>
      </rPr>
      <t xml:space="preserve">Peel Technologies Inc., </t>
    </r>
    <r>
      <rPr>
        <sz val="14"/>
        <color indexed="8"/>
        <rFont val="Arial"/>
        <family val="2"/>
      </rPr>
      <t xml:space="preserve"> 11025 Miller Road, Dutton, Ontario, N0L 1J0</t>
    </r>
  </si>
  <si>
    <t>© Peel Technologies Inc.</t>
  </si>
  <si>
    <t>MyTAX does NOT allow you to enter T3 data directly to other sheets and forms and schedules</t>
  </si>
  <si>
    <t>If you are the supporting person with the higher net income, go to Part C. Leave lines 8 and 9 blank.</t>
  </si>
  <si>
    <t>Enter any child care expenses that the other supporting person with the higher net income</t>
  </si>
  <si>
    <t>deducted on line 214 of his or her 2001 return</t>
  </si>
  <si>
    <t>Line 7 minus line 8. If you attended school in 2001 and you are the only supporting person, go to Part D.</t>
  </si>
  <si>
    <t>6801</t>
  </si>
  <si>
    <t>6798</t>
  </si>
  <si>
    <t>6796</t>
  </si>
  <si>
    <t>Total pensionable earnings (add lines 3 and 4)</t>
  </si>
  <si>
    <t xml:space="preserve">Basic CPP exemption             </t>
  </si>
  <si>
    <t>Earnings subject to contribution: Line 5 minus line 6 (if negative, enter "0")</t>
  </si>
  <si>
    <t>Contributions through employment</t>
  </si>
  <si>
    <t xml:space="preserve"> (from box 16 and box 17 on all T4 slips)</t>
  </si>
  <si>
    <t>X 2 =</t>
  </si>
  <si>
    <t>Donations and Gifts</t>
  </si>
  <si>
    <t xml:space="preserve">   </t>
  </si>
  <si>
    <r>
      <t xml:space="preserve">Multiply the amount on line 15 by the number of </t>
    </r>
    <r>
      <rPr>
        <b/>
        <sz val="12"/>
        <rFont val="Arial MT"/>
        <family val="0"/>
      </rPr>
      <t>full weeks</t>
    </r>
    <r>
      <rPr>
        <sz val="12"/>
        <rFont val="Arial MT"/>
        <family val="0"/>
      </rPr>
      <t xml:space="preserve"> </t>
    </r>
  </si>
  <si>
    <r>
      <t xml:space="preserve">line 7, whichever is </t>
    </r>
    <r>
      <rPr>
        <b/>
        <sz val="14"/>
        <color indexed="8"/>
        <rFont val="Arial"/>
        <family val="2"/>
      </rPr>
      <t>less</t>
    </r>
    <r>
      <rPr>
        <sz val="14"/>
        <color indexed="8"/>
        <rFont val="Arial"/>
        <family val="2"/>
      </rPr>
      <t>.</t>
    </r>
  </si>
  <si>
    <t>Employment Insurance premiums (from line 312 of your federal Schedule 1)</t>
  </si>
  <si>
    <t>Pension income amount</t>
  </si>
  <si>
    <t>Tuition and education amounts transferred from a child</t>
  </si>
  <si>
    <t>Social benefits repayment (if you reported income on line 113, 119, or 146, see line 235 in the guide)</t>
  </si>
  <si>
    <t>MISC</t>
  </si>
  <si>
    <t>T5013</t>
  </si>
  <si>
    <t>T4F</t>
  </si>
  <si>
    <t xml:space="preserve"> in 2001 you (and the other supporting person)</t>
  </si>
  <si>
    <t xml:space="preserve"> in 2001 you (or the other supporting person)</t>
  </si>
  <si>
    <t>Add lines 4 and 5</t>
  </si>
  <si>
    <t>information only, attach a "void" cheque or complete lines 460, 461, and 462.</t>
  </si>
  <si>
    <t>territorial payments) into the same account, also check box 463</t>
  </si>
  <si>
    <t>Branch</t>
  </si>
  <si>
    <t>number</t>
  </si>
  <si>
    <t>Institution</t>
  </si>
  <si>
    <t>CCTB</t>
  </si>
  <si>
    <t>462</t>
  </si>
  <si>
    <t>Total federal political contributions</t>
  </si>
  <si>
    <t>(attach receipts)</t>
  </si>
  <si>
    <t xml:space="preserve">  Federal political contribution tax credit (see guide)</t>
  </si>
  <si>
    <t>Investment tax credit (complete Form T2038(IND))</t>
  </si>
  <si>
    <t>CPP contributions payable on self-employment and other earnings (from Schedule 8)</t>
  </si>
  <si>
    <t>Provincial or territorial tax (complete Form 428)</t>
  </si>
  <si>
    <t>428</t>
  </si>
  <si>
    <t>Provincial or territorial tax credits (complete Form 479)</t>
  </si>
  <si>
    <t xml:space="preserve">Refundable Quebec abatement </t>
  </si>
  <si>
    <t>Non-refundable tax credit rate</t>
  </si>
  <si>
    <t>Donations and gifts:</t>
  </si>
  <si>
    <t xml:space="preserve">                                                                          AMOUNTS FROM A SPOUSAL OR </t>
  </si>
  <si>
    <t xml:space="preserve">                                       COMMON-LAW PARTNER RRSP OR RRIF TO INCLUDE IN INCOME FOR </t>
  </si>
  <si>
    <t>(year )</t>
  </si>
  <si>
    <t>On the line in the title of this form, enter the calendar year indicated on your spousal or common-law partner T4RSP or T4RIF slips. To find out if your RRSP or</t>
  </si>
  <si>
    <t xml:space="preserve"> RRIF is such a plan or fund, see box 24 of your T4RSP, or box 26 of your T4RIF slip. For more information and instructions, see the back of this form.</t>
  </si>
  <si>
    <t>Your name</t>
  </si>
  <si>
    <t>Social insurance number</t>
  </si>
  <si>
    <t>Your spouse's or common-law partner's name</t>
  </si>
  <si>
    <t>Part 1 -- RRSPs</t>
  </si>
  <si>
    <t>RRSPs for the year you indicated in the title. Enter the total.</t>
  </si>
  <si>
    <t xml:space="preserve">2. Enter the part of the line 1 amount that was directly transferred to another RSP or RRIF, or used </t>
  </si>
  <si>
    <t xml:space="preserve"> to buy an annuity that cannot be commuted for at least three years from the day it was bought.</t>
  </si>
  <si>
    <t>&gt;&gt;</t>
  </si>
  <si>
    <t>4. Enter  the total amount that your spouse or common-law partner contributed to your RRSPs in the</t>
  </si>
  <si>
    <t xml:space="preserve"> year you indicated in the title, and the two preceding years.</t>
  </si>
  <si>
    <t>5. Enter the portion of the line 4 amount that your spouse or common-law partner contributed to your</t>
  </si>
  <si>
    <t xml:space="preserve"> RRSPs in the two preceding years, and included in income for one of those two preceding years.</t>
  </si>
  <si>
    <t>7. Enter the amount from line 1.</t>
  </si>
  <si>
    <t xml:space="preserve"> of his or her return for the year you indicated in the title.</t>
  </si>
  <si>
    <t>Part 2 -- RRIFs</t>
  </si>
  <si>
    <t>10. Enter the total of the amounts in box 20 of your T4RIF slips for spousal or common-law partner</t>
  </si>
  <si>
    <t xml:space="preserve"> RRIFs for the year you indicated in the title.</t>
  </si>
  <si>
    <t xml:space="preserve">11. Enter the total of the amounts in box 24 of the T4RIF slips that you  </t>
  </si>
  <si>
    <t xml:space="preserve">received from spousal or common-law partner RRIFs in the year you </t>
  </si>
  <si>
    <t>indicated in the title.</t>
  </si>
  <si>
    <t>12. Enter the portion of the amount on line 11 that was directly transferred</t>
  </si>
  <si>
    <t>to another RRIF or an RRSP, or used to buy an annuity that cannot be</t>
  </si>
  <si>
    <t xml:space="preserve"> commuted for at least three years from the day it was bought.</t>
  </si>
  <si>
    <t xml:space="preserve">15. Enter the total amount that your spouse or common-law partner contributed to your RRSPs in the </t>
  </si>
  <si>
    <t xml:space="preserve">year you indicated in the title, and the two preceding years. If you completed Part 1 above, enter the  </t>
  </si>
  <si>
    <t>amount from line 4.</t>
  </si>
  <si>
    <t xml:space="preserve">16. Enter the portion of the line 15 amount that your spouse or common-law partner contributed to your </t>
  </si>
  <si>
    <t xml:space="preserve"> RRSPs in the two preceding years and indicated in income for one of those preceding years. If</t>
  </si>
  <si>
    <t xml:space="preserve"> you completed Part 1 above, add the line 5 and line 8 amounts and enter the  result.</t>
  </si>
  <si>
    <t>18. Add the amounts in boxes 16 and box 20 of your T4RIF slips that you received from spousal or common-law partner RRIFs in</t>
  </si>
  <si>
    <t xml:space="preserve"> the year you indicated in the title, and enter the total.</t>
  </si>
  <si>
    <t xml:space="preserve"> the year you indicated in the title, he or she reports this income on line 115 of his or her return for that year. Otherwise, your</t>
  </si>
  <si>
    <t xml:space="preserve"> spouse or common-law partner reports this amount on line 130.</t>
  </si>
  <si>
    <t xml:space="preserve"> your own return for that year. Otherwise, report this amount on line 130.</t>
  </si>
  <si>
    <t>T2205 E (01)</t>
  </si>
  <si>
    <t xml:space="preserve">                       Copy 1-- Your spouse or common-law partner attaches this copy to his or her income tax return for the year</t>
  </si>
  <si>
    <r>
      <t xml:space="preserve">1. </t>
    </r>
    <r>
      <rPr>
        <b/>
        <sz val="9"/>
        <color indexed="8"/>
        <rFont val="Arial"/>
        <family val="2"/>
      </rPr>
      <t>Add</t>
    </r>
    <r>
      <rPr>
        <sz val="9"/>
        <color indexed="8"/>
        <rFont val="Arial"/>
        <family val="2"/>
      </rPr>
      <t xml:space="preserve"> the amounts in boxes 20, 22, and 26 of your T4RSP  slip, for spousal or common-law partner </t>
    </r>
  </si>
  <si>
    <r>
      <t xml:space="preserve">3. Line 1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2</t>
    </r>
  </si>
  <si>
    <r>
      <t xml:space="preserve">6. Line 4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5</t>
    </r>
  </si>
  <si>
    <r>
      <t xml:space="preserve">8. Enter the amount from line 3 or line 6, </t>
    </r>
    <r>
      <rPr>
        <b/>
        <sz val="9"/>
        <color indexed="8"/>
        <rFont val="Arial"/>
        <family val="2"/>
      </rPr>
      <t>whichever is less</t>
    </r>
    <r>
      <rPr>
        <sz val="9"/>
        <color indexed="8"/>
        <rFont val="Arial"/>
        <family val="2"/>
      </rPr>
      <t>. Your spouse or common-law partner reports this income on line 129</t>
    </r>
  </si>
  <si>
    <r>
      <t xml:space="preserve">9. Line 7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8. Report this income on line 129 of your return for the year you indicated in the title.</t>
    </r>
  </si>
  <si>
    <r>
      <t xml:space="preserve">13. Line 11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12.</t>
    </r>
  </si>
  <si>
    <r>
      <t xml:space="preserve">14. Line 10 </t>
    </r>
    <r>
      <rPr>
        <b/>
        <sz val="9"/>
        <color indexed="8"/>
        <rFont val="Arial"/>
        <family val="2"/>
      </rPr>
      <t>plus</t>
    </r>
    <r>
      <rPr>
        <sz val="9"/>
        <color indexed="8"/>
        <rFont val="Arial"/>
        <family val="2"/>
      </rPr>
      <t xml:space="preserve"> line 13.</t>
    </r>
  </si>
  <si>
    <r>
      <t xml:space="preserve">17. Line 15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16</t>
    </r>
  </si>
  <si>
    <r>
      <t xml:space="preserve">19. Enter the amount from line 14 or line 17, </t>
    </r>
    <r>
      <rPr>
        <b/>
        <sz val="9"/>
        <color indexed="8"/>
        <rFont val="Arial"/>
        <family val="2"/>
      </rPr>
      <t>whichever is less.</t>
    </r>
    <r>
      <rPr>
        <sz val="9"/>
        <color indexed="8"/>
        <rFont val="Arial"/>
        <family val="2"/>
      </rPr>
      <t xml:space="preserve"> If spouse or common-law partner was 65 or older at the end of</t>
    </r>
  </si>
  <si>
    <r>
      <t xml:space="preserve">20. Line 18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19. If you were 65 or older at the end of the year you indicted in the title, report this income on line 115 of</t>
    </r>
  </si>
  <si>
    <t>Enter the amount from box 15 if the</t>
  </si>
  <si>
    <t>repayment rate in box 7 is 30%</t>
  </si>
  <si>
    <t>amount on line 5 for 2002 as well as that amount for either 2001</t>
  </si>
  <si>
    <t>Are you applying for the GST/HST credit? (see the guide for details)............................................................................</t>
  </si>
  <si>
    <t>If yes, we will now get the number of children for purposes of this credit from the Canada Child Tax Benefit information we have on file.</t>
  </si>
  <si>
    <t>Your guide contains valuable information to help you complete your return.</t>
  </si>
  <si>
    <t>enter $3,500</t>
  </si>
  <si>
    <t>Line 316 - Disability amount (calculation if</t>
  </si>
  <si>
    <t>you were under age 18 on December 31, 2001)</t>
  </si>
  <si>
    <t>Maximum supplement</t>
  </si>
  <si>
    <t>Total Child care and</t>
  </si>
  <si>
    <t>Protected against change</t>
  </si>
  <si>
    <t>Payment of the MyTAX 2001 annual licence fee entitles you to prepare an unlimited number of income tax returns.</t>
  </si>
  <si>
    <t>Plain white fields are for user entered data.  You can override the default values/formulae</t>
  </si>
  <si>
    <t>Part1,4</t>
  </si>
  <si>
    <t>You can transfer all or part of the amount on line 16 to your spouse or common-law partner, to his or her parent or grandparent, or to your</t>
  </si>
  <si>
    <t>amount that you are transferring to him or her (the provincial amount may be different than the federal amount).  Enter the amount you are</t>
  </si>
  <si>
    <t>transferring on line 20 below.</t>
  </si>
  <si>
    <t>`</t>
  </si>
  <si>
    <t>If you had certain dealings with a non-resident trust or corporation in 2001, see the "Foreign income" section in the guide.</t>
  </si>
  <si>
    <t>1           No</t>
  </si>
  <si>
    <t xml:space="preserve">Yes  </t>
  </si>
  <si>
    <t>As a Canadian resident, you have to report your income from all sources both inside and outside Canada.</t>
  </si>
  <si>
    <t>Employment income (box 14 on all T4 Slips)</t>
  </si>
  <si>
    <t>Other employment income</t>
  </si>
  <si>
    <t>CPP or QPP benefits (box 20 on the T4A(P) slip)</t>
  </si>
  <si>
    <t>Disability benefits included on line 114 
(box 16 on the T4A(P) slip)</t>
  </si>
  <si>
    <t>2001 or 2000 is more than $2,000 ($1200 if you live in Quebec).</t>
  </si>
  <si>
    <t>EI benefits repayment from line 8 of the chart</t>
  </si>
  <si>
    <t>on the back of your T4E slip (if any)</t>
  </si>
  <si>
    <t>Enter on line 305 of Schedule 1, $6,293 or the amount on</t>
  </si>
  <si>
    <r>
      <t xml:space="preserve">line 3, whichever is </t>
    </r>
    <r>
      <rPr>
        <b/>
        <sz val="14"/>
        <color indexed="8"/>
        <rFont val="Arial"/>
        <family val="2"/>
      </rPr>
      <t>less.</t>
    </r>
  </si>
  <si>
    <t>enter $3,500.</t>
  </si>
  <si>
    <t>schedule 1, enter the amount claimed</t>
  </si>
  <si>
    <t>Enter on line 306 of Schedule 1, the total amount claimed for</t>
  </si>
  <si>
    <t>Line 1 minus line 2; if it is more than $3,500,</t>
  </si>
  <si>
    <t>Sched 8</t>
  </si>
  <si>
    <t>columns 3 and 4)</t>
  </si>
  <si>
    <t>No. of Shares</t>
  </si>
  <si>
    <t>Name of corporation and class of shares</t>
  </si>
  <si>
    <r>
      <t xml:space="preserve">Total </t>
    </r>
    <r>
      <rPr>
        <b/>
        <sz val="12"/>
        <color indexed="8"/>
        <rFont val="Arial"/>
        <family val="2"/>
      </rPr>
      <t>106</t>
    </r>
  </si>
  <si>
    <r>
      <t xml:space="preserve">Gain (or loss) </t>
    </r>
    <r>
      <rPr>
        <b/>
        <sz val="12"/>
        <color indexed="8"/>
        <rFont val="Arial"/>
        <family val="2"/>
      </rPr>
      <t>107</t>
    </r>
  </si>
  <si>
    <t>Schedule 1 that relates to you, whichever applies.</t>
  </si>
  <si>
    <r>
      <t xml:space="preserve"> this schedule, is </t>
    </r>
    <r>
      <rPr>
        <b/>
        <sz val="12"/>
        <color indexed="8"/>
        <rFont val="Arial"/>
        <family val="2"/>
      </rPr>
      <t>not to be attached</t>
    </r>
    <r>
      <rPr>
        <sz val="12"/>
        <color indexed="8"/>
        <rFont val="Arial"/>
        <family val="2"/>
      </rPr>
      <t xml:space="preserve"> to the other individual's return.</t>
    </r>
  </si>
  <si>
    <t>Part D does not apply to the supporting person with the lower net income since the other supporting person will claim this part of the deduction for both of them.</t>
  </si>
  <si>
    <r>
      <t xml:space="preserve">·You were the </t>
    </r>
    <r>
      <rPr>
        <b/>
        <sz val="12"/>
        <rFont val="Arial MT"/>
        <family val="0"/>
      </rPr>
      <t>only supporting person</t>
    </r>
    <r>
      <rPr>
        <sz val="12"/>
        <rFont val="Arial MT"/>
        <family val="0"/>
      </rPr>
      <t>, line 7 equals line 6 in Part B, and you were enrolled in an educational program described in</t>
    </r>
  </si>
  <si>
    <r>
      <t xml:space="preserve">You were the </t>
    </r>
    <r>
      <rPr>
        <b/>
        <sz val="12"/>
        <rFont val="Arial MT"/>
        <family val="0"/>
      </rPr>
      <t>supporting person with the higher net income</t>
    </r>
    <r>
      <rPr>
        <sz val="12"/>
        <rFont val="Arial MT"/>
        <family val="0"/>
      </rPr>
      <t>, line 7 equals line 6 in Part B, and you and the other supporting</t>
    </r>
  </si>
  <si>
    <r>
      <t>were in</t>
    </r>
    <r>
      <rPr>
        <b/>
        <sz val="12"/>
        <rFont val="Arial MT"/>
        <family val="0"/>
      </rPr>
      <t xml:space="preserve"> full-time</t>
    </r>
    <r>
      <rPr>
        <sz val="12"/>
        <rFont val="Arial MT"/>
        <family val="0"/>
      </rPr>
      <t xml:space="preserve"> attendance</t>
    </r>
  </si>
  <si>
    <t>Total credits from line 482</t>
  </si>
  <si>
    <t>(if negative, enter "0")</t>
  </si>
  <si>
    <t>of your return</t>
  </si>
  <si>
    <t>Multiply the amount on line 4 by 15%</t>
  </si>
  <si>
    <t>Total of amounts on</t>
  </si>
  <si>
    <t>lines 448, 450, 457, and</t>
  </si>
  <si>
    <t>Line 1 minus line 5 (if negative, enter "0")</t>
  </si>
  <si>
    <t>Pensionable net self-employment earnings (amounts from line 122 and lines 135 to 143 of your return)</t>
  </si>
  <si>
    <r>
      <t>This is your</t>
    </r>
    <r>
      <rPr>
        <b/>
        <sz val="12"/>
        <color indexed="8"/>
        <rFont val="Arial"/>
        <family val="2"/>
      </rPr>
      <t xml:space="preserve"> net income.</t>
    </r>
  </si>
  <si>
    <t>Taxable Income</t>
  </si>
  <si>
    <t>Employee home relocation loan deduction (box 37 on all T4 Slips</t>
  </si>
  <si>
    <t>Other payments deduction (if you reported income on line 147, see line 250 in the guide)</t>
  </si>
  <si>
    <t>Limited partnership losses of other years</t>
  </si>
  <si>
    <t>Non-capital losses of other years</t>
  </si>
  <si>
    <t xml:space="preserve">Add lines 248 to 256. </t>
  </si>
  <si>
    <t>Add lines 6,13, and 20.  Enter the result on line 479 of your return.</t>
  </si>
  <si>
    <t>Nova Scotia credits</t>
  </si>
  <si>
    <t>Schedule NS(S2)</t>
  </si>
  <si>
    <t>Other pensions or superannuation</t>
  </si>
  <si>
    <t>Taxable amount of dividends from taxable Canadian corporations (see the guide)</t>
  </si>
  <si>
    <t>Net partnership income: limited on non-active partners only (complete Schedule 4)</t>
  </si>
  <si>
    <t xml:space="preserve">        </t>
  </si>
  <si>
    <t>NS WRK</t>
  </si>
  <si>
    <t>NS(S2)</t>
  </si>
  <si>
    <t>NS(S11)</t>
  </si>
  <si>
    <t>T1 GENERAL</t>
  </si>
  <si>
    <t>T1-A</t>
  </si>
  <si>
    <t>T626</t>
  </si>
  <si>
    <t>T657</t>
  </si>
  <si>
    <t>T777</t>
  </si>
  <si>
    <t>T1139</t>
  </si>
  <si>
    <t>If you claimed this dependant on line 305 of</t>
  </si>
  <si>
    <t>Line 8 minus line 9 (if negative, enter  "0")</t>
  </si>
  <si>
    <t>your return, enter the amount claimed</t>
  </si>
  <si>
    <t>Multiply the amount on line 10 by 15%</t>
  </si>
  <si>
    <t>Allowable amount for this dependant:</t>
  </si>
  <si>
    <t xml:space="preserve">Enter the amount from line 5 or line 11, </t>
  </si>
  <si>
    <r>
      <t xml:space="preserve">whichever is </t>
    </r>
    <r>
      <rPr>
        <b/>
        <sz val="14"/>
        <color indexed="8"/>
        <rFont val="Arial"/>
        <family val="2"/>
      </rPr>
      <t>less</t>
    </r>
  </si>
  <si>
    <t>Carrying charges (specify)</t>
  </si>
  <si>
    <t>Interest expenses (specify)</t>
  </si>
  <si>
    <t>Total carrying charges and interest expenses (enter on line 221 of your return)</t>
  </si>
  <si>
    <t xml:space="preserve"> 5000-S4</t>
  </si>
  <si>
    <t>Details of Dependant</t>
  </si>
  <si>
    <t>T1-M</t>
  </si>
  <si>
    <t>115,130</t>
  </si>
  <si>
    <t>Annuities from death of spouse or common law partner</t>
  </si>
  <si>
    <t>account included on</t>
  </si>
  <si>
    <t>line 115</t>
  </si>
  <si>
    <t>line 236 of your return</t>
  </si>
  <si>
    <t>Total payable from line 435 of your return</t>
  </si>
  <si>
    <t>Base amount</t>
  </si>
  <si>
    <t>Line 2 minus line 3</t>
  </si>
  <si>
    <t>Interest paid on your student loans (see line 319 in the guide)</t>
  </si>
  <si>
    <t>When you come to a line n the return that applies to you, look up the line number</t>
  </si>
  <si>
    <t>in the guide for more information.</t>
  </si>
  <si>
    <t>Do not</t>
  </si>
  <si>
    <t>use this area</t>
  </si>
  <si>
    <r>
      <t xml:space="preserve">residence on </t>
    </r>
    <r>
      <rPr>
        <b/>
        <sz val="10"/>
        <rFont val="Arial"/>
        <family val="2"/>
      </rPr>
      <t>December 31, 2001:</t>
    </r>
  </si>
  <si>
    <r>
      <t xml:space="preserve">date of birth to Elections Canada for the </t>
    </r>
    <r>
      <rPr>
        <b/>
        <sz val="12"/>
        <rFont val="Arial"/>
        <family val="2"/>
      </rPr>
      <t>National Register of Electors</t>
    </r>
    <r>
      <rPr>
        <sz val="12"/>
        <rFont val="Arial"/>
        <family val="2"/>
      </rPr>
      <t>? ........................................................................................</t>
    </r>
  </si>
  <si>
    <t>7</t>
  </si>
  <si>
    <t>(Maximum allowable contribution is $1075.)</t>
  </si>
  <si>
    <t>Use these charts to do some of the calculations you may need to complete your TI General Income TAX and Benefit Return.</t>
  </si>
  <si>
    <t>You can find more information about these charts in your guide.</t>
  </si>
  <si>
    <t>Report code</t>
  </si>
  <si>
    <t>144,250</t>
  </si>
  <si>
    <t>145,250</t>
  </si>
  <si>
    <t>145</t>
  </si>
  <si>
    <r>
      <t xml:space="preserve">  Deduction Limit Statement" on your 2000 </t>
    </r>
    <r>
      <rPr>
        <i/>
        <sz val="12"/>
        <color indexed="8"/>
        <rFont val="Arial"/>
        <family val="2"/>
      </rPr>
      <t>Notice of Assessment</t>
    </r>
    <r>
      <rPr>
        <sz val="12"/>
        <color indexed="8"/>
        <rFont val="Arial"/>
        <family val="2"/>
      </rPr>
      <t xml:space="preserve"> or </t>
    </r>
    <r>
      <rPr>
        <i/>
        <sz val="12"/>
        <color indexed="8"/>
        <rFont val="Arial"/>
        <family val="2"/>
      </rPr>
      <t>Notice of Reassessment</t>
    </r>
    <r>
      <rPr>
        <sz val="12"/>
        <color indexed="8"/>
        <rFont val="Arial"/>
        <family val="2"/>
      </rPr>
      <t>;</t>
    </r>
  </si>
  <si>
    <t>T3</t>
  </si>
  <si>
    <t>T4</t>
  </si>
  <si>
    <t>T4A</t>
  </si>
  <si>
    <t>T1212</t>
  </si>
  <si>
    <t>T2209</t>
  </si>
  <si>
    <t>Part II</t>
  </si>
  <si>
    <t>FED WRK</t>
  </si>
  <si>
    <t>T2038(IND)</t>
  </si>
  <si>
    <t>T1172</t>
  </si>
  <si>
    <t>T4E</t>
  </si>
  <si>
    <t>T4PS</t>
  </si>
  <si>
    <t>T4RSP</t>
  </si>
  <si>
    <t>Actual amount of dividends</t>
  </si>
  <si>
    <t>Taxable amount of dividends</t>
  </si>
  <si>
    <t>Federal dividend tax credit</t>
  </si>
  <si>
    <t>If your spouse or common-law partner is not filing a 2001 return, use the amounts that he or she would us on Form NS428 if he</t>
  </si>
  <si>
    <t>Enter the amount from line 5808 of his or her Form NS428</t>
  </si>
  <si>
    <t>(maximum $3,531)</t>
  </si>
  <si>
    <t>Enter the amount from line 5836 of his or her Form NS428</t>
  </si>
  <si>
    <t>Enter the amount from line 5844 of his or her Form NS428</t>
  </si>
  <si>
    <t>Enter the amount from line 1 of his or her Form NS428</t>
  </si>
  <si>
    <t>common-law partner's Form NS428</t>
  </si>
  <si>
    <t>Enter this amount on line 5864 of your Form NS428.</t>
  </si>
  <si>
    <t>Schedule NS(S11)</t>
  </si>
  <si>
    <r>
      <t>If you are a</t>
    </r>
    <r>
      <rPr>
        <b/>
        <sz val="12"/>
        <color indexed="8"/>
        <rFont val="Arial"/>
        <family val="2"/>
      </rPr>
      <t xml:space="preserve"> student</t>
    </r>
    <r>
      <rPr>
        <sz val="12"/>
        <color indexed="8"/>
        <rFont val="Arial"/>
        <family val="2"/>
      </rPr>
      <t>, complete this schedule to:</t>
    </r>
  </si>
  <si>
    <t xml:space="preserve"> - calculate your Nova Scotia tuition and educational amounts to claim on line 5856 of your Form NS428;</t>
  </si>
  <si>
    <t>Attach a completed copy of this schedule to your return if you are claiming an amount on line 5856 of your Form NS428, or if you</t>
  </si>
  <si>
    <t>Part 1 - Nova Scotia tuition and education amounts claimed by the student for 2001</t>
  </si>
  <si>
    <t>Taxable income from line 1 of your Form NS428</t>
  </si>
  <si>
    <t>Total of lines 5804 to 5848 of your Form NS428</t>
  </si>
  <si>
    <t xml:space="preserve">Add lines 10 and 12.  </t>
  </si>
  <si>
    <t xml:space="preserve">Nova Scotia tuition and education amounts </t>
  </si>
  <si>
    <t>Enter this amount on line 5856 of your Form NS428.</t>
  </si>
  <si>
    <t>claimed by the student for 2001</t>
  </si>
  <si>
    <r>
      <t xml:space="preserve">          Result:(if negative enter "0") </t>
    </r>
    <r>
      <rPr>
        <b/>
        <sz val="12"/>
        <color indexed="8"/>
        <rFont val="Arial"/>
        <family val="2"/>
      </rPr>
      <t>(</t>
    </r>
    <r>
      <rPr>
        <sz val="12"/>
        <color indexed="8"/>
        <rFont val="Arial"/>
        <family val="2"/>
      </rPr>
      <t>maximum claim $6,293</t>
    </r>
    <r>
      <rPr>
        <b/>
        <sz val="12"/>
        <color indexed="8"/>
        <rFont val="Arial"/>
        <family val="2"/>
      </rPr>
      <t>)</t>
    </r>
  </si>
  <si>
    <t>f) You and your spouse or common-law partner were, due to a breakdown in your relationship, living separate and apart at the</t>
  </si>
  <si>
    <t xml:space="preserve">    end of 2001 and for a period of at least 90 days beginning 2001, but you reconciled before March 2, 2002.</t>
  </si>
  <si>
    <t>Otherwise, enter this amount on line 214 of your return</t>
  </si>
  <si>
    <t>Your allowable deduction</t>
  </si>
  <si>
    <t>T4-2001 DATA SUMMARY</t>
  </si>
  <si>
    <t>Sch1</t>
  </si>
  <si>
    <t>Sch8</t>
  </si>
  <si>
    <t>113</t>
  </si>
  <si>
    <t>119</t>
  </si>
  <si>
    <t>120</t>
  </si>
  <si>
    <t>121</t>
  </si>
  <si>
    <t>129</t>
  </si>
  <si>
    <t>MISC-2001 SLIPS DATA ENTRY FORM</t>
  </si>
  <si>
    <t>MISC-2001 DATA SUMMARY</t>
  </si>
  <si>
    <t>Self-employed commissions (gross)</t>
  </si>
  <si>
    <t>Self-employed commissions (net)</t>
  </si>
  <si>
    <t>139</t>
  </si>
  <si>
    <t>*  Attach Form T2201, Disability Tax Credit Certificate. If this form has already been filed for the child, attach a note to your return</t>
  </si>
  <si>
    <t xml:space="preserve">Total amount forfeited </t>
  </si>
  <si>
    <t>due to withdrawal from plan</t>
  </si>
  <si>
    <r>
      <t xml:space="preserve">Capital gains or losses            </t>
    </r>
    <r>
      <rPr>
        <sz val="14"/>
        <color indexed="8"/>
        <rFont val="Arial"/>
        <family val="2"/>
      </rPr>
      <t xml:space="preserve"> Sch3</t>
    </r>
  </si>
  <si>
    <r>
      <t>Foreign non-business income</t>
    </r>
    <r>
      <rPr>
        <sz val="14"/>
        <color indexed="8"/>
        <rFont val="Arial"/>
        <family val="2"/>
      </rPr>
      <t xml:space="preserve">  Sch1</t>
    </r>
  </si>
  <si>
    <r>
      <t>Foreign capital gains or losses</t>
    </r>
    <r>
      <rPr>
        <sz val="14"/>
        <color indexed="8"/>
        <rFont val="Arial"/>
        <family val="2"/>
      </rPr>
      <t xml:space="preserve"> Sch1</t>
    </r>
  </si>
  <si>
    <t xml:space="preserve">Foreign non-business income tax </t>
  </si>
  <si>
    <t>Provincial amount available for transfer</t>
  </si>
  <si>
    <t>Line 14 minus line 15</t>
  </si>
  <si>
    <t>His or her adjusted taxable income: Line 6 minus line 7 (if negative, enter "0")</t>
  </si>
  <si>
    <t xml:space="preserve">Amounts transferred from your spouse or common-law partner: </t>
  </si>
  <si>
    <r>
      <t xml:space="preserve">*  You will find the </t>
    </r>
    <r>
      <rPr>
        <i/>
        <sz val="12"/>
        <color indexed="8"/>
        <rFont val="Arial"/>
        <family val="2"/>
      </rPr>
      <t>Federal Worksheet</t>
    </r>
    <r>
      <rPr>
        <sz val="12"/>
        <color indexed="8"/>
        <rFont val="Arial"/>
        <family val="2"/>
      </rPr>
      <t xml:space="preserve"> in the forms book.</t>
    </r>
  </si>
  <si>
    <t>Attach a separate sheet of paper if you need more space.  Attach a copy of this schedule to your return.</t>
  </si>
  <si>
    <t>somewhere else.  For income data, many of the common "T" input sheets are included in MyTAX.</t>
  </si>
  <si>
    <t>They have boxes labeled according to what you will find on your paper "T" slip.</t>
  </si>
  <si>
    <t>See section 4) below for a list of the common data items and where to put them.</t>
  </si>
  <si>
    <t xml:space="preserve">return the data goes to.  The MISC sheet in MyTAX is a catch-all sheet for this type of data.  Go to the MISC </t>
  </si>
  <si>
    <t xml:space="preserve">sheet and find the line that is labeled (spreadsheet &amp; line #) for that data.  Enter your data into any one of the </t>
  </si>
  <si>
    <t>white cells and MyTAX will send it to where it is needed.</t>
  </si>
  <si>
    <t xml:space="preserve">of paper forms mailed by Canada Customs and Revenue to taxpayers.  Just as in the manual preparation case </t>
  </si>
  <si>
    <t xml:space="preserve">where an additional form is needed, you need to get a copy of that form and fill it out manually.  Then you can </t>
  </si>
  <si>
    <t xml:space="preserve">enter the "bottom line" data from that form into the appropriate line in MyTAX which will crunch the arithmetic </t>
  </si>
  <si>
    <t xml:space="preserve">from there.  The form will tell you what line in the main set of tax forms to enter the data. </t>
  </si>
  <si>
    <t xml:space="preserve">Our home page has a link to Canada Customs and Revenue's site where you can download the form(s) </t>
  </si>
  <si>
    <t>you are missing and print them out on your local printer.</t>
  </si>
  <si>
    <t>4) Common Data Items &amp; Where to Put Them</t>
  </si>
  <si>
    <t>that sheet applies to your situation.  Then you have to fill out the remainder of Schedule 7</t>
  </si>
  <si>
    <t>any of the white cells in that row.</t>
  </si>
  <si>
    <t>Feel free to email us with your question(s) on where to put other data items.</t>
  </si>
  <si>
    <r>
      <t xml:space="preserve">Goto the </t>
    </r>
    <r>
      <rPr>
        <b/>
        <sz val="14"/>
        <color indexed="8"/>
        <rFont val="Arial"/>
        <family val="2"/>
      </rPr>
      <t>README</t>
    </r>
    <r>
      <rPr>
        <sz val="14"/>
        <color indexed="8"/>
        <rFont val="Arial"/>
        <family val="2"/>
      </rPr>
      <t xml:space="preserve"> sheet for the basic set of instructions</t>
    </r>
  </si>
  <si>
    <r>
      <t>Q1</t>
    </r>
    <r>
      <rPr>
        <sz val="14"/>
        <color indexed="8"/>
        <rFont val="Arial"/>
        <family val="2"/>
      </rPr>
      <t>.  I am trying to enter data into a cell but it is protected and I am getting an error message.</t>
    </r>
  </si>
  <si>
    <r>
      <t>A1</t>
    </r>
    <r>
      <rPr>
        <sz val="14"/>
        <color indexed="8"/>
        <rFont val="Arial"/>
        <family val="2"/>
      </rPr>
      <t>.  White cells are the only ones where you can enter data.  The other coloured cells are getting their data from</t>
    </r>
  </si>
  <si>
    <r>
      <t>Q2</t>
    </r>
    <r>
      <rPr>
        <sz val="14"/>
        <color indexed="8"/>
        <rFont val="Arial"/>
        <family val="2"/>
      </rPr>
      <t>.  I have a "T" slip for which MyTAX doesn't have a "T" input form.  What do I do?</t>
    </r>
  </si>
  <si>
    <r>
      <t>A2.</t>
    </r>
    <r>
      <rPr>
        <sz val="14"/>
        <color indexed="8"/>
        <rFont val="Arial"/>
        <family val="2"/>
      </rPr>
      <t xml:space="preserve">  On the back of the "T" slip  or on an accompanying sheet, it usually says what line on your income tax</t>
    </r>
  </si>
  <si>
    <r>
      <t xml:space="preserve">Q3. </t>
    </r>
    <r>
      <rPr>
        <sz val="14"/>
        <color indexed="8"/>
        <rFont val="Arial"/>
        <family val="2"/>
      </rPr>
      <t>Can I still use MyTAX if the form I need is not included in MyTAX?</t>
    </r>
  </si>
  <si>
    <r>
      <t>A3.</t>
    </r>
    <r>
      <rPr>
        <sz val="10"/>
        <rFont val="Arial MT"/>
        <family val="0"/>
      </rPr>
      <t xml:space="preserve"> </t>
    </r>
    <r>
      <rPr>
        <sz val="14"/>
        <rFont val="Arial MT"/>
        <family val="0"/>
      </rPr>
      <t>Yes you can.  We have designed MyTAX to accommodate this situation. MyTAX includes the standard set</t>
    </r>
  </si>
  <si>
    <r>
      <t xml:space="preserve">a) T4 Slips:    </t>
    </r>
    <r>
      <rPr>
        <sz val="14"/>
        <color indexed="8"/>
        <rFont val="Arial"/>
        <family val="2"/>
      </rPr>
      <t xml:space="preserve">  Input sheet labeled T4.  Match up the paper slip box #'s with the line of the input form</t>
    </r>
  </si>
  <si>
    <r>
      <t>b) RRSP contribution data:</t>
    </r>
    <r>
      <rPr>
        <sz val="14"/>
        <color indexed="8"/>
        <rFont val="Arial"/>
        <family val="2"/>
      </rPr>
      <t xml:space="preserve">      First white cell at the top of Schedule 7 unless one of the conditions at the top of </t>
    </r>
  </si>
  <si>
    <r>
      <t xml:space="preserve">c) Spouse or common-law partner name, social insurance # and income.      </t>
    </r>
    <r>
      <rPr>
        <sz val="14"/>
        <color indexed="8"/>
        <rFont val="Arial"/>
        <family val="2"/>
      </rPr>
      <t>Top right section of T1 GEN-1 sheet</t>
    </r>
  </si>
  <si>
    <r>
      <t>d)</t>
    </r>
    <r>
      <rPr>
        <sz val="14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>Canada Savings Bond Income, T5 Box 13 Data:</t>
    </r>
    <r>
      <rPr>
        <sz val="14"/>
        <color indexed="8"/>
        <rFont val="Arial"/>
        <family val="2"/>
      </rPr>
      <t xml:space="preserve">  Section II of the Sch4-2 Sheet</t>
    </r>
  </si>
  <si>
    <r>
      <t xml:space="preserve">e) Charitable Donations and Gifts:  </t>
    </r>
    <r>
      <rPr>
        <sz val="14"/>
        <color indexed="8"/>
        <rFont val="Arial"/>
        <family val="2"/>
      </rPr>
      <t>MISC sheet.  Scroll down to line labeled Sch9  Line 1 and enter data into</t>
    </r>
  </si>
  <si>
    <r>
      <t>f)  Child care expenses:</t>
    </r>
    <r>
      <rPr>
        <sz val="14"/>
        <rFont val="Arial MT"/>
        <family val="0"/>
      </rPr>
      <t xml:space="preserve">  Form T778.</t>
    </r>
  </si>
  <si>
    <r>
      <t>g) Medical Expenses:</t>
    </r>
    <r>
      <rPr>
        <sz val="14"/>
        <rFont val="Arial MT"/>
        <family val="0"/>
      </rPr>
      <t xml:space="preserve">     Schedule 1, item 330</t>
    </r>
  </si>
  <si>
    <r>
      <t>h) Rent:</t>
    </r>
    <r>
      <rPr>
        <sz val="14"/>
        <rFont val="Arial MT"/>
        <family val="0"/>
      </rPr>
      <t xml:space="preserve">          Ontario = ON479, Manitoba=MB479;  item 6110</t>
    </r>
  </si>
  <si>
    <r>
      <t>i) Property Tax:</t>
    </r>
    <r>
      <rPr>
        <sz val="14"/>
        <color indexed="8"/>
        <rFont val="Arial"/>
        <family val="2"/>
      </rPr>
      <t xml:space="preserve">    Ontario=ON479, Manitoba=MB479; item 6112</t>
    </r>
  </si>
  <si>
    <t>HELP</t>
  </si>
  <si>
    <t>*     allocated data column has a formula</t>
  </si>
  <si>
    <t>Sincerely, Egbert Verbrugge    P.Eng., B.E.Sc., Ph.D.</t>
  </si>
  <si>
    <r>
      <t xml:space="preserve">Use these charts to do the calculations you may need to complete Form NS428, Nova Scotia Tax,and Form NS479, </t>
    </r>
    <r>
      <rPr>
        <i/>
        <sz val="12"/>
        <color indexed="8"/>
        <rFont val="Arial"/>
        <family val="2"/>
      </rPr>
      <t xml:space="preserve"> Nova Scitia Credits.</t>
    </r>
  </si>
  <si>
    <t>You can find more information about completing these charts on [pages 1 to 5 of the forms book.</t>
  </si>
  <si>
    <t>Line 1 minus line 6 (if negative, enter "0").  Enter this amount on line 5808 of Form NS428.</t>
  </si>
  <si>
    <r>
      <t xml:space="preserve">Enter, on line 5816 of Form NS428, $6,140 or the amount on line 3, whichever is </t>
    </r>
    <r>
      <rPr>
        <b/>
        <sz val="12"/>
        <color indexed="8"/>
        <rFont val="Arial"/>
        <family val="2"/>
      </rPr>
      <t>less.</t>
    </r>
  </si>
  <si>
    <t>Line 1 minus line 2 (if negative, enter "0").  If it is more than $2,386, enter $2,386.</t>
  </si>
  <si>
    <t>Line 1 minus line 2 (if negative, enter "0"); if it is more than $2,386, enter $2,386.</t>
  </si>
  <si>
    <t>Total of amounts your dependant can claim on lines 5804 to 5840 of his or her Form NS428</t>
  </si>
  <si>
    <r>
      <t xml:space="preserve">Enter, on line 5848 of Form NS428, the amount on line 3 or line 7, whichever is </t>
    </r>
    <r>
      <rPr>
        <b/>
        <sz val="12"/>
        <color indexed="8"/>
        <rFont val="Arial"/>
        <family val="2"/>
      </rPr>
      <t>less.</t>
    </r>
  </si>
  <si>
    <t>Enter, on line 5872 of Form NS428, the total amount claimed for all dependants.</t>
  </si>
  <si>
    <t>Line 2 - Nova Scotia political contribution tax credit</t>
  </si>
  <si>
    <t>Determine the amount to enter on line 2 of Form NS479 as follows:</t>
  </si>
  <si>
    <t>Enter the result on line 2 of Form NS479.</t>
  </si>
  <si>
    <t>Lines 14 to 16 - Equity tax credit available to carryback to previous years</t>
  </si>
  <si>
    <t>Amount from line 9 of Form NS479</t>
  </si>
  <si>
    <t>Amount from line 13 of Form NS479</t>
  </si>
  <si>
    <t>Enter, on line 16 of Form NS479, the amount from line 3 that you want to carry back to 1998 to reduce your Nova</t>
  </si>
  <si>
    <t>Scotia tax.  Enter, on line 15, the amount that you would like to carry back to 1999, and, on line 14, the amount which</t>
  </si>
  <si>
    <t>you would like to carry back to 2000.</t>
  </si>
  <si>
    <t>NS428</t>
  </si>
  <si>
    <t>Nova Scotia Tax</t>
  </si>
  <si>
    <t>Step 1 - Nova Scotia tax on taxable income</t>
  </si>
  <si>
    <r>
      <t xml:space="preserve">a)  The other supporting person attended school and was enrolled in a </t>
    </r>
    <r>
      <rPr>
        <b/>
        <sz val="12"/>
        <rFont val="Arial MT"/>
        <family val="0"/>
      </rPr>
      <t>part-time</t>
    </r>
    <r>
      <rPr>
        <sz val="12"/>
        <rFont val="Arial MT"/>
        <family val="0"/>
      </rPr>
      <t xml:space="preserve"> educational program as defined in the section</t>
    </r>
  </si>
  <si>
    <r>
      <t xml:space="preserve">b) The other supporting person attended school and was enrolled in a </t>
    </r>
    <r>
      <rPr>
        <b/>
        <sz val="12"/>
        <rFont val="Arial MT"/>
        <family val="0"/>
      </rPr>
      <t>full-time</t>
    </r>
    <r>
      <rPr>
        <sz val="12"/>
        <rFont val="Arial MT"/>
        <family val="0"/>
      </rPr>
      <t xml:space="preserve"> educational program as defined in the section</t>
    </r>
  </si>
  <si>
    <t>130 T1172</t>
  </si>
  <si>
    <t>N/A</t>
  </si>
  <si>
    <t xml:space="preserve">Schedule 5 </t>
  </si>
  <si>
    <t>Complete this schedule to transfer from your spouse or common-law partner, the unused part of his or her  age amount, pension income</t>
  </si>
  <si>
    <r>
      <t xml:space="preserve">8. Listed personal property </t>
    </r>
    <r>
      <rPr>
        <sz val="12"/>
        <color indexed="8"/>
        <rFont val="Arial"/>
        <family val="2"/>
      </rPr>
      <t>(full description)</t>
    </r>
  </si>
  <si>
    <t>I certify that the information given on this return and in any documents</t>
  </si>
  <si>
    <t>attached is correct, complete, and fully discloses all my income.</t>
  </si>
  <si>
    <t>Sign here</t>
  </si>
  <si>
    <t>It is a serious offence to make a false return.</t>
  </si>
  <si>
    <t>Date:</t>
  </si>
  <si>
    <t>Do not use</t>
  </si>
  <si>
    <t>490</t>
  </si>
  <si>
    <t>For</t>
  </si>
  <si>
    <t>Professional</t>
  </si>
  <si>
    <t>tax preparers</t>
  </si>
  <si>
    <t>only.</t>
  </si>
  <si>
    <t>Name:</t>
  </si>
  <si>
    <t>Privacy Act Personal Information Bank number CCRA/P-PU-005</t>
  </si>
  <si>
    <t>Account number</t>
  </si>
  <si>
    <t xml:space="preserve">Telephone (           ) </t>
  </si>
  <si>
    <t>Total Income tax deducted (from all information slips)</t>
  </si>
  <si>
    <t>T1 GEN-4</t>
  </si>
  <si>
    <t>Sch9</t>
  </si>
  <si>
    <r>
      <t>(other than a month that includes a week that any of the situations in</t>
    </r>
    <r>
      <rPr>
        <b/>
        <sz val="12"/>
        <rFont val="Arial MT"/>
        <family val="0"/>
      </rPr>
      <t xml:space="preserve"> b) </t>
    </r>
    <r>
      <rPr>
        <sz val="12"/>
        <rFont val="Arial MT"/>
        <family val="0"/>
      </rPr>
      <t>to</t>
    </r>
    <r>
      <rPr>
        <b/>
        <sz val="12"/>
        <rFont val="Arial MT"/>
        <family val="0"/>
      </rPr>
      <t xml:space="preserve"> f)</t>
    </r>
    <r>
      <rPr>
        <sz val="12"/>
        <rFont val="Arial MT"/>
        <family val="0"/>
      </rPr>
      <t xml:space="preserve"> existed)</t>
    </r>
  </si>
  <si>
    <r>
      <t xml:space="preserve">Enter the amount from line 7 (in Part B) or line 13, whichever is </t>
    </r>
    <r>
      <rPr>
        <b/>
        <sz val="12"/>
        <rFont val="Arial MT"/>
        <family val="0"/>
      </rPr>
      <t>less.</t>
    </r>
  </si>
  <si>
    <t xml:space="preserve">Add line 11 and line 12 </t>
  </si>
  <si>
    <t>If your dependant's net income for 2001 was $15,453 or</t>
  </si>
  <si>
    <t>Deduction for CPP or QPP contributions on self-employment and other earnings</t>
  </si>
  <si>
    <t>(complete Schedule 8)</t>
  </si>
  <si>
    <t>Other employment expenses</t>
  </si>
  <si>
    <t>Clergy residence deduction (complete Form T1223)</t>
  </si>
  <si>
    <t xml:space="preserve">Other deductions </t>
  </si>
  <si>
    <t>Line 150 minus line 233 (if negative enter "0")</t>
  </si>
  <si>
    <r>
      <t xml:space="preserve">Enter on line 316 of Schedule 1, $6,000 </t>
    </r>
    <r>
      <rPr>
        <b/>
        <sz val="12"/>
        <color indexed="8"/>
        <rFont val="Arial"/>
        <family val="2"/>
      </rPr>
      <t>plus</t>
    </r>
    <r>
      <rPr>
        <sz val="12"/>
        <color indexed="8"/>
        <rFont val="Arial"/>
        <family val="2"/>
      </rPr>
      <t xml:space="preserve"> the amount on line 5</t>
    </r>
  </si>
  <si>
    <t>attendant care expenses</t>
  </si>
  <si>
    <t>Enter this amount on line 301 of Schedule 1.</t>
  </si>
  <si>
    <t>Line 1 minus line 2 (if negative, enter "0")</t>
  </si>
  <si>
    <t>lines 300 to 315 of his or her Schedule 1</t>
  </si>
  <si>
    <t>Enter on line 318 of Schedule 1 the amount on line 3 or 7,</t>
  </si>
  <si>
    <r>
      <t xml:space="preserve">whichever is </t>
    </r>
    <r>
      <rPr>
        <b/>
        <sz val="14"/>
        <color indexed="8"/>
        <rFont val="Arial"/>
        <family val="2"/>
      </rPr>
      <t>less</t>
    </r>
    <r>
      <rPr>
        <sz val="14"/>
        <color indexed="8"/>
        <rFont val="Arial"/>
        <family val="2"/>
      </rPr>
      <t>.</t>
    </r>
  </si>
  <si>
    <t>Line 410 - Federal political contribution</t>
  </si>
  <si>
    <t>Line 3 minus line 6</t>
  </si>
  <si>
    <t>tax credit</t>
  </si>
  <si>
    <t>Enter on line 314 of your return, $1,000 or the amount on</t>
  </si>
  <si>
    <t>Total contributions</t>
  </si>
  <si>
    <t>Line 315 - Caregiver amount</t>
  </si>
  <si>
    <t xml:space="preserve">    </t>
  </si>
  <si>
    <t>We welcome your suggestions on ways to improve MyTAX.</t>
  </si>
  <si>
    <t xml:space="preserve">     </t>
  </si>
  <si>
    <t>T4-2001 SLIPS DATA ENTRY FORM</t>
  </si>
  <si>
    <t>2001</t>
  </si>
  <si>
    <t xml:space="preserve"> For example, if you have the following amounts in three box 14's:  21500.00, 1467.33, 991.56, </t>
  </si>
  <si>
    <r>
      <t xml:space="preserve">Enter your </t>
    </r>
    <r>
      <rPr>
        <b/>
        <sz val="12"/>
        <color indexed="8"/>
        <rFont val="Arial"/>
        <family val="2"/>
      </rPr>
      <t>taxable income</t>
    </r>
    <r>
      <rPr>
        <sz val="12"/>
        <color indexed="8"/>
        <rFont val="Arial"/>
        <family val="2"/>
      </rPr>
      <t xml:space="preserve"> from line 260 of your return</t>
    </r>
  </si>
  <si>
    <t>Use the amount on line 1 to determine which ONE</t>
  </si>
  <si>
    <r>
      <t xml:space="preserve">Unused tuition and education amounts from your 2000 </t>
    </r>
    <r>
      <rPr>
        <i/>
        <sz val="12"/>
        <color indexed="8"/>
        <rFont val="Arial"/>
        <family val="2"/>
      </rPr>
      <t xml:space="preserve">Notice of Assessment </t>
    </r>
    <r>
      <rPr>
        <sz val="12"/>
        <color indexed="8"/>
        <rFont val="Arial"/>
        <family val="2"/>
      </rPr>
      <t xml:space="preserve">or </t>
    </r>
    <r>
      <rPr>
        <i/>
        <sz val="12"/>
        <color indexed="8"/>
        <rFont val="Arial"/>
        <family val="2"/>
      </rPr>
      <t>Notice of Reassessment</t>
    </r>
  </si>
  <si>
    <t>Eligible tuition fees paid for 2001</t>
  </si>
  <si>
    <t>Education amount for 2001:</t>
  </si>
  <si>
    <t>Use columns B and C of Forms T2202 and T2202A;</t>
  </si>
  <si>
    <t>X $120</t>
  </si>
  <si>
    <t>X $400</t>
  </si>
  <si>
    <t>Line 234 minus line 235 (if negative enter "0").  If you have a spouse or common-law partner, see line 236 in the guide.</t>
  </si>
  <si>
    <t>Stock option and shares deductions</t>
  </si>
  <si>
    <t xml:space="preserve">Net capital losses of other years </t>
  </si>
  <si>
    <t>Capital gains deduction</t>
  </si>
  <si>
    <t>Northern residents deductions (complete Form T2222)</t>
  </si>
  <si>
    <t>Additional deductions</t>
  </si>
  <si>
    <t>Line 236 minus line 257 (if negative enter "0")</t>
  </si>
  <si>
    <t>Use your taxable income to calculate your federal tax on Schedule 1.</t>
  </si>
  <si>
    <t>amount, disability amount, and tuition and education amounts.</t>
  </si>
  <si>
    <t>Use the amounts that your spouse or common-law partner has entered on his or her return, schedules, and worksheet, or the amounts he</t>
  </si>
  <si>
    <t>T2124</t>
  </si>
  <si>
    <t>MISCELLANEOUS INCOME DATA ENTRY AND COLLECTOR</t>
  </si>
  <si>
    <r>
      <t>Note:</t>
    </r>
    <r>
      <rPr>
        <sz val="12"/>
        <color indexed="8"/>
        <rFont val="Arial"/>
        <family val="2"/>
      </rPr>
      <t xml:space="preserve"> If the amount on line 1 is less than the amount on line 2, enter the amount from line 1 on line 340 below</t>
    </r>
  </si>
  <si>
    <t xml:space="preserve">Gifts of capital property </t>
  </si>
  <si>
    <r>
      <t xml:space="preserve">(from Chart 1 in the pamphlet called </t>
    </r>
    <r>
      <rPr>
        <i/>
        <sz val="12"/>
        <color indexed="8"/>
        <rFont val="Arial"/>
        <family val="2"/>
      </rPr>
      <t>Gifts and Income Tax</t>
    </r>
    <r>
      <rPr>
        <sz val="12"/>
        <color indexed="8"/>
        <rFont val="Arial"/>
        <family val="2"/>
      </rPr>
      <t>)</t>
    </r>
  </si>
  <si>
    <t>is being completed for the claim on line 5848.</t>
  </si>
  <si>
    <t>5. Then proceed to enter your data into the T1 General sheet, Federal worksheet, provincial worksheet &amp; the schedules.</t>
  </si>
  <si>
    <t xml:space="preserve">6.  Unless otherwise noted, calculated values are automatically inserted where needed such as into the </t>
  </si>
  <si>
    <t>T1 General worksheet etc.   Values needed across schedules are automatically transferred / posted.</t>
  </si>
  <si>
    <t>1.  You may want/need to change the printing scale of a sheet to better match the size of your printer.  To do this</t>
  </si>
  <si>
    <t>using MyTAX 2001 for personal tax planning scenarios.</t>
  </si>
  <si>
    <t xml:space="preserve">1.  Save a master copy of MyTAX so that you can start new income tax calculation sheets from it.  </t>
  </si>
  <si>
    <t xml:space="preserve">2. If you have tax returns to prepare for several members of your family such as you &amp; your spouse, </t>
  </si>
  <si>
    <t xml:space="preserve">you can open a copy of MyTAX template for each member into your spreadsheet program at once, doing a SAVE AS, </t>
  </si>
  <si>
    <t>If you have more than five T4E forms, you can add the data from the extra ones as a sum rather than a single #.</t>
  </si>
  <si>
    <t>Data
T4E #1</t>
  </si>
  <si>
    <t>Data
T4E #2</t>
  </si>
  <si>
    <t>Data
T4E #3</t>
  </si>
  <si>
    <t>Data
T4E #4</t>
  </si>
  <si>
    <t>Data
T4E #5</t>
  </si>
  <si>
    <t>T4E-2001 GENERAL DATA ENTRY</t>
  </si>
  <si>
    <t>you would position the cursor the data entry line 119 below, and then key in</t>
  </si>
  <si>
    <t>T4F-2001 SLIPS DATA ENTRY FORM</t>
  </si>
  <si>
    <t>Welcome to the data entry interface for your T4F slips.</t>
  </si>
  <si>
    <t>MyTAX does NOT allow you to enter T4F data directly to other sheets and forms and schedules</t>
  </si>
  <si>
    <t xml:space="preserve">You must enter your T4F data into this form.  As your enter data, it is posted to the cells in the schedules and forms </t>
  </si>
  <si>
    <t>where they are needed.  If you have more than one T4F slip, then enter the amounts from each T4F.</t>
  </si>
  <si>
    <t>If you have more than five T4F forms, you can add the data from the extra ones as a sum rather than a single #.</t>
  </si>
  <si>
    <t>Data
T4F #1</t>
  </si>
  <si>
    <t>Data
T4F #2</t>
  </si>
  <si>
    <t>Data
T4F #3</t>
  </si>
  <si>
    <t>Data
T4F #4</t>
  </si>
  <si>
    <t>Data
T4F #5</t>
  </si>
  <si>
    <t>T4F-2001 GENERAL DATA ENTRY</t>
  </si>
  <si>
    <t>you would position the cursor the data entry line 312 below, and then key in</t>
  </si>
  <si>
    <t>170</t>
  </si>
  <si>
    <t>STATEMENT OF FISHING INCOME</t>
  </si>
  <si>
    <t>STATEMENT OF EMPLOYMENT INSURANCE BENEFITS</t>
  </si>
  <si>
    <t>T4PS-2001 SLIPS DATA ENTRY</t>
  </si>
  <si>
    <t xml:space="preserve">STATEMENT OF EMPLOYEE PROFIT-SHARING </t>
  </si>
  <si>
    <t>PLAN ALLOCATIONS AND PAYMENTS</t>
  </si>
  <si>
    <t>STATEMENT OF INCOME FROM A</t>
  </si>
  <si>
    <t>REGISTERED RETIREMENT INCOME FUND</t>
  </si>
  <si>
    <t>STATEMENT OF RRSP INCOME</t>
  </si>
  <si>
    <t>STATEMENT OF INVESTMENT INCOME</t>
  </si>
  <si>
    <t>STATEMENT OF EMPLOYEE PROFIT-SHARING</t>
  </si>
  <si>
    <t>this schedule, to his or her return.</t>
  </si>
  <si>
    <t>Make sure that the person to whom you transfer your unused 2001 amounts does not attach this schedule, or a photocopy of</t>
  </si>
  <si>
    <r>
      <t>If you have any</t>
    </r>
    <r>
      <rPr>
        <b/>
        <sz val="14"/>
        <color indexed="8"/>
        <rFont val="Arial"/>
        <family val="2"/>
      </rPr>
      <t xml:space="preserve"> additional data not included</t>
    </r>
    <r>
      <rPr>
        <sz val="14"/>
        <color indexed="8"/>
        <rFont val="Arial"/>
        <family val="2"/>
      </rPr>
      <t xml:space="preserve"> in the above sheets/forms,such as for T3, T4RIF,T4RSP,T5,T5013, T5008, T4A(P)</t>
    </r>
  </si>
  <si>
    <t xml:space="preserve">enter it for those lines into this form on the appropriate line number.  </t>
  </si>
  <si>
    <t>* You are designating contributions made to your RRSP as a 2001 repayment under the Home Buyers' Plan (HBP) or the Lifelong</t>
  </si>
  <si>
    <t>STATEMENT(S) OF PENSION, RETIREMENT, ANNUITY, AND OTHER INCOME</t>
  </si>
  <si>
    <t>Welcome to the data entry interface for your T4A slips.</t>
  </si>
  <si>
    <r>
      <t xml:space="preserve">MyTAX does </t>
    </r>
    <r>
      <rPr>
        <b/>
        <sz val="14"/>
        <color indexed="8"/>
        <rFont val="Arial"/>
        <family val="2"/>
      </rPr>
      <t>NOT</t>
    </r>
    <r>
      <rPr>
        <sz val="14"/>
        <color indexed="8"/>
        <rFont val="Arial"/>
        <family val="2"/>
      </rPr>
      <t xml:space="preserve"> allow you to enter T4A data directly to other sheets and forms and schedules</t>
    </r>
  </si>
  <si>
    <r>
      <t xml:space="preserve">You must enter your T4A data into </t>
    </r>
    <r>
      <rPr>
        <b/>
        <sz val="14"/>
        <color indexed="8"/>
        <rFont val="Arial"/>
        <family val="2"/>
      </rPr>
      <t>this</t>
    </r>
    <r>
      <rPr>
        <sz val="14"/>
        <color indexed="8"/>
        <rFont val="Arial"/>
        <family val="2"/>
      </rPr>
      <t xml:space="preserve"> form.  As your enter data, it is posted to the cells in the schedules and forms </t>
    </r>
  </si>
  <si>
    <t>where they are needed.  If you have more than one T4A slip, then enter the amounts from each T4A into one set of columns.</t>
  </si>
  <si>
    <t xml:space="preserve">     similar institution. Attach a statement from the attending physician certifying this information.</t>
  </si>
  <si>
    <t>d) The other supporting person was incapable of caring for children because of a mental or physical infirmity. This situation is</t>
  </si>
  <si>
    <t xml:space="preserve">     likely to continue for an indefinite period. Attach a statement from the attending physician certifying this information.</t>
  </si>
  <si>
    <t>Transfers, and HBP or LLP Activities</t>
  </si>
  <si>
    <r>
      <t xml:space="preserve">Only complete this schedule when </t>
    </r>
    <r>
      <rPr>
        <b/>
        <sz val="12"/>
        <color indexed="8"/>
        <rFont val="Arial"/>
        <family val="2"/>
      </rPr>
      <t>one or more</t>
    </r>
    <r>
      <rPr>
        <sz val="12"/>
        <color indexed="8"/>
        <rFont val="Arial"/>
        <family val="2"/>
      </rPr>
      <t xml:space="preserve"> of the following situations applies:</t>
    </r>
  </si>
  <si>
    <t>* You have transferred to your RRSP certain amounts you included in your income.</t>
  </si>
  <si>
    <t xml:space="preserve">   Learning Plan (LLP).</t>
  </si>
  <si>
    <t>(If nonzero, this amount will be posted to line 208)</t>
  </si>
  <si>
    <t>See line 208 in the guide for more information.</t>
  </si>
  <si>
    <t>Add lines 2 and 3</t>
  </si>
  <si>
    <t>Total RRSP contributions: Add lines 1 and 4</t>
  </si>
  <si>
    <t>Also enter this amount on line 208 of your return.</t>
  </si>
  <si>
    <t xml:space="preserve">Your unused RRSP contributions available to carry forward to a future year: </t>
  </si>
  <si>
    <t>No</t>
  </si>
  <si>
    <t>Welcome to the data entry interface for your T4RIF slips.</t>
  </si>
  <si>
    <t>MyTAX does NOT allow you to enter T4RIF data directly to other sheets and forms and schedules</t>
  </si>
  <si>
    <t xml:space="preserve">You must enter your T4RIF data into this form.  As your enter data, it is posted to the cells in the schedules and forms </t>
  </si>
  <si>
    <t>where they are needed.  If you have more than one T4RIF slip, then enter the amounts from each T4RIF.</t>
  </si>
  <si>
    <t>If you have more than five T4RIF forms, you can add the data from the extra ones as a sum rather than a single #.</t>
  </si>
  <si>
    <t>Data
T4RIF #1</t>
  </si>
  <si>
    <t>Data
T4RIF #2</t>
  </si>
  <si>
    <t>Data
T4RIF #3</t>
  </si>
  <si>
    <t>Data
T4RIF #4</t>
  </si>
  <si>
    <t>Data
T4RIF #5</t>
  </si>
  <si>
    <t xml:space="preserve"> - determine the unused provincial amount, if any, available for you to carry forward to a future year.</t>
  </si>
  <si>
    <r>
      <t xml:space="preserve">Enter </t>
    </r>
    <r>
      <rPr>
        <b/>
        <sz val="12"/>
        <color indexed="8"/>
        <rFont val="Arial"/>
        <family val="2"/>
      </rPr>
      <t>$5,000</t>
    </r>
    <r>
      <rPr>
        <sz val="12"/>
        <color indexed="8"/>
        <rFont val="Arial"/>
        <family val="2"/>
      </rPr>
      <t xml:space="preserve"> or the amount from line 5, whichever is </t>
    </r>
    <r>
      <rPr>
        <b/>
        <sz val="12"/>
        <color indexed="8"/>
        <rFont val="Arial"/>
        <family val="2"/>
      </rPr>
      <t>less</t>
    </r>
  </si>
  <si>
    <t>There is a payment reminder built into the software.</t>
  </si>
  <si>
    <t>However, at your earliest convenience, please reciprocate my trust in you by mailing payment to:</t>
  </si>
  <si>
    <t>PROV SWITCH AREA</t>
  </si>
  <si>
    <t>Foreign busniess income</t>
  </si>
  <si>
    <t>Foreign non-business income</t>
  </si>
  <si>
    <t>Capital gains eligible for deduction</t>
  </si>
  <si>
    <t>Qualifying pension income</t>
  </si>
  <si>
    <t>Foreign business income paid</t>
  </si>
  <si>
    <t xml:space="preserve">Insurance segragated </t>
  </si>
  <si>
    <t>fund capital losses</t>
  </si>
  <si>
    <t>Part XII.2 tax credit</t>
  </si>
  <si>
    <t>Investment tax credit</t>
  </si>
  <si>
    <t>Investment cost or expenditures</t>
  </si>
  <si>
    <t>Other credits</t>
  </si>
  <si>
    <t>Footnotes</t>
  </si>
  <si>
    <t>115,314</t>
  </si>
  <si>
    <t>176,433</t>
  </si>
  <si>
    <t>Sch3,Sch1</t>
  </si>
  <si>
    <t>Sch4,II</t>
  </si>
  <si>
    <t>Sch 1,433</t>
  </si>
  <si>
    <t>130,</t>
  </si>
  <si>
    <t>Sch3,173</t>
  </si>
  <si>
    <t>Sch3,107</t>
  </si>
  <si>
    <t>Sch3,110</t>
  </si>
  <si>
    <t>income tax paid</t>
  </si>
  <si>
    <t>Foreign non-business</t>
  </si>
  <si>
    <t>Sch1,431</t>
  </si>
  <si>
    <t>Miscellaneous      Sch 9</t>
  </si>
  <si>
    <t>337,339</t>
  </si>
  <si>
    <t>340, 342</t>
  </si>
  <si>
    <t>Sch3,174</t>
  </si>
  <si>
    <t>Sch1,425</t>
  </si>
  <si>
    <t>Eligible death benefits(excl $1000?)</t>
  </si>
  <si>
    <t>box 21 minus box 30</t>
  </si>
  <si>
    <t>STATEMENT OF TRUST INCOME ALLOCATIONS &amp; DESIGNATIONS</t>
  </si>
  <si>
    <t>Line 5840 - Caregiver amount</t>
  </si>
  <si>
    <t>* You will not be deducting on your return for 2001 all of the unused RRSP contributions shown on the last line of your 2001 "RRSP</t>
  </si>
  <si>
    <t>Enter the amount from box 26 (or if blank, box 14) on all T4 slips</t>
  </si>
  <si>
    <r>
      <t xml:space="preserve">- If you are a student, </t>
    </r>
    <r>
      <rPr>
        <sz val="12"/>
        <color indexed="8"/>
        <rFont val="Arial"/>
        <family val="2"/>
      </rPr>
      <t xml:space="preserve">you can use this schedule to calculate the maximum amount available for transfer.  Attach this schedule to </t>
    </r>
    <r>
      <rPr>
        <b/>
        <sz val="12"/>
        <color indexed="8"/>
        <rFont val="Arial"/>
        <family val="2"/>
      </rPr>
      <t>your</t>
    </r>
  </si>
  <si>
    <t>Data is used only if you select the YES option on line 5820 of the QUAL spreadsheet</t>
  </si>
  <si>
    <t>Note:  For this amount to be transferred to line 306</t>
  </si>
  <si>
    <t>you must set the option for line 306  to YES on the QUAL sheet</t>
  </si>
  <si>
    <t>Data is used only if you select the YES option on line 5816 of the QUAL spreadsheet</t>
  </si>
  <si>
    <r>
      <t xml:space="preserve">Keep this worksheet for your records.  </t>
    </r>
    <r>
      <rPr>
        <b/>
        <sz val="14"/>
        <color indexed="8"/>
        <rFont val="Arial"/>
        <family val="2"/>
      </rPr>
      <t>Do not attach it to the return you send us.</t>
    </r>
  </si>
  <si>
    <t>Line 301 - Age Amount</t>
  </si>
  <si>
    <t>Maximum Claim</t>
  </si>
  <si>
    <t>section in the guide for details.</t>
  </si>
  <si>
    <t>Your net Income from</t>
  </si>
  <si>
    <t>Spouse or common-law partner's taxable income:</t>
  </si>
  <si>
    <t>Enter the total of lines 5804, 5824, 5828, 5832 and 5856 of your spouse or</t>
  </si>
  <si>
    <t>Spouse or common-law partner's adjusted taxable income:</t>
  </si>
  <si>
    <t>5905</t>
  </si>
  <si>
    <t>5907</t>
  </si>
  <si>
    <t>5909</t>
  </si>
  <si>
    <t>5912</t>
  </si>
  <si>
    <t>Provincial amounts transferred from</t>
  </si>
  <si>
    <t>Complete this schedule to transfer, from your spouse or common-law partner, the unused part of his or her provincial amounts indicated</t>
  </si>
  <si>
    <t>5902</t>
  </si>
  <si>
    <t>Employee and partner GST/HST rebate (complete Form GST 370)</t>
  </si>
  <si>
    <t>Tax paid by installments</t>
  </si>
  <si>
    <t>CPP Contributions</t>
  </si>
  <si>
    <t>Attach a copy of this schedule to your return.  See line 222 in the guide for more information.</t>
  </si>
  <si>
    <t xml:space="preserve"> (maximum $34,800)</t>
  </si>
  <si>
    <t>CPP contributions payable on self-employment and other earnings:</t>
  </si>
  <si>
    <t>Line 8 minus line 9 (if negative, enter "0") Enter this amount on line 421 of your return.</t>
  </si>
  <si>
    <t>You cannot transfer your unused 2001 amounts to your parent or grandparent, or your spouse or common-law partner's parent or</t>
  </si>
  <si>
    <t>Part 3 - Unused provincial amount available to carry forward to a future year</t>
  </si>
  <si>
    <t>Enter the amount from line 6</t>
  </si>
  <si>
    <r>
      <t xml:space="preserve">Net gain only </t>
    </r>
    <r>
      <rPr>
        <b/>
        <sz val="12"/>
        <color indexed="8"/>
        <rFont val="Arial"/>
        <family val="2"/>
      </rPr>
      <t>159</t>
    </r>
  </si>
  <si>
    <t xml:space="preserve">    that was, under a tax treaty, either exempt from tax in that country or deductible as exempt income in Canada (included on line 256).  Also reduce</t>
  </si>
  <si>
    <t xml:space="preserve">    this amount by the lesser of lines E and F on Form T626</t>
  </si>
  <si>
    <t xml:space="preserve"> ** Line 236 plus the amount on line 3 of Form T1206, minus the total of the amounts on lines 248, 249, 250, 253, 254, and minus any foreign income</t>
  </si>
  <si>
    <t>mm-dd</t>
  </si>
  <si>
    <t>Reserves from line 6706 of Form T2017 (if the negative, show it in brackets and subtract it)</t>
  </si>
  <si>
    <t>Adjusted capital gains on gifts of certain capital property (complete Form T1170)</t>
  </si>
  <si>
    <t>Capital gains reduction on flow-through entities</t>
  </si>
  <si>
    <r>
      <t xml:space="preserve">Total capital gains (or losses)  </t>
    </r>
    <r>
      <rPr>
        <sz val="12"/>
        <color indexed="8"/>
        <rFont val="Arial"/>
        <family val="2"/>
      </rPr>
      <t>197</t>
    </r>
  </si>
  <si>
    <t>Taxable capital gains (or net capital loss) in 2001:</t>
  </si>
  <si>
    <t>Multiply the amount on line 197 by 50%.  Enter the total taxable capital gains on line 127 of your return.</t>
  </si>
  <si>
    <r>
      <t xml:space="preserve">Total of all gains (or losses) in column 5 before reserves and gifts  </t>
    </r>
    <r>
      <rPr>
        <sz val="12"/>
        <color indexed="8"/>
        <rFont val="Arial"/>
        <family val="2"/>
      </rPr>
      <t>191</t>
    </r>
    <r>
      <rPr>
        <b/>
        <sz val="12"/>
        <color indexed="8"/>
        <rFont val="Arial"/>
        <family val="2"/>
      </rPr>
      <t xml:space="preserve"> </t>
    </r>
  </si>
  <si>
    <t>I -</t>
  </si>
  <si>
    <r>
      <t xml:space="preserve">Taxable amount of dividends from taxable Canadian corporations </t>
    </r>
    <r>
      <rPr>
        <sz val="12"/>
        <color indexed="8"/>
        <rFont val="Arial"/>
        <family val="2"/>
      </rPr>
      <t>(see line 120 in the guide)</t>
    </r>
  </si>
  <si>
    <t>II -</t>
  </si>
  <si>
    <t>III -</t>
  </si>
  <si>
    <r>
      <t xml:space="preserve">Interest and other investment income </t>
    </r>
    <r>
      <rPr>
        <sz val="12"/>
        <color indexed="8"/>
        <rFont val="Arial"/>
        <family val="2"/>
      </rPr>
      <t>(see line 121 in the guide)</t>
    </r>
  </si>
  <si>
    <r>
      <t xml:space="preserve">Net partnership income (loss) </t>
    </r>
    <r>
      <rPr>
        <sz val="12"/>
        <color indexed="8"/>
        <rFont val="Arial"/>
        <family val="2"/>
      </rPr>
      <t>(see line 122 in the guide)</t>
    </r>
  </si>
  <si>
    <t>Amount for an eligible dependent</t>
  </si>
  <si>
    <t>(maximum claim $6293)</t>
  </si>
  <si>
    <t>if you were 65 or older on Dec 31, 2001.</t>
  </si>
  <si>
    <t xml:space="preserve"> +21500.+1467.33+991.56.  The leading + sign is important for MyTAX to know it is a formula. </t>
  </si>
  <si>
    <t>Employment Income</t>
  </si>
  <si>
    <t>Income tax deducted</t>
  </si>
  <si>
    <t>Employee's CPP contributions</t>
  </si>
  <si>
    <t xml:space="preserve"> For example, if you have the following amounts in three box 18's:  21500.00, 1467.33, 991.56, </t>
  </si>
  <si>
    <t>you would position the cursor to line 115 below, and then key in</t>
  </si>
  <si>
    <t xml:space="preserve"> For example, if you have the following amounts for box 32:  21500.00, 1467.33, 991.56, </t>
  </si>
  <si>
    <t>you would position the cursor to line 120 below, and then key in</t>
  </si>
  <si>
    <t>Data
T3 #1</t>
  </si>
  <si>
    <t>Data
T3 #2</t>
  </si>
  <si>
    <t>Data
T3 #3</t>
  </si>
  <si>
    <t>Data
T3 #4</t>
  </si>
  <si>
    <t>Data
T3 #5</t>
  </si>
  <si>
    <t>STATEMENT OF OLD AGE SECURITY</t>
  </si>
  <si>
    <t>T4E-2001 SLIPS DATA ENTRY FORM</t>
  </si>
  <si>
    <t>Welcome to the data entry interface for your T4E slips.</t>
  </si>
  <si>
    <t>MyTAX does NOT allow you to enter T4E data directly to other sheets and forms and schedules</t>
  </si>
  <si>
    <t xml:space="preserve">You must enter your T4E data into this form.  As your enter data, it is posted to the cells in the schedules and forms </t>
  </si>
  <si>
    <t>Enter the amount from line 8 on the other side</t>
  </si>
  <si>
    <t>Federal tax on split income (from line 4 of Form T1206</t>
  </si>
  <si>
    <t>Add lines 9 and 10</t>
  </si>
  <si>
    <r>
      <t xml:space="preserve">Multiply the amount on line 10 by the number of </t>
    </r>
    <r>
      <rPr>
        <b/>
        <sz val="12"/>
        <rFont val="Arial MT"/>
        <family val="0"/>
      </rPr>
      <t>full months</t>
    </r>
  </si>
  <si>
    <t xml:space="preserve"> in 2001 that the situation in a) existed</t>
  </si>
  <si>
    <t>Social Insurance number</t>
  </si>
  <si>
    <r>
      <t xml:space="preserve">Multiply the amount on line 10 by the number of </t>
    </r>
    <r>
      <rPr>
        <b/>
        <sz val="12"/>
        <rFont val="Arial MT"/>
        <family val="0"/>
      </rPr>
      <t>full weeks</t>
    </r>
    <r>
      <rPr>
        <sz val="12"/>
        <rFont val="Arial MT"/>
        <family val="0"/>
      </rPr>
      <t xml:space="preserve"> </t>
    </r>
  </si>
  <si>
    <t xml:space="preserve"> in 2001 that any of the situations in b) to f) existed</t>
  </si>
  <si>
    <t>Farming income eligible for the capital gains deduction from the disposition of eligible capital property</t>
  </si>
  <si>
    <t>38</t>
  </si>
  <si>
    <t>6151</t>
  </si>
  <si>
    <t>40</t>
  </si>
  <si>
    <t>6152</t>
  </si>
  <si>
    <t>6153</t>
  </si>
  <si>
    <t>6154</t>
  </si>
  <si>
    <t>43</t>
  </si>
  <si>
    <t>45</t>
  </si>
  <si>
    <t>47</t>
  </si>
  <si>
    <t>48</t>
  </si>
  <si>
    <t>49</t>
  </si>
  <si>
    <t>50</t>
  </si>
  <si>
    <t>51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</si>
  <si>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</si>
  <si>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</si>
  <si>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</si>
  <si>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</si>
  <si>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</si>
  <si>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</si>
  <si>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</si>
  <si>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</si>
  <si>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</si>
  <si>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</si>
  <si>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Total 2001 tuition and education amounts: Add lines 2, 3, and 4</t>
  </si>
  <si>
    <t>Unused tuition and education amounts claimed for 2001:</t>
  </si>
  <si>
    <t>2001 tuition and education amounts claimed for 2001:</t>
  </si>
  <si>
    <t>Amount from line 426 on federal Schedule 1</t>
  </si>
  <si>
    <t>Line 39 minus line 44 (if negative, enter "0")</t>
  </si>
  <si>
    <t>T1 General -2001</t>
  </si>
  <si>
    <t>Line 5848 - Disability amount transferred from a dependant</t>
  </si>
  <si>
    <r>
      <t xml:space="preserve">for the dependant.  If the dependant was age </t>
    </r>
    <r>
      <rPr>
        <b/>
        <sz val="12"/>
        <color indexed="8"/>
        <rFont val="Arial"/>
        <family val="2"/>
      </rPr>
      <t>18 or older,</t>
    </r>
    <r>
      <rPr>
        <sz val="12"/>
        <color indexed="8"/>
        <rFont val="Arial"/>
        <family val="2"/>
      </rPr>
      <t xml:space="preserve"> enter "0".</t>
    </r>
  </si>
  <si>
    <t xml:space="preserve">Your unused tuition and education amounts available to carry forward to a future year: Line 14 minus line 18  </t>
  </si>
  <si>
    <t>If you have more than four slips, you can add the data from the extra ones as a sum rather than a single #.</t>
  </si>
  <si>
    <t>Allocated Data</t>
  </si>
  <si>
    <t xml:space="preserve">The data you enter below is collected up  with data from the other forms and allocated to the appropriate line of "Allocated Data". </t>
  </si>
  <si>
    <t xml:space="preserve">The "Allocated Data" is picked up by the schedules and forms where needed.  </t>
  </si>
  <si>
    <t>Welcome to the data entry interface for miscellaneous data and the data collector sheet</t>
  </si>
  <si>
    <t>Part2,1</t>
  </si>
  <si>
    <t>Taxable pension paid</t>
  </si>
  <si>
    <t>Gross pension paid</t>
  </si>
  <si>
    <t>Overpayment recovered</t>
  </si>
  <si>
    <t>Net supplements paid</t>
  </si>
  <si>
    <t>Quebec income tax deducted</t>
  </si>
  <si>
    <t>146,250</t>
  </si>
  <si>
    <r>
      <t xml:space="preserve">If you are transferring all or part of the amount from line 16 to your spouse or common-law partner, </t>
    </r>
    <r>
      <rPr>
        <b/>
        <sz val="12"/>
        <color indexed="8"/>
        <rFont val="Arial"/>
        <family val="2"/>
      </rPr>
      <t>or</t>
    </r>
    <r>
      <rPr>
        <sz val="12"/>
        <color indexed="8"/>
        <rFont val="Arial"/>
        <family val="2"/>
      </rPr>
      <t xml:space="preserve"> to his or</t>
    </r>
  </si>
  <si>
    <t>Mortgage foreclosures and conditional sales repossessions - Address or legal description</t>
  </si>
  <si>
    <t>above for your mailing address:</t>
  </si>
  <si>
    <t>Enter his or her net income for 2001 to claim</t>
  </si>
  <si>
    <t>T4A-2001 SLIPS DATA ENTRY FORM</t>
  </si>
  <si>
    <r>
      <t xml:space="preserve">or she would enter if he or she filed a return.  Attach all of his or her information slips but </t>
    </r>
    <r>
      <rPr>
        <b/>
        <sz val="12"/>
        <color indexed="8"/>
        <rFont val="Arial"/>
        <family val="2"/>
      </rPr>
      <t>do not attach</t>
    </r>
    <r>
      <rPr>
        <sz val="12"/>
        <color indexed="8"/>
        <rFont val="Arial"/>
        <family val="2"/>
      </rPr>
      <t xml:space="preserve"> his or her return or schedules.</t>
    </r>
  </si>
  <si>
    <t>of the following columns you have to compute.</t>
  </si>
  <si>
    <t>Provincial Worksheet</t>
  </si>
  <si>
    <t>T1 General</t>
  </si>
  <si>
    <t xml:space="preserve">             (maximum $39,000. If $2,000 or less, enter "0")</t>
  </si>
  <si>
    <t>Total premiums deducted (box 18 of your T4 and T4F slips)</t>
  </si>
  <si>
    <t>Line 1 minus  $2,000 (if negative, enter "0")</t>
  </si>
  <si>
    <t>Required premium: Multiply line 1 by 2.25%</t>
  </si>
  <si>
    <t>(maximum  $877.50)</t>
  </si>
  <si>
    <t xml:space="preserve">          Employment Insurance overpayment</t>
  </si>
  <si>
    <t>The amount from line 8 is entered on line 450 of your return.</t>
  </si>
  <si>
    <t>Enter amount from line 3, 5, or 6, whichever is least, on line 312 of Schedule 1 and, if it applies, on line 5632 of Form 428.</t>
  </si>
  <si>
    <r>
      <t xml:space="preserve">Enter the amount from line 4 or line 7, whichever is </t>
    </r>
    <r>
      <rPr>
        <b/>
        <sz val="9"/>
        <color indexed="8"/>
        <rFont val="Arial"/>
        <family val="2"/>
      </rPr>
      <t>greater</t>
    </r>
  </si>
  <si>
    <t>If any of the following situations apply to you, use the "Monthly Proration Table for 2001" below to find the amounts for lines 1, 2, 3, and 5.</t>
  </si>
  <si>
    <t>- If you turned 18 in 2001, use the number of months in the year after the month you turned 18.</t>
  </si>
  <si>
    <t>(Canada citizens only; see the guide for details)</t>
  </si>
  <si>
    <t>Do you authorize the Canada Customs and Revenue Agency to provide your name, address and</t>
  </si>
  <si>
    <t>Yes</t>
  </si>
  <si>
    <t xml:space="preserve"> 2</t>
  </si>
  <si>
    <r>
      <t>LLP withdrawal</t>
    </r>
    <r>
      <rPr>
        <sz val="14"/>
        <color indexed="8"/>
        <rFont val="Arial"/>
        <family val="2"/>
      </rPr>
      <t xml:space="preserve">                       Sch 7</t>
    </r>
  </si>
  <si>
    <t>T3012A,T2205</t>
  </si>
  <si>
    <t>T5-2001 GENERAL DATA SUMMARY</t>
  </si>
  <si>
    <r>
      <t xml:space="preserve">2. </t>
    </r>
    <r>
      <rPr>
        <sz val="12"/>
        <color indexed="8"/>
        <rFont val="Arial"/>
        <family val="2"/>
      </rPr>
      <t>Qualified farm property</t>
    </r>
  </si>
  <si>
    <t>Address or legal description</t>
  </si>
  <si>
    <r>
      <t xml:space="preserve">Total </t>
    </r>
    <r>
      <rPr>
        <b/>
        <sz val="12"/>
        <color indexed="8"/>
        <rFont val="Arial"/>
        <family val="2"/>
      </rPr>
      <t>109</t>
    </r>
  </si>
  <si>
    <t>Enter this amount on line 428 of your return.</t>
  </si>
  <si>
    <t>YES</t>
  </si>
  <si>
    <t>NO</t>
  </si>
  <si>
    <t>Dependant # 2</t>
  </si>
  <si>
    <t>Dependant #1</t>
  </si>
  <si>
    <t>Enter on line 315 of Schedule 1, the total amount</t>
  </si>
  <si>
    <t xml:space="preserve">claimed for all dependants.  </t>
  </si>
  <si>
    <t>you must set the option for line 305  to YES on the QUAL sheet</t>
  </si>
  <si>
    <t>set the option  for line 315 to YES in the QUAL sheet</t>
  </si>
  <si>
    <t>316 set the option for line 316 to YES on the QUAL sheet</t>
  </si>
  <si>
    <t>Note: For the amount in 6 above to be transferred to line</t>
  </si>
  <si>
    <t>Note:  For the amount above to be transferred to line 315</t>
  </si>
  <si>
    <t>Note:  For this amount to be transferred to line 305</t>
  </si>
  <si>
    <t>Alert about data transfer</t>
  </si>
  <si>
    <t>PROV WRK</t>
  </si>
  <si>
    <t>Infirm dependant 18 or older</t>
  </si>
  <si>
    <t>PROV 428</t>
  </si>
  <si>
    <t>QUALIFICATION SETTINGS</t>
  </si>
  <si>
    <t xml:space="preserve">You may need to click on the radio buttons to change the qualification settings for your situation.  </t>
  </si>
  <si>
    <t>Amount for an eligible dependant /</t>
  </si>
  <si>
    <t xml:space="preserve">  (Equivalent-to-spouse amount)</t>
  </si>
  <si>
    <t>Consult the General Income Tax and Benefit Guide 2001 for the qualification rules.</t>
  </si>
  <si>
    <r>
      <t xml:space="preserve">Attach to page 1, a </t>
    </r>
    <r>
      <rPr>
        <b/>
        <sz val="12"/>
        <color indexed="8"/>
        <rFont val="Arial"/>
        <family val="2"/>
      </rPr>
      <t>cheque</t>
    </r>
    <r>
      <rPr>
        <sz val="12"/>
        <color indexed="8"/>
        <rFont val="Arial"/>
        <family val="2"/>
      </rPr>
      <t xml:space="preserve"> or </t>
    </r>
    <r>
      <rPr>
        <b/>
        <sz val="12"/>
        <color indexed="8"/>
        <rFont val="Arial"/>
        <family val="2"/>
      </rPr>
      <t>money order</t>
    </r>
    <r>
      <rPr>
        <sz val="12"/>
        <color indexed="8"/>
        <rFont val="Arial"/>
        <family val="2"/>
      </rPr>
      <t xml:space="preserve"> payable to the Receiver General.  Your payment is due no later than April 30, 2002.</t>
    </r>
  </si>
  <si>
    <t>Credit rate: Enter the amount from the table on page 5 of the forms book</t>
  </si>
  <si>
    <t>Multiply line 18 by line 19</t>
  </si>
  <si>
    <t>NSHOSP tax credit</t>
  </si>
  <si>
    <t>From Box 22 for T1 GEN-2</t>
  </si>
  <si>
    <t>All Box 28 for T1 GEN-4</t>
  </si>
  <si>
    <t>All Box 18 for T1 GEN-2</t>
  </si>
  <si>
    <t>All Box 36</t>
  </si>
  <si>
    <t>Allocated Data for Slip # 1</t>
  </si>
  <si>
    <t>Allocated Data for Slip # 2</t>
  </si>
  <si>
    <t>Allocated Data for Slip # 3</t>
  </si>
  <si>
    <t>Allocated Data for Slip # 5</t>
  </si>
  <si>
    <t>Allocated Data for Slip # 4</t>
  </si>
  <si>
    <t>Total for Line #</t>
  </si>
  <si>
    <t>From Box 16 for T1 GEN-2</t>
  </si>
  <si>
    <t>From Box 20 for T1 GEN-2</t>
  </si>
  <si>
    <t>Data is used only if you select the YES option on line 5844 of the QUAL spreadsheet</t>
  </si>
  <si>
    <t xml:space="preserve">Amount for line 5844: </t>
  </si>
  <si>
    <r>
      <t xml:space="preserve">Enter, on line 5844 of Form NS428, the amount on line 5 plus $4293 (maximum claim $7,234), </t>
    </r>
    <r>
      <rPr>
        <b/>
        <sz val="12"/>
        <color indexed="8"/>
        <rFont val="Arial"/>
        <family val="2"/>
      </rPr>
      <t>unless</t>
    </r>
    <r>
      <rPr>
        <sz val="12"/>
        <color indexed="8"/>
        <rFont val="Arial"/>
        <family val="2"/>
      </rPr>
      <t xml:space="preserve"> this chart </t>
    </r>
  </si>
  <si>
    <t xml:space="preserve">Total amount claimed for all dependants: </t>
  </si>
  <si>
    <t>Disability amount transferred</t>
  </si>
  <si>
    <t>Note:  For the amount above to be transferred to line 318</t>
  </si>
  <si>
    <t>set the option  for line 318 to YES in the QUAL sheet</t>
  </si>
  <si>
    <t>It is important that you set the buttons to the correct state because MyTAX uses these settings for its calculations.</t>
  </si>
  <si>
    <t>x</t>
  </si>
  <si>
    <r>
      <t xml:space="preserve">1) When Excel opens MyTAX, </t>
    </r>
    <r>
      <rPr>
        <b/>
        <sz val="14"/>
        <color indexed="8"/>
        <rFont val="Arial"/>
        <family val="2"/>
      </rPr>
      <t>you must reply macros enabled</t>
    </r>
    <r>
      <rPr>
        <sz val="14"/>
        <color indexed="8"/>
        <rFont val="Arial"/>
        <family val="2"/>
      </rPr>
      <t xml:space="preserve">, if Excel asks you.  </t>
    </r>
  </si>
  <si>
    <t>Schedules &amp; Forms</t>
  </si>
  <si>
    <t>2.  From a selected/active spreadsheet, you can click the GO TO button to send you back to the GO TO sheet.</t>
  </si>
  <si>
    <t>MyTAX has command &amp; control buttons which use macros (invisible procedures executed by Excel).</t>
  </si>
  <si>
    <t xml:space="preserve">1.  Forms and Schedules that you UNHIDE are available by scrolling the tab bar on the lower part of the screen </t>
  </si>
  <si>
    <t>left or right, followed by clicking on the tab of the sheet desired.</t>
  </si>
  <si>
    <t>Quick Start Instructions</t>
  </si>
  <si>
    <t xml:space="preserve">Download the latest version:   http://www.peeltech.ca   </t>
  </si>
  <si>
    <t>Free email support:               support@peeltech.ca</t>
  </si>
  <si>
    <t>sheet.  Clicking on buttons in the GO TO spreadsheet will unhide the sheets so that you can use them.</t>
  </si>
  <si>
    <t>If Excel didn't ask you, that is ok!  This means Excel is already set to automatically use macros.</t>
  </si>
  <si>
    <t>Payment also entitles you to use MyTAX 2001 for an unlimited number of personal income tax planning scenarios.</t>
  </si>
  <si>
    <r>
      <t xml:space="preserve">Capital gains (or losses)  </t>
    </r>
    <r>
      <rPr>
        <sz val="12"/>
        <color indexed="8"/>
        <rFont val="Arial"/>
        <family val="2"/>
      </rPr>
      <t>194</t>
    </r>
  </si>
  <si>
    <r>
      <t xml:space="preserve">Note: </t>
    </r>
    <r>
      <rPr>
        <sz val="12"/>
        <color indexed="8"/>
        <rFont val="Arial"/>
        <family val="2"/>
      </rPr>
      <t>If you have a business investment loss,</t>
    </r>
  </si>
  <si>
    <t xml:space="preserve">  Qualified Dispositions</t>
  </si>
  <si>
    <t>Total of all data</t>
  </si>
  <si>
    <t>- If you turned 70 in 2001, use the number of months in the year up to and including the month your turned 70.</t>
  </si>
  <si>
    <t>parent or grandparent.  To do this, you have to designate the individual on the  back of Form T2202 or T2202A and specify the provincial</t>
  </si>
  <si>
    <t>Disability amount transferred from a dependant</t>
  </si>
  <si>
    <t xml:space="preserve">Tuition and education amounts transferred from a child </t>
  </si>
  <si>
    <t>Amounts transferred from your spouse or common-law partner (complete Schedule 2)</t>
  </si>
  <si>
    <t>Part1,1</t>
  </si>
  <si>
    <t xml:space="preserve"> * If you are not filing a return, keep this schedule for your records.  In any case, this schedule, or a photocopy of</t>
  </si>
  <si>
    <t xml:space="preserve"> 5000-S11</t>
  </si>
  <si>
    <t>Your net income from line 236 of your return</t>
  </si>
  <si>
    <t>Line 305 - Amount for an eligible dependant</t>
  </si>
  <si>
    <t>(formerly the "Equivalent-to-spouse amount")</t>
  </si>
  <si>
    <t>from a dependant</t>
  </si>
  <si>
    <t>your spouse or common-law partner</t>
  </si>
  <si>
    <r>
      <t>(</t>
    </r>
    <r>
      <rPr>
        <b/>
        <sz val="14"/>
        <color indexed="8"/>
        <rFont val="Arial"/>
        <family val="2"/>
      </rPr>
      <t>not including</t>
    </r>
    <r>
      <rPr>
        <sz val="14"/>
        <color indexed="8"/>
        <rFont val="Arial"/>
        <family val="2"/>
      </rPr>
      <t xml:space="preserve"> the amount on line 421)</t>
    </r>
  </si>
  <si>
    <t>Overpayment of Old Age Security benefits</t>
  </si>
  <si>
    <t>recovered (box 20 of your T4A(OAS) slip)</t>
  </si>
  <si>
    <t>Canada Customs</t>
  </si>
  <si>
    <t>Agence des douanes</t>
  </si>
  <si>
    <t>and Revenue Agency</t>
  </si>
  <si>
    <t>et du revenu du Canada</t>
  </si>
  <si>
    <t>Income Tax and Benefit Return</t>
  </si>
  <si>
    <t>Identification</t>
  </si>
  <si>
    <t>ON</t>
  </si>
  <si>
    <t>it is not the same as that shown</t>
  </si>
  <si>
    <t>Enter his or her first name:</t>
  </si>
  <si>
    <t xml:space="preserve"> - determine the provincial amount available to transfer to another designated individual; and</t>
  </si>
  <si>
    <r>
      <t xml:space="preserve">Line 19 minus line 20                                   </t>
    </r>
    <r>
      <rPr>
        <b/>
        <sz val="12"/>
        <color indexed="8"/>
        <rFont val="Arial"/>
        <family val="2"/>
      </rPr>
      <t>Unused provincial amount available to carry forward to a future year</t>
    </r>
  </si>
  <si>
    <t>The total 23958.89 will show in the box.  The cell status line will still show the individual amounts in the formula you entered.</t>
  </si>
  <si>
    <t>Field #</t>
  </si>
  <si>
    <t>Description</t>
  </si>
  <si>
    <t>Line</t>
  </si>
  <si>
    <t>Data
T4 # 1</t>
  </si>
  <si>
    <t>Data
T4 # 2</t>
  </si>
  <si>
    <t>Each supporting person claiming the deduction must attach a completed Form T778 to his or her return. Do not include receipts, but keep</t>
  </si>
  <si>
    <t>them in case we ask to see them.</t>
  </si>
  <si>
    <t>Data
T4 # 3</t>
  </si>
  <si>
    <t>Data
T4 # 4</t>
  </si>
  <si>
    <t>c) The other supporting person was incapable of caring for children because of a mental or physical infirmity. That person must</t>
  </si>
  <si>
    <t xml:space="preserve">     have been confined for a period of at least two weeks to a bed or wheelchair, or as a patient in a hospital, an asylum, or other</t>
  </si>
  <si>
    <t>Commissions included on line 101 (box 42 on all T4 slips)</t>
  </si>
  <si>
    <t>Old Age Security pension (box 18 on the T4A (OAS) slip)</t>
  </si>
  <si>
    <t>Employment Insurance benefits (box 14 on the T4E slip)</t>
  </si>
  <si>
    <t>Sched 9</t>
  </si>
  <si>
    <t xml:space="preserve">Minus: Medical expenses adjustment </t>
  </si>
  <si>
    <t>Allowable portion of medical expenses (if negative, enter "0")</t>
  </si>
  <si>
    <t>Add lines 300, 301, 303to 326, and 332.</t>
  </si>
  <si>
    <t>Be sure to attach a copy of this schedule to your return.</t>
  </si>
  <si>
    <t xml:space="preserve"> 5000-S1</t>
  </si>
  <si>
    <t>Specify:</t>
  </si>
  <si>
    <t>Federal dividend tax credit (13.3333% of the amount on line 120 of your return)</t>
  </si>
  <si>
    <t xml:space="preserve">     Non-business-income tax paid to a foreign country</t>
  </si>
  <si>
    <t>Amount for infirm dependants age 18 or older</t>
  </si>
  <si>
    <t>CPP or QPP contributions:</t>
  </si>
  <si>
    <t xml:space="preserve">  through employment from box 16 and box 17 on all T4 slips </t>
  </si>
  <si>
    <t>(maximum $1,496.40)</t>
  </si>
  <si>
    <t xml:space="preserve">  on self-employment and other earnings (from Schedule 8)</t>
  </si>
  <si>
    <t>Employment Insurance premiums from box 18 on all T4 slips</t>
  </si>
  <si>
    <t>STATEMENT(S) OF REMUNERATION PAID</t>
  </si>
  <si>
    <t>Welcome to the data entry interface for your T4 slips.</t>
  </si>
  <si>
    <t>following columns you have to complete.</t>
  </si>
  <si>
    <t>If line 1 is</t>
  </si>
  <si>
    <t>if line 1 is</t>
  </si>
  <si>
    <t>Enter the amount from line 1 in the applicable column</t>
  </si>
  <si>
    <t>Add lines 10 and 11</t>
  </si>
  <si>
    <t>Line 2 minus line 3 (cannot be negative)</t>
  </si>
  <si>
    <t>Multiply line 4 by line 5</t>
  </si>
  <si>
    <t>Go to Step 2</t>
  </si>
  <si>
    <r>
      <t>Important:</t>
    </r>
    <r>
      <rPr>
        <sz val="12"/>
        <color indexed="8"/>
        <rFont val="Arial"/>
        <family val="2"/>
      </rPr>
      <t xml:space="preserve"> Provincial non-refundable tax credits may be </t>
    </r>
    <r>
      <rPr>
        <b/>
        <sz val="12"/>
        <color indexed="8"/>
        <rFont val="Arial"/>
        <family val="2"/>
      </rPr>
      <t xml:space="preserve">different </t>
    </r>
    <r>
      <rPr>
        <sz val="12"/>
        <color indexed="8"/>
        <rFont val="Arial"/>
        <family val="2"/>
      </rPr>
      <t>from the federal amounts claimed on Schedule 1.</t>
    </r>
  </si>
  <si>
    <t>For internal use only</t>
  </si>
  <si>
    <t>Nova Scotia additional tax for minimum tax purposes, if applicable, from Form T1219</t>
  </si>
  <si>
    <t>Nova Scotia surtax:</t>
  </si>
  <si>
    <t>(Amount from line 47</t>
  </si>
  <si>
    <t xml:space="preserve"> minus $10,000)  x 10%(if negative, enter "0")</t>
  </si>
  <si>
    <t>Add lines 47 and 48</t>
  </si>
  <si>
    <t>Line 49 minus line 50</t>
  </si>
  <si>
    <t>Go to step 4</t>
  </si>
  <si>
    <t>Step 4 - Nova Scotia low-income tax reduction</t>
  </si>
  <si>
    <t>If you had a spouse or common-law partner on Decemer 31, 2001, you have to agree on who will claim the tax</t>
  </si>
  <si>
    <r>
      <t xml:space="preserve">reduction as </t>
    </r>
    <r>
      <rPr>
        <b/>
        <sz val="12"/>
        <color indexed="8"/>
        <rFont val="Arial"/>
        <family val="2"/>
      </rPr>
      <t>only one of you</t>
    </r>
    <r>
      <rPr>
        <sz val="12"/>
        <color indexed="8"/>
        <rFont val="Arial"/>
        <family val="2"/>
      </rPr>
      <t xml:space="preserve"> can make this claim for your family.</t>
    </r>
  </si>
  <si>
    <t>claim $300</t>
  </si>
  <si>
    <t>Reduction for spouse or common-law partner</t>
  </si>
  <si>
    <t>Reduction for an eligible dependant claimed at line 5816</t>
  </si>
  <si>
    <t>Reduction for dependent children born in 1983 or later:</t>
  </si>
  <si>
    <t>Number of dependent children</t>
  </si>
  <si>
    <t>6099</t>
  </si>
  <si>
    <t>x $165</t>
  </si>
  <si>
    <t>Add lines 52 through 55</t>
  </si>
  <si>
    <t>Enter your net income from line 236 of your return</t>
  </si>
  <si>
    <t>Enter your spouse or common-law parner's net income</t>
  </si>
  <si>
    <t>from page 1 of your return</t>
  </si>
  <si>
    <t>Net family income:  Add lines 57 and 58</t>
  </si>
  <si>
    <t>Line 59 minus line 60 (if negative, enter "0")</t>
  </si>
  <si>
    <t>Multiply line 61 by 5%</t>
  </si>
  <si>
    <t>Line 56 minus line 63 (if negative, enter "0")</t>
  </si>
  <si>
    <t>Nova Scotia low-income tax reduction</t>
  </si>
  <si>
    <t>Line 51 minus line 64 (if negative, enter "0").</t>
  </si>
  <si>
    <t>NS479</t>
  </si>
  <si>
    <t>Nova Scotia Credits</t>
  </si>
  <si>
    <t xml:space="preserve">Complete the calculations that apply to you and attach a copy of this form to your return.  </t>
  </si>
  <si>
    <t>For details, see pages 4 and 5 in the forms book.</t>
  </si>
  <si>
    <t>Political contribution and labour-sponsored venture-capital tax credits</t>
  </si>
  <si>
    <t>Political contribution tax credit</t>
  </si>
  <si>
    <t>Enter the Nova Scotia political contributions made in 2001</t>
  </si>
  <si>
    <t>Enter the credit you calculated on the</t>
  </si>
  <si>
    <t>Labour-sponsored venture-capital tax credit</t>
  </si>
  <si>
    <t>Cost of shares from Form NSLSV</t>
  </si>
  <si>
    <t>x 15% = (max. $525)</t>
  </si>
  <si>
    <t>Add line 2 and 3</t>
  </si>
  <si>
    <t>Enter your Nova Scotia tax from line 428 of your return</t>
  </si>
  <si>
    <r>
      <t xml:space="preserve">Enter the amount from line 4 or line 5, whichever is </t>
    </r>
    <r>
      <rPr>
        <b/>
        <sz val="12"/>
        <color indexed="8"/>
        <rFont val="Arial"/>
        <family val="2"/>
      </rPr>
      <t>less</t>
    </r>
  </si>
  <si>
    <t>If you are claiming the Nova Scotia equity tax credit or home ownership savings plan tax credit, complete the back of this form.</t>
  </si>
  <si>
    <t xml:space="preserve">Total CPP pensionable earnings (box 26, or , if blank, box 14 of your T4 slips) </t>
  </si>
  <si>
    <t>(maximum  $38,300)</t>
  </si>
  <si>
    <t>Basic CPP exemption</t>
  </si>
  <si>
    <t>(maximum  $ 3,500)</t>
  </si>
  <si>
    <t>Earnings subject to contribution (if negative, enter "0")</t>
  </si>
  <si>
    <t>(maximum  $34,800)</t>
  </si>
  <si>
    <t>Total CPP and QPP contributions deducted (from boxes 16 and 17 of your T4 slips)</t>
  </si>
  <si>
    <t>Required contribution: Multiply line 3 by 4.3%</t>
  </si>
  <si>
    <t>(maximum  $1,496.40)</t>
  </si>
  <si>
    <t xml:space="preserve">     Canada  Pension Plan overpayment</t>
  </si>
  <si>
    <t>If the amount from line 6 is positive, enter it on line 448 of your return.</t>
  </si>
  <si>
    <t xml:space="preserve">                                                                   Monthly Proration Table for 2001</t>
  </si>
  <si>
    <t xml:space="preserve">Maximum amount of </t>
  </si>
  <si>
    <t>months</t>
  </si>
  <si>
    <t>required contribution</t>
  </si>
  <si>
    <t xml:space="preserve">    Part 2 - Calculating your Employment Insurance (EI) overpayment</t>
  </si>
  <si>
    <t>Social assistance payments or</t>
  </si>
  <si>
    <t>provincial supplements</t>
  </si>
  <si>
    <t>T2036</t>
  </si>
  <si>
    <t>planned</t>
  </si>
  <si>
    <t>For forms not finished yet or not included</t>
  </si>
  <si>
    <t>on this list, email us your request.</t>
  </si>
  <si>
    <t>Data is used only if you select the YES option on line 5840 of the QUAL spreadsheet</t>
  </si>
  <si>
    <t xml:space="preserve">  Make a separate calculation for each foreign country.</t>
  </si>
  <si>
    <r>
      <t>Federal foreign tax credit:</t>
    </r>
    <r>
      <rPr>
        <sz val="12"/>
        <color indexed="8"/>
        <rFont val="Arial"/>
        <family val="2"/>
      </rPr>
      <t xml:space="preserve"> (see lines 431 and 433 in the guide)</t>
    </r>
  </si>
  <si>
    <t xml:space="preserve">          Net income ** </t>
  </si>
  <si>
    <t>(ii)</t>
  </si>
  <si>
    <t>Basic federal tax***</t>
  </si>
  <si>
    <t>Add lines 45 and 46</t>
  </si>
  <si>
    <t>Basic reduction</t>
  </si>
  <si>
    <t xml:space="preserve">    (included on line 256).  If the result is less than the amount on line 433, enter your Basic federal tax*** on line (ii). </t>
  </si>
  <si>
    <t xml:space="preserve">   abatement (line 441 on the return for residents of Yukon).</t>
  </si>
  <si>
    <t xml:space="preserve">  Net foreign non-business income* </t>
  </si>
  <si>
    <t>Net</t>
  </si>
  <si>
    <t>Taxable amount</t>
  </si>
  <si>
    <t>RRSP income (from all T4RSP slips)</t>
  </si>
  <si>
    <t>Self-employment income (see lines 135 to 143 in the guide)</t>
  </si>
  <si>
    <t>Workers' compensation benefits (box 10 on the T5007 slip)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</si>
</sst>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0_)"/>
    <numFmt numFmtId="174" formatCode="dd\-mmm\-yy_)"/>
    <numFmt numFmtId="175" formatCode="0.000_)"/>
    <numFmt numFmtId="176" formatCode="00000"/>
    <numFmt numFmtId="177" formatCode="0.0%"/>
    <numFmt numFmtId="178" formatCode="0.0_)"/>
    <numFmt numFmtId="179" formatCode="mmmm\ d\,\ yyyy"/>
    <numFmt numFmtId="180" formatCode="mm/dd/yy"/>
    <numFmt numFmtId="181" formatCode="yyyy\-mm\-dd"/>
    <numFmt numFmtId="182" formatCode="mm\-dd"/>
    <numFmt numFmtId="183" formatCode="#.##"/>
    <numFmt numFmtId="184" formatCode="mm/dd/yyyy"/>
    <numFmt numFmtId="185" formatCode="0.000"/>
    <numFmt numFmtId="186" formatCode="00"/>
    <numFmt numFmtId="187" formatCode="\|00"/>
    <numFmt numFmtId="188" formatCode="\|.00"/>
    <numFmt numFmtId="189" formatCode="0000"/>
    <numFmt numFmtId="190" formatCode="000"/>
    <numFmt numFmtId="191" formatCode="#,###.00"/>
    <numFmt numFmtId="192" formatCode="dd\-mmm\-yy"/>
    <numFmt numFmtId="193" formatCode="0.0000"/>
    <numFmt numFmtId="194" formatCode="yyyy"/>
    <numFmt numFmtId="195" formatCode="000\-000\-000"/>
    <numFmt numFmtId="196" formatCode="m/d/yy\ h:mm\ AM/PM"/>
  </numFmts>
  <fonts count="82">
    <font>
      <sz val="12"/>
      <name val="Arial MT"/>
      <family val="0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Renfrew"/>
      <family val="2"/>
    </font>
    <font>
      <b/>
      <sz val="10"/>
      <color indexed="8"/>
      <name val="Renfrew"/>
      <family val="2"/>
    </font>
    <font>
      <i/>
      <sz val="12"/>
      <color indexed="8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4"/>
      <name val="Arial MT"/>
      <family val="0"/>
    </font>
    <font>
      <sz val="10"/>
      <name val="Arial MT"/>
      <family val="0"/>
    </font>
    <font>
      <b/>
      <sz val="14"/>
      <name val="Arial MT"/>
      <family val="0"/>
    </font>
    <font>
      <b/>
      <sz val="14"/>
      <color indexed="10"/>
      <name val="Arial"/>
      <family val="2"/>
    </font>
    <font>
      <sz val="11.5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Coronet"/>
      <family val="4"/>
    </font>
    <font>
      <b/>
      <sz val="12"/>
      <name val="Arial MT"/>
      <family val="0"/>
    </font>
    <font>
      <b/>
      <sz val="10"/>
      <name val="Tahoma"/>
      <family val="2"/>
    </font>
    <font>
      <b/>
      <sz val="11.5"/>
      <color indexed="8"/>
      <name val="Arial"/>
      <family val="2"/>
    </font>
    <font>
      <b/>
      <sz val="11"/>
      <color indexed="8"/>
      <name val="Arial"/>
      <family val="2"/>
    </font>
    <font>
      <i/>
      <sz val="18"/>
      <color indexed="8"/>
      <name val="Arial"/>
      <family val="2"/>
    </font>
    <font>
      <b/>
      <sz val="17"/>
      <color indexed="8"/>
      <name val="Arial"/>
      <family val="2"/>
    </font>
    <font>
      <b/>
      <sz val="8"/>
      <name val="Tahoma"/>
      <family val="0"/>
    </font>
    <font>
      <i/>
      <sz val="12"/>
      <name val="Arial MT"/>
      <family val="0"/>
    </font>
    <font>
      <b/>
      <sz val="16"/>
      <name val="Arial MT"/>
      <family val="0"/>
    </font>
    <font>
      <sz val="9"/>
      <name val="Arial MT"/>
      <family val="0"/>
    </font>
    <font>
      <sz val="11"/>
      <name val="Arial MT"/>
      <family val="0"/>
    </font>
    <font>
      <b/>
      <sz val="11"/>
      <name val="Arial MT"/>
      <family val="0"/>
    </font>
    <font>
      <sz val="18"/>
      <name val="Bookman Old Style"/>
      <family val="1"/>
    </font>
    <font>
      <sz val="10"/>
      <name val="Tahoma"/>
      <family val="2"/>
    </font>
    <font>
      <u val="single"/>
      <sz val="7.8"/>
      <color indexed="12"/>
      <name val="Arial MT"/>
      <family val="0"/>
    </font>
    <font>
      <u val="single"/>
      <sz val="7.2"/>
      <color indexed="36"/>
      <name val="Arial MT"/>
      <family val="0"/>
    </font>
    <font>
      <sz val="12"/>
      <color indexed="9"/>
      <name val="Arial MT"/>
      <family val="0"/>
    </font>
    <font>
      <b/>
      <sz val="16"/>
      <color indexed="8"/>
      <name val="Renfrew"/>
      <family val="2"/>
    </font>
    <font>
      <b/>
      <sz val="18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9"/>
      <name val="Arial"/>
      <family val="2"/>
    </font>
    <font>
      <sz val="20"/>
      <color indexed="8"/>
      <name val="Arial"/>
      <family val="2"/>
    </font>
    <font>
      <sz val="12"/>
      <color indexed="9"/>
      <name val="Renfrew"/>
      <family val="2"/>
    </font>
    <font>
      <sz val="12"/>
      <color indexed="9"/>
      <name val="Arial"/>
      <family val="2"/>
    </font>
    <font>
      <b/>
      <sz val="12"/>
      <color indexed="9"/>
      <name val="Renfrew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 MT"/>
      <family val="0"/>
    </font>
    <font>
      <b/>
      <sz val="11"/>
      <name val="Tahoma"/>
      <family val="2"/>
    </font>
    <font>
      <u val="single"/>
      <sz val="12"/>
      <color indexed="12"/>
      <name val="Arial MT"/>
      <family val="0"/>
    </font>
    <font>
      <b/>
      <sz val="8"/>
      <name val="Arial MT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>
        <color indexed="63"/>
      </bottom>
    </border>
  </borders>
  <cellStyleXfs count="59">
    <xf numFmtId="173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73" fontId="2" fillId="3" borderId="0">
      <alignment/>
      <protection hidden="1"/>
    </xf>
    <xf numFmtId="0" fontId="2" fillId="4" borderId="0">
      <alignment/>
      <protection/>
    </xf>
  </cellStyleXfs>
  <cellXfs count="1016">
    <xf numFmtId="173" fontId="0" fillId="2" borderId="0" xfId="0" applyAlignment="1">
      <alignment/>
    </xf>
    <xf numFmtId="173" fontId="0" fillId="2" borderId="0" xfId="0" applyFont="1" applyAlignment="1" applyProtection="1">
      <alignment/>
      <protection/>
    </xf>
    <xf numFmtId="172" fontId="9" fillId="5" borderId="1" xfId="0" applyNumberFormat="1" applyFont="1" applyFill="1" applyBorder="1" applyAlignment="1" applyProtection="1">
      <alignment/>
      <protection/>
    </xf>
    <xf numFmtId="172" fontId="9" fillId="5" borderId="0" xfId="0" applyNumberFormat="1" applyFont="1" applyFill="1" applyAlignment="1" applyProtection="1">
      <alignment/>
      <protection/>
    </xf>
    <xf numFmtId="172" fontId="9" fillId="6" borderId="0" xfId="0" applyNumberFormat="1" applyFont="1" applyFill="1" applyAlignment="1" applyProtection="1">
      <alignment/>
      <protection/>
    </xf>
    <xf numFmtId="172" fontId="9" fillId="5" borderId="2" xfId="0" applyNumberFormat="1" applyFont="1" applyFill="1" applyBorder="1" applyAlignment="1" applyProtection="1">
      <alignment/>
      <protection/>
    </xf>
    <xf numFmtId="173" fontId="0" fillId="0" borderId="0" xfId="0" applyFill="1" applyAlignment="1">
      <alignment/>
    </xf>
    <xf numFmtId="173" fontId="2" fillId="7" borderId="0" xfId="0" applyFont="1" applyFill="1" applyBorder="1" applyAlignment="1" applyProtection="1">
      <alignment/>
      <protection/>
    </xf>
    <xf numFmtId="173" fontId="3" fillId="7" borderId="0" xfId="0" applyFont="1" applyFill="1" applyBorder="1" applyAlignment="1" applyProtection="1">
      <alignment/>
      <protection/>
    </xf>
    <xf numFmtId="173" fontId="4" fillId="7" borderId="3" xfId="0" applyFont="1" applyFill="1" applyBorder="1" applyAlignment="1" applyProtection="1">
      <alignment/>
      <protection/>
    </xf>
    <xf numFmtId="0" fontId="1" fillId="8" borderId="0" xfId="52" applyFill="1">
      <alignment/>
      <protection/>
    </xf>
    <xf numFmtId="0" fontId="1" fillId="0" borderId="0" xfId="52">
      <alignment/>
      <protection/>
    </xf>
    <xf numFmtId="0" fontId="1" fillId="8" borderId="0" xfId="52" applyFill="1" applyAlignment="1">
      <alignment horizontal="left"/>
      <protection/>
    </xf>
    <xf numFmtId="0" fontId="1" fillId="8" borderId="0" xfId="52" applyFill="1" applyAlignment="1">
      <alignment vertical="top"/>
      <protection/>
    </xf>
    <xf numFmtId="0" fontId="19" fillId="8" borderId="0" xfId="52" applyFont="1" applyFill="1" applyAlignment="1">
      <alignment horizontal="right"/>
      <protection/>
    </xf>
    <xf numFmtId="0" fontId="20" fillId="8" borderId="0" xfId="52" applyFont="1" applyFill="1" applyAlignment="1">
      <alignment horizontal="center"/>
      <protection/>
    </xf>
    <xf numFmtId="0" fontId="21" fillId="8" borderId="0" xfId="52" applyFont="1" applyFill="1">
      <alignment/>
      <protection/>
    </xf>
    <xf numFmtId="0" fontId="1" fillId="8" borderId="4" xfId="52" applyFill="1" applyBorder="1">
      <alignment/>
      <protection/>
    </xf>
    <xf numFmtId="0" fontId="1" fillId="8" borderId="5" xfId="52" applyFill="1" applyBorder="1">
      <alignment/>
      <protection/>
    </xf>
    <xf numFmtId="0" fontId="1" fillId="8" borderId="6" xfId="52" applyFill="1" applyBorder="1">
      <alignment/>
      <protection/>
    </xf>
    <xf numFmtId="0" fontId="24" fillId="8" borderId="5" xfId="52" applyFont="1" applyFill="1" applyBorder="1" applyAlignment="1">
      <alignment horizontal="center"/>
      <protection/>
    </xf>
    <xf numFmtId="0" fontId="1" fillId="8" borderId="3" xfId="52" applyFill="1" applyBorder="1">
      <alignment/>
      <protection/>
    </xf>
    <xf numFmtId="0" fontId="1" fillId="8" borderId="0" xfId="52" applyFill="1" applyBorder="1">
      <alignment/>
      <protection/>
    </xf>
    <xf numFmtId="0" fontId="1" fillId="8" borderId="7" xfId="52" applyFill="1" applyBorder="1">
      <alignment/>
      <protection/>
    </xf>
    <xf numFmtId="0" fontId="25" fillId="8" borderId="8" xfId="52" applyFont="1" applyFill="1" applyBorder="1" applyAlignment="1">
      <alignment vertical="center"/>
      <protection/>
    </xf>
    <xf numFmtId="0" fontId="1" fillId="8" borderId="0" xfId="52" applyFill="1" applyBorder="1" applyAlignment="1">
      <alignment horizontal="center"/>
      <protection/>
    </xf>
    <xf numFmtId="0" fontId="1" fillId="8" borderId="8" xfId="52" applyFill="1" applyBorder="1">
      <alignment/>
      <protection/>
    </xf>
    <xf numFmtId="0" fontId="1" fillId="8" borderId="0" xfId="52" applyFill="1" applyBorder="1" applyAlignment="1">
      <alignment vertical="center"/>
      <protection/>
    </xf>
    <xf numFmtId="0" fontId="1" fillId="8" borderId="0" xfId="52" applyFill="1" applyBorder="1" applyAlignment="1">
      <alignment vertical="top"/>
      <protection/>
    </xf>
    <xf numFmtId="0" fontId="27" fillId="8" borderId="0" xfId="52" applyFont="1" applyFill="1" applyBorder="1" applyAlignment="1" applyProtection="1">
      <alignment horizontal="center" vertical="center"/>
      <protection/>
    </xf>
    <xf numFmtId="0" fontId="26" fillId="8" borderId="8" xfId="52" applyFont="1" applyFill="1" applyBorder="1" applyAlignment="1" applyProtection="1">
      <alignment vertical="center"/>
      <protection/>
    </xf>
    <xf numFmtId="0" fontId="1" fillId="8" borderId="9" xfId="52" applyFill="1" applyBorder="1">
      <alignment/>
      <protection/>
    </xf>
    <xf numFmtId="0" fontId="1" fillId="8" borderId="10" xfId="52" applyFill="1" applyBorder="1">
      <alignment/>
      <protection/>
    </xf>
    <xf numFmtId="0" fontId="1" fillId="8" borderId="8" xfId="52" applyFill="1" applyBorder="1" applyAlignment="1">
      <alignment vertical="center"/>
      <protection/>
    </xf>
    <xf numFmtId="0" fontId="24" fillId="8" borderId="5" xfId="52" applyFont="1" applyFill="1" applyBorder="1">
      <alignment/>
      <protection/>
    </xf>
    <xf numFmtId="0" fontId="24" fillId="8" borderId="0" xfId="52" applyFont="1" applyFill="1" applyBorder="1" applyAlignment="1">
      <alignment horizontal="center"/>
      <protection/>
    </xf>
    <xf numFmtId="0" fontId="24" fillId="8" borderId="0" xfId="52" applyFont="1" applyFill="1" applyBorder="1">
      <alignment/>
      <protection/>
    </xf>
    <xf numFmtId="0" fontId="28" fillId="8" borderId="0" xfId="52" applyFont="1" applyFill="1" applyBorder="1">
      <alignment/>
      <protection/>
    </xf>
    <xf numFmtId="49" fontId="26" fillId="8" borderId="10" xfId="52" applyNumberFormat="1" applyFont="1" applyFill="1" applyBorder="1">
      <alignment/>
      <protection/>
    </xf>
    <xf numFmtId="0" fontId="29" fillId="2" borderId="11" xfId="52" applyFont="1" applyFill="1" applyBorder="1" applyAlignment="1" applyProtection="1">
      <alignment horizontal="center"/>
      <protection locked="0"/>
    </xf>
    <xf numFmtId="186" fontId="26" fillId="2" borderId="11" xfId="52" applyNumberFormat="1" applyFont="1" applyFill="1" applyBorder="1" applyAlignment="1" applyProtection="1">
      <alignment horizontal="center"/>
      <protection locked="0"/>
    </xf>
    <xf numFmtId="0" fontId="23" fillId="8" borderId="2" xfId="52" applyFont="1" applyFill="1" applyBorder="1">
      <alignment/>
      <protection/>
    </xf>
    <xf numFmtId="0" fontId="1" fillId="8" borderId="2" xfId="52" applyFill="1" applyBorder="1">
      <alignment/>
      <protection/>
    </xf>
    <xf numFmtId="0" fontId="1" fillId="8" borderId="11" xfId="52" applyFill="1" applyBorder="1">
      <alignment/>
      <protection/>
    </xf>
    <xf numFmtId="0" fontId="1" fillId="8" borderId="12" xfId="52" applyFill="1" applyBorder="1">
      <alignment/>
      <protection/>
    </xf>
    <xf numFmtId="0" fontId="15" fillId="8" borderId="0" xfId="52" applyFont="1" applyFill="1" applyBorder="1">
      <alignment/>
      <protection/>
    </xf>
    <xf numFmtId="0" fontId="29" fillId="8" borderId="0" xfId="52" applyFont="1" applyFill="1" applyBorder="1">
      <alignment/>
      <protection/>
    </xf>
    <xf numFmtId="0" fontId="25" fillId="8" borderId="0" xfId="52" applyFont="1" applyFill="1" applyBorder="1">
      <alignment/>
      <protection/>
    </xf>
    <xf numFmtId="0" fontId="25" fillId="8" borderId="0" xfId="52" applyFont="1" applyFill="1" applyBorder="1" applyAlignment="1">
      <alignment horizontal="right"/>
      <protection/>
    </xf>
    <xf numFmtId="0" fontId="25" fillId="8" borderId="0" xfId="52" applyFont="1" applyFill="1" applyBorder="1" quotePrefix="1">
      <alignment/>
      <protection/>
    </xf>
    <xf numFmtId="0" fontId="25" fillId="8" borderId="8" xfId="52" applyFont="1" applyFill="1" applyBorder="1">
      <alignment/>
      <protection/>
    </xf>
    <xf numFmtId="0" fontId="21" fillId="8" borderId="0" xfId="52" applyFont="1" applyFill="1" applyBorder="1">
      <alignment/>
      <protection/>
    </xf>
    <xf numFmtId="0" fontId="1" fillId="8" borderId="0" xfId="52" applyFill="1" applyBorder="1" applyAlignment="1">
      <alignment horizontal="right"/>
      <protection/>
    </xf>
    <xf numFmtId="0" fontId="1" fillId="8" borderId="0" xfId="52" applyFill="1" applyBorder="1" quotePrefix="1">
      <alignment/>
      <protection/>
    </xf>
    <xf numFmtId="0" fontId="30" fillId="8" borderId="0" xfId="52" applyFont="1" applyFill="1">
      <alignment/>
      <protection/>
    </xf>
    <xf numFmtId="0" fontId="1" fillId="8" borderId="13" xfId="52" applyFill="1" applyBorder="1" applyAlignment="1">
      <alignment horizontal="center"/>
      <protection/>
    </xf>
    <xf numFmtId="0" fontId="1" fillId="9" borderId="11" xfId="52" applyFill="1" applyBorder="1">
      <alignment/>
      <protection/>
    </xf>
    <xf numFmtId="0" fontId="1" fillId="8" borderId="14" xfId="52" applyFill="1" applyBorder="1" applyAlignment="1">
      <alignment horizontal="center"/>
      <protection/>
    </xf>
    <xf numFmtId="173" fontId="0" fillId="0" borderId="0" xfId="0" applyFill="1" applyBorder="1" applyAlignment="1">
      <alignment/>
    </xf>
    <xf numFmtId="173" fontId="0" fillId="7" borderId="0" xfId="0" applyFill="1" applyBorder="1" applyAlignment="1">
      <alignment/>
    </xf>
    <xf numFmtId="173" fontId="0" fillId="7" borderId="8" xfId="0" applyFill="1" applyBorder="1" applyAlignment="1">
      <alignment/>
    </xf>
    <xf numFmtId="173" fontId="4" fillId="7" borderId="9" xfId="0" applyFont="1" applyFill="1" applyBorder="1" applyAlignment="1" applyProtection="1">
      <alignment/>
      <protection/>
    </xf>
    <xf numFmtId="173" fontId="4" fillId="8" borderId="0" xfId="50" applyFont="1" applyFill="1" applyAlignment="1" applyProtection="1">
      <alignment horizontal="center"/>
      <protection/>
    </xf>
    <xf numFmtId="173" fontId="3" fillId="8" borderId="0" xfId="50" applyFont="1" applyFill="1" applyAlignment="1" applyProtection="1">
      <alignment horizontal="left"/>
      <protection/>
    </xf>
    <xf numFmtId="173" fontId="2" fillId="8" borderId="0" xfId="50" applyFont="1" applyFill="1" applyProtection="1">
      <alignment/>
      <protection/>
    </xf>
    <xf numFmtId="173" fontId="3" fillId="8" borderId="0" xfId="50" applyFont="1" applyFill="1" applyAlignment="1" applyProtection="1" quotePrefix="1">
      <alignment horizontal="right"/>
      <protection/>
    </xf>
    <xf numFmtId="173" fontId="0" fillId="8" borderId="0" xfId="50" applyFill="1">
      <alignment/>
      <protection/>
    </xf>
    <xf numFmtId="173" fontId="0" fillId="0" borderId="0" xfId="50">
      <alignment/>
      <protection/>
    </xf>
    <xf numFmtId="173" fontId="3" fillId="8" borderId="0" xfId="50" applyFont="1" applyFill="1" applyAlignment="1" applyProtection="1">
      <alignment horizontal="center"/>
      <protection/>
    </xf>
    <xf numFmtId="173" fontId="7" fillId="8" borderId="0" xfId="50" applyFont="1" applyFill="1" applyProtection="1">
      <alignment/>
      <protection/>
    </xf>
    <xf numFmtId="173" fontId="2" fillId="8" borderId="1" xfId="50" applyFont="1" applyFill="1" applyBorder="1" applyProtection="1">
      <alignment/>
      <protection/>
    </xf>
    <xf numFmtId="173" fontId="3" fillId="8" borderId="1" xfId="50" applyFont="1" applyFill="1" applyBorder="1" applyAlignment="1" applyProtection="1">
      <alignment horizontal="center"/>
      <protection/>
    </xf>
    <xf numFmtId="173" fontId="4" fillId="8" borderId="15" xfId="50" applyFont="1" applyFill="1" applyBorder="1" applyAlignment="1" applyProtection="1">
      <alignment horizontal="center" vertical="center" wrapText="1"/>
      <protection/>
    </xf>
    <xf numFmtId="173" fontId="4" fillId="8" borderId="15" xfId="50" applyFont="1" applyFill="1" applyBorder="1" applyAlignment="1" applyProtection="1">
      <alignment horizontal="right" vertical="center" wrapText="1"/>
      <protection/>
    </xf>
    <xf numFmtId="49" fontId="2" fillId="8" borderId="0" xfId="50" applyNumberFormat="1" applyFont="1" applyFill="1" applyBorder="1" applyAlignment="1" applyProtection="1">
      <alignment horizontal="center" vertical="center"/>
      <protection/>
    </xf>
    <xf numFmtId="173" fontId="2" fillId="8" borderId="0" xfId="50" applyFont="1" applyFill="1" applyBorder="1" applyProtection="1">
      <alignment/>
      <protection/>
    </xf>
    <xf numFmtId="173" fontId="3" fillId="8" borderId="0" xfId="50" applyFont="1" applyFill="1" applyBorder="1" applyAlignment="1" applyProtection="1">
      <alignment horizontal="center"/>
      <protection/>
    </xf>
    <xf numFmtId="49" fontId="7" fillId="8" borderId="0" xfId="50" applyNumberFormat="1" applyFont="1" applyFill="1" applyBorder="1" applyAlignment="1" applyProtection="1">
      <alignment horizontal="center" vertical="center"/>
      <protection/>
    </xf>
    <xf numFmtId="173" fontId="4" fillId="8" borderId="0" xfId="50" applyFont="1" applyFill="1" applyBorder="1" applyProtection="1">
      <alignment/>
      <protection/>
    </xf>
    <xf numFmtId="173" fontId="7" fillId="8" borderId="0" xfId="50" applyFont="1" applyFill="1" applyBorder="1" applyProtection="1">
      <alignment/>
      <protection/>
    </xf>
    <xf numFmtId="173" fontId="29" fillId="8" borderId="0" xfId="50" applyFont="1" applyFill="1" applyAlignment="1" applyProtection="1">
      <alignment horizontal="left"/>
      <protection/>
    </xf>
    <xf numFmtId="173" fontId="7" fillId="8" borderId="0" xfId="50" applyFont="1" applyFill="1" applyBorder="1" applyAlignment="1" applyProtection="1">
      <alignment horizontal="left"/>
      <protection/>
    </xf>
    <xf numFmtId="173" fontId="4" fillId="8" borderId="0" xfId="50" applyFont="1" applyFill="1" applyBorder="1" applyAlignment="1" applyProtection="1">
      <alignment horizontal="center"/>
      <protection/>
    </xf>
    <xf numFmtId="173" fontId="33" fillId="8" borderId="0" xfId="50" applyFont="1" applyFill="1">
      <alignment/>
      <protection/>
    </xf>
    <xf numFmtId="173" fontId="36" fillId="8" borderId="0" xfId="50" applyFont="1" applyFill="1" applyAlignment="1" applyProtection="1">
      <alignment horizontal="center"/>
      <protection hidden="1"/>
    </xf>
    <xf numFmtId="173" fontId="29" fillId="8" borderId="0" xfId="50" applyFont="1" applyFill="1" applyAlignment="1" applyProtection="1">
      <alignment horizontal="left" wrapText="1"/>
      <protection/>
    </xf>
    <xf numFmtId="173" fontId="29" fillId="8" borderId="0" xfId="50" applyFont="1" applyFill="1" applyAlignment="1" applyProtection="1">
      <alignment horizontal="center"/>
      <protection/>
    </xf>
    <xf numFmtId="173" fontId="7" fillId="8" borderId="0" xfId="50" applyFont="1" applyFill="1" applyBorder="1" applyAlignment="1" applyProtection="1">
      <alignment vertical="center"/>
      <protection/>
    </xf>
    <xf numFmtId="173" fontId="33" fillId="8" borderId="0" xfId="50" applyFont="1" applyFill="1" applyAlignment="1">
      <alignment vertical="center"/>
      <protection/>
    </xf>
    <xf numFmtId="49" fontId="0" fillId="0" borderId="0" xfId="50" applyNumberFormat="1" applyAlignment="1">
      <alignment horizontal="center" vertical="center"/>
      <protection/>
    </xf>
    <xf numFmtId="49" fontId="2" fillId="0" borderId="0" xfId="50" applyNumberFormat="1" applyFont="1" applyFill="1" applyBorder="1" applyAlignment="1" applyProtection="1">
      <alignment horizontal="center" vertical="center"/>
      <protection/>
    </xf>
    <xf numFmtId="172" fontId="9" fillId="5" borderId="0" xfId="0" applyNumberFormat="1" applyFont="1" applyFill="1" applyBorder="1" applyAlignment="1" applyProtection="1">
      <alignment/>
      <protection/>
    </xf>
    <xf numFmtId="49" fontId="7" fillId="8" borderId="0" xfId="50" applyNumberFormat="1" applyFont="1" applyFill="1" applyBorder="1" applyAlignment="1" applyProtection="1">
      <alignment horizontal="center" vertical="center" shrinkToFit="1"/>
      <protection/>
    </xf>
    <xf numFmtId="0" fontId="38" fillId="8" borderId="0" xfId="52" applyFont="1" applyFill="1" applyBorder="1" applyAlignment="1">
      <alignment horizontal="right"/>
      <protection/>
    </xf>
    <xf numFmtId="189" fontId="27" fillId="2" borderId="11" xfId="52" applyNumberFormat="1" applyFont="1" applyFill="1" applyBorder="1" applyAlignment="1" applyProtection="1">
      <alignment horizontal="center" vertical="center"/>
      <protection locked="0"/>
    </xf>
    <xf numFmtId="0" fontId="1" fillId="8" borderId="0" xfId="52" applyFont="1" applyFill="1" quotePrefix="1">
      <alignment/>
      <protection/>
    </xf>
    <xf numFmtId="173" fontId="0" fillId="2" borderId="0" xfId="0" applyFill="1" applyAlignment="1">
      <alignment/>
    </xf>
    <xf numFmtId="173" fontId="2" fillId="2" borderId="0" xfId="0" applyFont="1" applyFill="1" applyAlignment="1" applyProtection="1">
      <alignment/>
      <protection/>
    </xf>
    <xf numFmtId="173" fontId="3" fillId="2" borderId="0" xfId="0" applyFont="1" applyFill="1" applyAlignment="1" applyProtection="1">
      <alignment/>
      <protection/>
    </xf>
    <xf numFmtId="173" fontId="2" fillId="2" borderId="0" xfId="0" applyFont="1" applyFill="1" applyAlignment="1" applyProtection="1">
      <alignment horizontal="right"/>
      <protection/>
    </xf>
    <xf numFmtId="49" fontId="0" fillId="2" borderId="8" xfId="0" applyNumberFormat="1" applyBorder="1" applyAlignment="1" applyProtection="1">
      <alignment shrinkToFit="1"/>
      <protection locked="0"/>
    </xf>
    <xf numFmtId="49" fontId="0" fillId="2" borderId="8" xfId="0" applyNumberFormat="1" applyBorder="1" applyAlignment="1" applyProtection="1">
      <alignment/>
      <protection locked="0"/>
    </xf>
    <xf numFmtId="173" fontId="0" fillId="2" borderId="11" xfId="0" applyBorder="1" applyAlignment="1" applyProtection="1">
      <alignment/>
      <protection locked="0"/>
    </xf>
    <xf numFmtId="173" fontId="43" fillId="9" borderId="4" xfId="0" applyFont="1" applyFill="1" applyBorder="1" applyAlignment="1" quotePrefix="1">
      <alignment/>
    </xf>
    <xf numFmtId="173" fontId="0" fillId="9" borderId="3" xfId="0" applyFill="1" applyBorder="1" applyAlignment="1">
      <alignment horizontal="center"/>
    </xf>
    <xf numFmtId="173" fontId="0" fillId="9" borderId="9" xfId="0" applyFill="1" applyBorder="1" applyAlignment="1">
      <alignment horizontal="center"/>
    </xf>
    <xf numFmtId="173" fontId="13" fillId="2" borderId="0" xfId="0" applyFont="1" applyFill="1" applyAlignment="1" applyProtection="1">
      <alignment horizontal="right"/>
      <protection/>
    </xf>
    <xf numFmtId="1" fontId="2" fillId="2" borderId="14" xfId="0" applyNumberFormat="1" applyFont="1" applyFill="1" applyBorder="1" applyAlignment="1" applyProtection="1">
      <alignment/>
      <protection locked="0"/>
    </xf>
    <xf numFmtId="173" fontId="2" fillId="7" borderId="0" xfId="0" applyFont="1" applyFill="1" applyAlignment="1" applyProtection="1">
      <alignment horizontal="right"/>
      <protection/>
    </xf>
    <xf numFmtId="181" fontId="2" fillId="2" borderId="14" xfId="0" applyNumberFormat="1" applyFont="1" applyFill="1" applyBorder="1" applyAlignment="1" applyProtection="1">
      <alignment horizontal="center"/>
      <protection locked="0"/>
    </xf>
    <xf numFmtId="182" fontId="2" fillId="2" borderId="0" xfId="0" applyNumberFormat="1" applyFont="1" applyFill="1" applyAlignment="1" applyProtection="1">
      <alignment horizontal="center"/>
      <protection locked="0"/>
    </xf>
    <xf numFmtId="172" fontId="9" fillId="6" borderId="0" xfId="0" applyNumberFormat="1" applyFont="1" applyFill="1" applyBorder="1" applyAlignment="1" applyProtection="1">
      <alignment/>
      <protection/>
    </xf>
    <xf numFmtId="172" fontId="9" fillId="5" borderId="8" xfId="0" applyNumberFormat="1" applyFont="1" applyFill="1" applyBorder="1" applyAlignment="1" applyProtection="1">
      <alignment/>
      <protection/>
    </xf>
    <xf numFmtId="0" fontId="1" fillId="8" borderId="0" xfId="52" applyFont="1" applyFill="1" applyBorder="1" applyAlignment="1">
      <alignment vertical="center"/>
      <protection/>
    </xf>
    <xf numFmtId="0" fontId="1" fillId="8" borderId="0" xfId="52" applyFont="1" applyFill="1" applyBorder="1">
      <alignment/>
      <protection/>
    </xf>
    <xf numFmtId="173" fontId="2" fillId="10" borderId="0" xfId="0" applyFont="1" applyFill="1" applyAlignment="1" applyProtection="1">
      <alignment/>
      <protection/>
    </xf>
    <xf numFmtId="173" fontId="46" fillId="10" borderId="0" xfId="0" applyFont="1" applyFill="1" applyAlignment="1" applyProtection="1">
      <alignment horizontal="right"/>
      <protection/>
    </xf>
    <xf numFmtId="173" fontId="10" fillId="10" borderId="0" xfId="0" applyFont="1" applyFill="1" applyAlignment="1" applyProtection="1">
      <alignment vertical="center"/>
      <protection/>
    </xf>
    <xf numFmtId="172" fontId="9" fillId="5" borderId="0" xfId="0" applyNumberFormat="1" applyFont="1" applyFill="1" applyAlignment="1" applyProtection="1" quotePrefix="1">
      <alignment/>
      <protection/>
    </xf>
    <xf numFmtId="172" fontId="9" fillId="6" borderId="0" xfId="0" applyNumberFormat="1" applyFont="1" applyFill="1" applyAlignment="1" applyProtection="1" quotePrefix="1">
      <alignment/>
      <protection/>
    </xf>
    <xf numFmtId="173" fontId="43" fillId="2" borderId="0" xfId="0" applyFont="1" applyAlignment="1">
      <alignment/>
    </xf>
    <xf numFmtId="173" fontId="16" fillId="8" borderId="0" xfId="0" applyFont="1" applyFill="1" applyAlignment="1" applyProtection="1">
      <alignment/>
      <protection/>
    </xf>
    <xf numFmtId="173" fontId="2" fillId="8" borderId="8" xfId="0" applyFont="1" applyFill="1" applyBorder="1" applyAlignment="1" applyProtection="1">
      <alignment/>
      <protection/>
    </xf>
    <xf numFmtId="173" fontId="2" fillId="8" borderId="2" xfId="0" applyFont="1" applyFill="1" applyBorder="1" applyAlignment="1" applyProtection="1">
      <alignment/>
      <protection/>
    </xf>
    <xf numFmtId="173" fontId="2" fillId="8" borderId="2" xfId="0" applyFont="1" applyFill="1" applyBorder="1" applyAlignment="1" applyProtection="1">
      <alignment wrapText="1"/>
      <protection/>
    </xf>
    <xf numFmtId="173" fontId="2" fillId="8" borderId="0" xfId="0" applyFont="1" applyFill="1" applyAlignment="1" applyProtection="1">
      <alignment/>
      <protection/>
    </xf>
    <xf numFmtId="173" fontId="2" fillId="8" borderId="0" xfId="0" applyFont="1" applyFill="1" applyAlignment="1" applyProtection="1">
      <alignment horizontal="right"/>
      <protection/>
    </xf>
    <xf numFmtId="173" fontId="2" fillId="8" borderId="0" xfId="0" applyFont="1" applyFill="1" applyAlignment="1" applyProtection="1">
      <alignment horizontal="left"/>
      <protection/>
    </xf>
    <xf numFmtId="173" fontId="42" fillId="8" borderId="0" xfId="0" applyFont="1" applyFill="1" applyAlignment="1" applyProtection="1">
      <alignment horizontal="right"/>
      <protection/>
    </xf>
    <xf numFmtId="173" fontId="16" fillId="8" borderId="0" xfId="0" applyFont="1" applyFill="1" applyAlignment="1" applyProtection="1">
      <alignment horizontal="left"/>
      <protection/>
    </xf>
    <xf numFmtId="173" fontId="2" fillId="8" borderId="5" xfId="0" applyFont="1" applyFill="1" applyBorder="1" applyAlignment="1" applyProtection="1">
      <alignment/>
      <protection/>
    </xf>
    <xf numFmtId="173" fontId="2" fillId="8" borderId="5" xfId="0" applyFont="1" applyFill="1" applyBorder="1" applyAlignment="1" applyProtection="1">
      <alignment/>
      <protection/>
    </xf>
    <xf numFmtId="173" fontId="2" fillId="8" borderId="8" xfId="0" applyFont="1" applyFill="1" applyBorder="1" applyAlignment="1" applyProtection="1">
      <alignment/>
      <protection/>
    </xf>
    <xf numFmtId="173" fontId="2" fillId="8" borderId="2" xfId="0" applyFont="1" applyFill="1" applyBorder="1" applyAlignment="1" applyProtection="1">
      <alignment horizontal="left"/>
      <protection/>
    </xf>
    <xf numFmtId="173" fontId="37" fillId="8" borderId="0" xfId="0" applyFont="1" applyFill="1" applyAlignment="1" applyProtection="1">
      <alignment horizontal="left"/>
      <protection/>
    </xf>
    <xf numFmtId="173" fontId="4" fillId="8" borderId="0" xfId="0" applyFont="1" applyFill="1" applyBorder="1" applyAlignment="1" applyProtection="1">
      <alignment/>
      <protection/>
    </xf>
    <xf numFmtId="173" fontId="37" fillId="8" borderId="2" xfId="0" applyFont="1" applyFill="1" applyBorder="1" applyAlignment="1" applyProtection="1">
      <alignment/>
      <protection/>
    </xf>
    <xf numFmtId="173" fontId="4" fillId="8" borderId="0" xfId="0" applyFont="1" applyFill="1" applyAlignment="1" applyProtection="1">
      <alignment/>
      <protection/>
    </xf>
    <xf numFmtId="173" fontId="0" fillId="11" borderId="8" xfId="0" applyFont="1" applyFill="1" applyBorder="1" applyAlignment="1" applyProtection="1">
      <alignment/>
      <protection/>
    </xf>
    <xf numFmtId="173" fontId="0" fillId="11" borderId="2" xfId="0" applyFont="1" applyFill="1" applyBorder="1" applyAlignment="1" applyProtection="1">
      <alignment/>
      <protection/>
    </xf>
    <xf numFmtId="173" fontId="3" fillId="8" borderId="0" xfId="0" applyFont="1" applyFill="1" applyAlignment="1" applyProtection="1">
      <alignment horizontal="right"/>
      <protection/>
    </xf>
    <xf numFmtId="173" fontId="2" fillId="8" borderId="2" xfId="0" applyFont="1" applyFill="1" applyBorder="1" applyAlignment="1" applyProtection="1">
      <alignment horizontal="right"/>
      <protection/>
    </xf>
    <xf numFmtId="173" fontId="2" fillId="8" borderId="2" xfId="0" applyFont="1" applyFill="1" applyBorder="1" applyAlignment="1" applyProtection="1">
      <alignment shrinkToFit="1"/>
      <protection/>
    </xf>
    <xf numFmtId="173" fontId="2" fillId="8" borderId="8" xfId="0" applyFont="1" applyFill="1" applyBorder="1" applyAlignment="1" applyProtection="1">
      <alignment horizontal="right"/>
      <protection/>
    </xf>
    <xf numFmtId="173" fontId="2" fillId="8" borderId="2" xfId="0" applyFont="1" applyFill="1" applyBorder="1" applyAlignment="1" applyProtection="1">
      <alignment horizontal="right" shrinkToFit="1"/>
      <protection/>
    </xf>
    <xf numFmtId="173" fontId="0" fillId="11" borderId="0" xfId="0" applyFont="1" applyFill="1" applyBorder="1" applyAlignment="1" applyProtection="1">
      <alignment/>
      <protection/>
    </xf>
    <xf numFmtId="172" fontId="3" fillId="8" borderId="2" xfId="0" applyNumberFormat="1" applyFont="1" applyFill="1" applyBorder="1" applyAlignment="1" applyProtection="1">
      <alignment/>
      <protection/>
    </xf>
    <xf numFmtId="191" fontId="2" fillId="2" borderId="2" xfId="0" applyNumberFormat="1" applyFont="1" applyFill="1" applyBorder="1" applyAlignment="1" applyProtection="1">
      <alignment/>
      <protection locked="0"/>
    </xf>
    <xf numFmtId="173" fontId="3" fillId="8" borderId="2" xfId="0" applyFont="1" applyFill="1" applyBorder="1" applyAlignment="1" applyProtection="1">
      <alignment/>
      <protection/>
    </xf>
    <xf numFmtId="173" fontId="3" fillId="8" borderId="0" xfId="0" applyFont="1" applyFill="1" applyAlignment="1" applyProtection="1">
      <alignment/>
      <protection/>
    </xf>
    <xf numFmtId="173" fontId="3" fillId="8" borderId="8" xfId="0" applyFont="1" applyFill="1" applyBorder="1" applyAlignment="1" applyProtection="1">
      <alignment/>
      <protection/>
    </xf>
    <xf numFmtId="173" fontId="3" fillId="8" borderId="5" xfId="0" applyFont="1" applyFill="1" applyBorder="1" applyAlignment="1" applyProtection="1">
      <alignment/>
      <protection/>
    </xf>
    <xf numFmtId="172" fontId="3" fillId="8" borderId="8" xfId="0" applyNumberFormat="1" applyFont="1" applyFill="1" applyBorder="1" applyAlignment="1" applyProtection="1">
      <alignment/>
      <protection/>
    </xf>
    <xf numFmtId="173" fontId="3" fillId="8" borderId="0" xfId="0" applyFont="1" applyFill="1" applyBorder="1" applyAlignment="1" applyProtection="1">
      <alignment/>
      <protection/>
    </xf>
    <xf numFmtId="173" fontId="4" fillId="8" borderId="8" xfId="0" applyFont="1" applyFill="1" applyBorder="1" applyAlignment="1" applyProtection="1">
      <alignment/>
      <protection/>
    </xf>
    <xf numFmtId="173" fontId="2" fillId="8" borderId="0" xfId="0" applyFont="1" applyFill="1" applyBorder="1" applyAlignment="1" applyProtection="1">
      <alignment horizontal="right"/>
      <protection/>
    </xf>
    <xf numFmtId="173" fontId="2" fillId="8" borderId="5" xfId="0" applyFont="1" applyFill="1" applyBorder="1" applyAlignment="1" applyProtection="1">
      <alignment horizontal="right"/>
      <protection/>
    </xf>
    <xf numFmtId="173" fontId="2" fillId="8" borderId="0" xfId="0" applyFont="1" applyFill="1" applyAlignment="1" applyProtection="1">
      <alignment horizontal="center"/>
      <protection/>
    </xf>
    <xf numFmtId="191" fontId="2" fillId="2" borderId="8" xfId="0" applyNumberFormat="1" applyFont="1" applyFill="1" applyBorder="1" applyAlignment="1" applyProtection="1">
      <alignment/>
      <protection locked="0"/>
    </xf>
    <xf numFmtId="173" fontId="2" fillId="8" borderId="0" xfId="0" applyFont="1" applyFill="1" applyBorder="1" applyAlignment="1" applyProtection="1">
      <alignment horizontal="left"/>
      <protection/>
    </xf>
    <xf numFmtId="172" fontId="3" fillId="8" borderId="0" xfId="0" applyNumberFormat="1" applyFont="1" applyFill="1" applyAlignment="1" applyProtection="1">
      <alignment/>
      <protection/>
    </xf>
    <xf numFmtId="191" fontId="2" fillId="3" borderId="2" xfId="0" applyNumberFormat="1" applyFont="1" applyFill="1" applyBorder="1" applyAlignment="1" applyProtection="1">
      <alignment/>
      <protection hidden="1"/>
    </xf>
    <xf numFmtId="191" fontId="2" fillId="3" borderId="2" xfId="57" applyNumberFormat="1" applyBorder="1">
      <alignment/>
      <protection hidden="1"/>
    </xf>
    <xf numFmtId="191" fontId="2" fillId="3" borderId="8" xfId="57" applyNumberFormat="1" applyBorder="1">
      <alignment/>
      <protection hidden="1"/>
    </xf>
    <xf numFmtId="173" fontId="10" fillId="8" borderId="8" xfId="0" applyFont="1" applyFill="1" applyBorder="1" applyAlignment="1" applyProtection="1">
      <alignment horizontal="right"/>
      <protection/>
    </xf>
    <xf numFmtId="191" fontId="2" fillId="3" borderId="8" xfId="0" applyNumberFormat="1" applyFont="1" applyFill="1" applyBorder="1" applyAlignment="1" applyProtection="1">
      <alignment/>
      <protection hidden="1"/>
    </xf>
    <xf numFmtId="191" fontId="2" fillId="3" borderId="8" xfId="57" applyNumberFormat="1" applyFont="1" applyBorder="1">
      <alignment/>
      <protection hidden="1"/>
    </xf>
    <xf numFmtId="191" fontId="2" fillId="3" borderId="2" xfId="57" applyNumberFormat="1" applyFont="1" applyBorder="1">
      <alignment/>
      <protection hidden="1"/>
    </xf>
    <xf numFmtId="173" fontId="4" fillId="8" borderId="0" xfId="0" applyFont="1" applyFill="1" applyAlignment="1" applyProtection="1">
      <alignment horizontal="right"/>
      <protection/>
    </xf>
    <xf numFmtId="173" fontId="3" fillId="8" borderId="0" xfId="0" applyFont="1" applyFill="1" applyAlignment="1" applyProtection="1" quotePrefix="1">
      <alignment/>
      <protection/>
    </xf>
    <xf numFmtId="172" fontId="4" fillId="8" borderId="0" xfId="0" applyNumberFormat="1" applyFont="1" applyFill="1" applyAlignment="1" applyProtection="1">
      <alignment horizontal="left"/>
      <protection/>
    </xf>
    <xf numFmtId="173" fontId="4" fillId="8" borderId="0" xfId="0" applyFont="1" applyFill="1" applyAlignment="1" applyProtection="1" quotePrefix="1">
      <alignment horizontal="right"/>
      <protection/>
    </xf>
    <xf numFmtId="172" fontId="4" fillId="8" borderId="0" xfId="0" applyNumberFormat="1" applyFont="1" applyFill="1" applyAlignment="1" applyProtection="1">
      <alignment/>
      <protection/>
    </xf>
    <xf numFmtId="173" fontId="0" fillId="8" borderId="0" xfId="0" applyFill="1" applyAlignment="1">
      <alignment/>
    </xf>
    <xf numFmtId="173" fontId="4" fillId="8" borderId="0" xfId="0" applyFont="1" applyFill="1" applyAlignment="1" applyProtection="1">
      <alignment horizontal="center"/>
      <protection/>
    </xf>
    <xf numFmtId="173" fontId="3" fillId="8" borderId="0" xfId="0" applyFont="1" applyFill="1" applyAlignment="1" applyProtection="1">
      <alignment horizontal="center"/>
      <protection/>
    </xf>
    <xf numFmtId="173" fontId="7" fillId="8" borderId="0" xfId="0" applyFont="1" applyFill="1" applyAlignment="1" applyProtection="1">
      <alignment/>
      <protection/>
    </xf>
    <xf numFmtId="173" fontId="13" fillId="8" borderId="0" xfId="0" applyFont="1" applyFill="1" applyAlignment="1" applyProtection="1">
      <alignment horizontal="right"/>
      <protection/>
    </xf>
    <xf numFmtId="173" fontId="12" fillId="8" borderId="0" xfId="0" applyFont="1" applyFill="1" applyAlignment="1" applyProtection="1">
      <alignment/>
      <protection/>
    </xf>
    <xf numFmtId="173" fontId="3" fillId="8" borderId="0" xfId="0" applyFont="1" applyFill="1" applyAlignment="1" applyProtection="1">
      <alignment horizontal="left"/>
      <protection/>
    </xf>
    <xf numFmtId="173" fontId="4" fillId="8" borderId="4" xfId="0" applyFont="1" applyFill="1" applyBorder="1" applyAlignment="1" applyProtection="1">
      <alignment/>
      <protection/>
    </xf>
    <xf numFmtId="173" fontId="4" fillId="8" borderId="5" xfId="0" applyFont="1" applyFill="1" applyBorder="1" applyAlignment="1" applyProtection="1">
      <alignment/>
      <protection/>
    </xf>
    <xf numFmtId="173" fontId="12" fillId="8" borderId="5" xfId="0" applyFont="1" applyFill="1" applyBorder="1" applyAlignment="1" applyProtection="1">
      <alignment/>
      <protection/>
    </xf>
    <xf numFmtId="173" fontId="3" fillId="8" borderId="5" xfId="0" applyFont="1" applyFill="1" applyBorder="1" applyAlignment="1" applyProtection="1">
      <alignment horizontal="center"/>
      <protection/>
    </xf>
    <xf numFmtId="172" fontId="4" fillId="8" borderId="6" xfId="0" applyNumberFormat="1" applyFont="1" applyFill="1" applyBorder="1" applyAlignment="1" applyProtection="1">
      <alignment/>
      <protection/>
    </xf>
    <xf numFmtId="173" fontId="2" fillId="8" borderId="3" xfId="0" applyFont="1" applyFill="1" applyBorder="1" applyAlignment="1" applyProtection="1">
      <alignment/>
      <protection/>
    </xf>
    <xf numFmtId="173" fontId="2" fillId="8" borderId="0" xfId="0" applyFont="1" applyFill="1" applyBorder="1" applyAlignment="1" applyProtection="1">
      <alignment/>
      <protection/>
    </xf>
    <xf numFmtId="173" fontId="12" fillId="8" borderId="0" xfId="0" applyFont="1" applyFill="1" applyBorder="1" applyAlignment="1" applyProtection="1">
      <alignment/>
      <protection/>
    </xf>
    <xf numFmtId="173" fontId="3" fillId="8" borderId="0" xfId="0" applyFont="1" applyFill="1" applyBorder="1" applyAlignment="1" applyProtection="1">
      <alignment horizontal="center"/>
      <protection/>
    </xf>
    <xf numFmtId="172" fontId="4" fillId="8" borderId="7" xfId="0" applyNumberFormat="1" applyFont="1" applyFill="1" applyBorder="1" applyAlignment="1" applyProtection="1">
      <alignment/>
      <protection/>
    </xf>
    <xf numFmtId="173" fontId="2" fillId="8" borderId="9" xfId="0" applyFont="1" applyFill="1" applyBorder="1" applyAlignment="1" applyProtection="1">
      <alignment/>
      <protection/>
    </xf>
    <xf numFmtId="173" fontId="12" fillId="8" borderId="8" xfId="0" applyFont="1" applyFill="1" applyBorder="1" applyAlignment="1" applyProtection="1">
      <alignment/>
      <protection/>
    </xf>
    <xf numFmtId="173" fontId="3" fillId="8" borderId="8" xfId="0" applyFont="1" applyFill="1" applyBorder="1" applyAlignment="1" applyProtection="1">
      <alignment horizontal="center"/>
      <protection/>
    </xf>
    <xf numFmtId="172" fontId="4" fillId="8" borderId="10" xfId="0" applyNumberFormat="1" applyFont="1" applyFill="1" applyBorder="1" applyAlignment="1" applyProtection="1">
      <alignment/>
      <protection/>
    </xf>
    <xf numFmtId="173" fontId="2" fillId="8" borderId="0" xfId="0" applyFont="1" applyFill="1" applyBorder="1" applyAlignment="1" applyProtection="1">
      <alignment horizontal="center"/>
      <protection/>
    </xf>
    <xf numFmtId="172" fontId="7" fillId="8" borderId="7" xfId="0" applyNumberFormat="1" applyFont="1" applyFill="1" applyBorder="1" applyAlignment="1" applyProtection="1" quotePrefix="1">
      <alignment/>
      <protection/>
    </xf>
    <xf numFmtId="173" fontId="34" fillId="8" borderId="0" xfId="0" applyFont="1" applyFill="1" applyAlignment="1">
      <alignment horizontal="center"/>
    </xf>
    <xf numFmtId="173" fontId="34" fillId="8" borderId="0" xfId="0" applyFont="1" applyFill="1" applyAlignment="1">
      <alignment/>
    </xf>
    <xf numFmtId="173" fontId="0" fillId="8" borderId="5" xfId="0" applyFill="1" applyBorder="1" applyAlignment="1">
      <alignment/>
    </xf>
    <xf numFmtId="173" fontId="0" fillId="8" borderId="3" xfId="0" applyFill="1" applyBorder="1" applyAlignment="1">
      <alignment/>
    </xf>
    <xf numFmtId="173" fontId="0" fillId="8" borderId="0" xfId="0" applyFill="1" applyBorder="1" applyAlignment="1">
      <alignment/>
    </xf>
    <xf numFmtId="173" fontId="0" fillId="8" borderId="8" xfId="0" applyFill="1" applyBorder="1" applyAlignment="1">
      <alignment/>
    </xf>
    <xf numFmtId="173" fontId="0" fillId="8" borderId="9" xfId="0" applyFill="1" applyBorder="1" applyAlignment="1">
      <alignment/>
    </xf>
    <xf numFmtId="173" fontId="0" fillId="8" borderId="2" xfId="0" applyFill="1" applyBorder="1" applyAlignment="1">
      <alignment/>
    </xf>
    <xf numFmtId="173" fontId="0" fillId="8" borderId="4" xfId="0" applyFill="1" applyBorder="1" applyAlignment="1">
      <alignment/>
    </xf>
    <xf numFmtId="173" fontId="43" fillId="8" borderId="0" xfId="0" applyFont="1" applyFill="1" applyAlignment="1" quotePrefix="1">
      <alignment horizontal="right"/>
    </xf>
    <xf numFmtId="1" fontId="43" fillId="8" borderId="0" xfId="0" applyNumberFormat="1" applyFont="1" applyFill="1" applyAlignment="1">
      <alignment/>
    </xf>
    <xf numFmtId="173" fontId="0" fillId="8" borderId="6" xfId="0" applyFill="1" applyBorder="1" applyAlignment="1">
      <alignment/>
    </xf>
    <xf numFmtId="173" fontId="43" fillId="8" borderId="0" xfId="0" applyFont="1" applyFill="1" applyBorder="1" applyAlignment="1" quotePrefix="1">
      <alignment/>
    </xf>
    <xf numFmtId="173" fontId="34" fillId="8" borderId="2" xfId="0" applyFont="1" applyFill="1" applyBorder="1" applyAlignment="1">
      <alignment/>
    </xf>
    <xf numFmtId="173" fontId="0" fillId="8" borderId="12" xfId="0" applyFill="1" applyBorder="1" applyAlignment="1">
      <alignment/>
    </xf>
    <xf numFmtId="173" fontId="0" fillId="8" borderId="0" xfId="0" applyFill="1" applyBorder="1" applyAlignment="1">
      <alignment horizontal="center"/>
    </xf>
    <xf numFmtId="173" fontId="0" fillId="8" borderId="5" xfId="0" applyFill="1" applyBorder="1" applyAlignment="1" applyProtection="1">
      <alignment/>
      <protection hidden="1"/>
    </xf>
    <xf numFmtId="173" fontId="0" fillId="8" borderId="0" xfId="0" applyFill="1" applyBorder="1" applyAlignment="1" applyProtection="1">
      <alignment/>
      <protection hidden="1"/>
    </xf>
    <xf numFmtId="173" fontId="0" fillId="8" borderId="8" xfId="0" applyFill="1" applyBorder="1" applyAlignment="1" applyProtection="1">
      <alignment/>
      <protection hidden="1"/>
    </xf>
    <xf numFmtId="173" fontId="0" fillId="8" borderId="7" xfId="0" applyFill="1" applyBorder="1" applyAlignment="1">
      <alignment/>
    </xf>
    <xf numFmtId="173" fontId="0" fillId="8" borderId="10" xfId="0" applyFill="1" applyBorder="1" applyAlignment="1">
      <alignment/>
    </xf>
    <xf numFmtId="191" fontId="7" fillId="3" borderId="8" xfId="57" applyNumberFormat="1" applyFont="1" applyBorder="1">
      <alignment/>
      <protection hidden="1"/>
    </xf>
    <xf numFmtId="191" fontId="7" fillId="3" borderId="2" xfId="57" applyNumberFormat="1" applyFont="1" applyBorder="1">
      <alignment/>
      <protection hidden="1"/>
    </xf>
    <xf numFmtId="191" fontId="7" fillId="2" borderId="8" xfId="0" applyNumberFormat="1" applyFont="1" applyFill="1" applyBorder="1" applyAlignment="1" applyProtection="1">
      <alignment/>
      <protection locked="0"/>
    </xf>
    <xf numFmtId="191" fontId="7" fillId="2" borderId="2" xfId="0" applyNumberFormat="1" applyFont="1" applyFill="1" applyBorder="1" applyAlignment="1" applyProtection="1">
      <alignment/>
      <protection locked="0"/>
    </xf>
    <xf numFmtId="173" fontId="17" fillId="8" borderId="0" xfId="0" applyFont="1" applyFill="1" applyBorder="1" applyAlignment="1" applyProtection="1">
      <alignment/>
      <protection/>
    </xf>
    <xf numFmtId="173" fontId="7" fillId="8" borderId="0" xfId="0" applyFont="1" applyFill="1" applyBorder="1" applyAlignment="1" applyProtection="1">
      <alignment/>
      <protection/>
    </xf>
    <xf numFmtId="173" fontId="16" fillId="8" borderId="4" xfId="0" applyFont="1" applyFill="1" applyBorder="1" applyAlignment="1" applyProtection="1">
      <alignment/>
      <protection/>
    </xf>
    <xf numFmtId="173" fontId="7" fillId="8" borderId="3" xfId="0" applyFont="1" applyFill="1" applyBorder="1" applyAlignment="1" applyProtection="1">
      <alignment/>
      <protection/>
    </xf>
    <xf numFmtId="173" fontId="7" fillId="8" borderId="9" xfId="0" applyFont="1" applyFill="1" applyBorder="1" applyAlignment="1" applyProtection="1">
      <alignment/>
      <protection/>
    </xf>
    <xf numFmtId="173" fontId="7" fillId="8" borderId="4" xfId="0" applyFont="1" applyFill="1" applyBorder="1" applyAlignment="1" applyProtection="1">
      <alignment/>
      <protection/>
    </xf>
    <xf numFmtId="173" fontId="7" fillId="8" borderId="16" xfId="0" applyFont="1" applyFill="1" applyBorder="1" applyAlignment="1" applyProtection="1">
      <alignment/>
      <protection/>
    </xf>
    <xf numFmtId="173" fontId="31" fillId="8" borderId="3" xfId="0" applyFont="1" applyFill="1" applyBorder="1" applyAlignment="1" applyProtection="1">
      <alignment/>
      <protection/>
    </xf>
    <xf numFmtId="173" fontId="31" fillId="8" borderId="9" xfId="0" applyFont="1" applyFill="1" applyBorder="1" applyAlignment="1" applyProtection="1">
      <alignment/>
      <protection/>
    </xf>
    <xf numFmtId="173" fontId="7" fillId="8" borderId="5" xfId="0" applyFont="1" applyFill="1" applyBorder="1" applyAlignment="1" applyProtection="1">
      <alignment/>
      <protection/>
    </xf>
    <xf numFmtId="173" fontId="2" fillId="8" borderId="4" xfId="0" applyFont="1" applyFill="1" applyBorder="1" applyAlignment="1" applyProtection="1">
      <alignment/>
      <protection/>
    </xf>
    <xf numFmtId="173" fontId="4" fillId="8" borderId="3" xfId="0" applyFont="1" applyFill="1" applyBorder="1" applyAlignment="1" applyProtection="1">
      <alignment/>
      <protection/>
    </xf>
    <xf numFmtId="173" fontId="16" fillId="8" borderId="3" xfId="0" applyFont="1" applyFill="1" applyBorder="1" applyAlignment="1" applyProtection="1">
      <alignment/>
      <protection/>
    </xf>
    <xf numFmtId="173" fontId="8" fillId="8" borderId="0" xfId="0" applyFont="1" applyFill="1" applyAlignment="1" applyProtection="1">
      <alignment/>
      <protection/>
    </xf>
    <xf numFmtId="173" fontId="33" fillId="8" borderId="0" xfId="0" applyFont="1" applyFill="1" applyBorder="1" applyAlignment="1">
      <alignment/>
    </xf>
    <xf numFmtId="1" fontId="2" fillId="8" borderId="0" xfId="0" applyNumberFormat="1" applyFont="1" applyFill="1" applyBorder="1" applyAlignment="1" applyProtection="1">
      <alignment horizontal="left"/>
      <protection/>
    </xf>
    <xf numFmtId="173" fontId="0" fillId="8" borderId="0" xfId="0" applyFill="1" applyBorder="1" applyAlignment="1" quotePrefix="1">
      <alignment/>
    </xf>
    <xf numFmtId="173" fontId="18" fillId="8" borderId="0" xfId="0" applyFont="1" applyFill="1" applyAlignment="1" applyProtection="1">
      <alignment/>
      <protection/>
    </xf>
    <xf numFmtId="173" fontId="2" fillId="8" borderId="6" xfId="0" applyFont="1" applyFill="1" applyBorder="1" applyAlignment="1" applyProtection="1">
      <alignment/>
      <protection/>
    </xf>
    <xf numFmtId="173" fontId="2" fillId="8" borderId="7" xfId="0" applyFont="1" applyFill="1" applyBorder="1" applyAlignment="1" applyProtection="1">
      <alignment/>
      <protection/>
    </xf>
    <xf numFmtId="1" fontId="2" fillId="8" borderId="7" xfId="0" applyNumberFormat="1" applyFont="1" applyFill="1" applyBorder="1" applyAlignment="1" applyProtection="1">
      <alignment horizontal="left"/>
      <protection/>
    </xf>
    <xf numFmtId="1" fontId="2" fillId="8" borderId="10" xfId="0" applyNumberFormat="1" applyFont="1" applyFill="1" applyBorder="1" applyAlignment="1" applyProtection="1">
      <alignment horizontal="left"/>
      <protection/>
    </xf>
    <xf numFmtId="1" fontId="2" fillId="8" borderId="0" xfId="0" applyNumberFormat="1" applyFont="1" applyFill="1" applyAlignment="1" applyProtection="1">
      <alignment horizontal="left"/>
      <protection/>
    </xf>
    <xf numFmtId="1" fontId="2" fillId="8" borderId="6" xfId="0" applyNumberFormat="1" applyFont="1" applyFill="1" applyBorder="1" applyAlignment="1" applyProtection="1">
      <alignment horizontal="left"/>
      <protection/>
    </xf>
    <xf numFmtId="173" fontId="2" fillId="8" borderId="10" xfId="0" applyFont="1" applyFill="1" applyBorder="1" applyAlignment="1" applyProtection="1">
      <alignment/>
      <protection/>
    </xf>
    <xf numFmtId="173" fontId="0" fillId="8" borderId="7" xfId="0" applyFill="1" applyBorder="1" applyAlignment="1" quotePrefix="1">
      <alignment/>
    </xf>
    <xf numFmtId="173" fontId="6" fillId="8" borderId="0" xfId="0" applyFont="1" applyFill="1" applyAlignment="1" applyProtection="1">
      <alignment horizontal="right"/>
      <protection/>
    </xf>
    <xf numFmtId="173" fontId="32" fillId="8" borderId="9" xfId="0" applyFont="1" applyFill="1" applyBorder="1" applyAlignment="1" applyProtection="1">
      <alignment/>
      <protection/>
    </xf>
    <xf numFmtId="173" fontId="3" fillId="8" borderId="0" xfId="0" applyFont="1" applyFill="1" applyBorder="1" applyAlignment="1" applyProtection="1">
      <alignment horizontal="right"/>
      <protection/>
    </xf>
    <xf numFmtId="173" fontId="2" fillId="12" borderId="0" xfId="0" applyFont="1" applyFill="1" applyBorder="1" applyAlignment="1" applyProtection="1">
      <alignment/>
      <protection/>
    </xf>
    <xf numFmtId="173" fontId="2" fillId="8" borderId="7" xfId="0" applyFont="1" applyFill="1" applyBorder="1" applyAlignment="1" applyProtection="1" quotePrefix="1">
      <alignment/>
      <protection/>
    </xf>
    <xf numFmtId="1" fontId="2" fillId="8" borderId="7" xfId="0" applyNumberFormat="1" applyFont="1" applyFill="1" applyBorder="1" applyAlignment="1" applyProtection="1" quotePrefix="1">
      <alignment horizontal="left"/>
      <protection/>
    </xf>
    <xf numFmtId="173" fontId="14" fillId="8" borderId="1" xfId="0" applyFont="1" applyFill="1" applyBorder="1" applyAlignment="1" applyProtection="1">
      <alignment/>
      <protection/>
    </xf>
    <xf numFmtId="173" fontId="2" fillId="8" borderId="17" xfId="0" applyFont="1" applyFill="1" applyBorder="1" applyAlignment="1" applyProtection="1">
      <alignment/>
      <protection/>
    </xf>
    <xf numFmtId="173" fontId="2" fillId="8" borderId="1" xfId="0" applyFont="1" applyFill="1" applyBorder="1" applyAlignment="1" applyProtection="1">
      <alignment/>
      <protection/>
    </xf>
    <xf numFmtId="173" fontId="2" fillId="8" borderId="15" xfId="0" applyFont="1" applyFill="1" applyBorder="1" applyAlignment="1" applyProtection="1">
      <alignment/>
      <protection/>
    </xf>
    <xf numFmtId="173" fontId="3" fillId="8" borderId="17" xfId="0" applyFont="1" applyFill="1" applyBorder="1" applyAlignment="1" applyProtection="1">
      <alignment/>
      <protection/>
    </xf>
    <xf numFmtId="173" fontId="3" fillId="8" borderId="1" xfId="0" applyFont="1" applyFill="1" applyBorder="1" applyAlignment="1" applyProtection="1">
      <alignment horizontal="right"/>
      <protection/>
    </xf>
    <xf numFmtId="173" fontId="3" fillId="8" borderId="17" xfId="0" applyFont="1" applyFill="1" applyBorder="1" applyAlignment="1" applyProtection="1">
      <alignment horizontal="right"/>
      <protection/>
    </xf>
    <xf numFmtId="173" fontId="3" fillId="8" borderId="1" xfId="0" applyFont="1" applyFill="1" applyBorder="1" applyAlignment="1" applyProtection="1">
      <alignment/>
      <protection/>
    </xf>
    <xf numFmtId="173" fontId="3" fillId="8" borderId="4" xfId="0" applyFont="1" applyFill="1" applyBorder="1" applyAlignment="1" applyProtection="1">
      <alignment/>
      <protection/>
    </xf>
    <xf numFmtId="173" fontId="2" fillId="8" borderId="18" xfId="0" applyFont="1" applyFill="1" applyBorder="1" applyAlignment="1" applyProtection="1">
      <alignment/>
      <protection/>
    </xf>
    <xf numFmtId="173" fontId="3" fillId="8" borderId="1" xfId="0" applyFont="1" applyFill="1" applyBorder="1" applyAlignment="1" applyProtection="1">
      <alignment horizontal="center"/>
      <protection/>
    </xf>
    <xf numFmtId="173" fontId="2" fillId="8" borderId="1" xfId="0" applyFont="1" applyFill="1" applyBorder="1" applyAlignment="1" applyProtection="1">
      <alignment horizontal="right"/>
      <protection/>
    </xf>
    <xf numFmtId="173" fontId="2" fillId="8" borderId="15" xfId="0" applyFont="1" applyFill="1" applyBorder="1" applyAlignment="1" applyProtection="1">
      <alignment horizontal="right"/>
      <protection/>
    </xf>
    <xf numFmtId="173" fontId="2" fillId="8" borderId="17" xfId="0" applyFont="1" applyFill="1" applyBorder="1" applyAlignment="1" applyProtection="1">
      <alignment horizontal="right"/>
      <protection/>
    </xf>
    <xf numFmtId="191" fontId="2" fillId="3" borderId="2" xfId="57" applyNumberFormat="1" applyBorder="1" applyAlignment="1">
      <alignment vertical="center"/>
      <protection hidden="1"/>
    </xf>
    <xf numFmtId="191" fontId="2" fillId="2" borderId="8" xfId="0" applyNumberFormat="1" applyFont="1" applyFill="1" applyBorder="1" applyAlignment="1" applyProtection="1">
      <alignment vertical="center"/>
      <protection locked="0"/>
    </xf>
    <xf numFmtId="191" fontId="2" fillId="2" borderId="2" xfId="0" applyNumberFormat="1" applyFont="1" applyFill="1" applyBorder="1" applyAlignment="1" applyProtection="1">
      <alignment vertical="center"/>
      <protection locked="0"/>
    </xf>
    <xf numFmtId="191" fontId="2" fillId="3" borderId="8" xfId="57" applyNumberFormat="1" applyBorder="1" applyAlignment="1">
      <alignment vertical="center"/>
      <protection hidden="1"/>
    </xf>
    <xf numFmtId="191" fontId="2" fillId="2" borderId="8" xfId="0" applyNumberFormat="1" applyFont="1" applyFill="1" applyBorder="1" applyAlignment="1" applyProtection="1">
      <alignment horizontal="center"/>
      <protection locked="0"/>
    </xf>
    <xf numFmtId="172" fontId="3" fillId="8" borderId="0" xfId="0" applyNumberFormat="1" applyFont="1" applyFill="1" applyAlignment="1" applyProtection="1">
      <alignment horizontal="center"/>
      <protection/>
    </xf>
    <xf numFmtId="172" fontId="2" fillId="8" borderId="0" xfId="0" applyNumberFormat="1" applyFont="1" applyFill="1" applyAlignment="1" applyProtection="1">
      <alignment horizontal="center"/>
      <protection/>
    </xf>
    <xf numFmtId="172" fontId="3" fillId="8" borderId="5" xfId="0" applyNumberFormat="1" applyFont="1" applyFill="1" applyBorder="1" applyAlignment="1" applyProtection="1">
      <alignment horizontal="center"/>
      <protection/>
    </xf>
    <xf numFmtId="172" fontId="3" fillId="8" borderId="0" xfId="0" applyNumberFormat="1" applyFont="1" applyFill="1" applyBorder="1" applyAlignment="1" applyProtection="1">
      <alignment horizontal="center"/>
      <protection/>
    </xf>
    <xf numFmtId="191" fontId="2" fillId="3" borderId="8" xfId="57" applyNumberFormat="1" applyFont="1" applyBorder="1" applyAlignment="1">
      <alignment vertical="center"/>
      <protection hidden="1"/>
    </xf>
    <xf numFmtId="191" fontId="2" fillId="3" borderId="2" xfId="57" applyNumberFormat="1" applyBorder="1" applyAlignment="1">
      <alignment horizontal="right" vertical="center"/>
      <protection hidden="1"/>
    </xf>
    <xf numFmtId="191" fontId="0" fillId="2" borderId="8" xfId="0" applyNumberFormat="1" applyBorder="1" applyAlignment="1" applyProtection="1">
      <alignment/>
      <protection locked="0"/>
    </xf>
    <xf numFmtId="191" fontId="0" fillId="2" borderId="2" xfId="0" applyNumberFormat="1" applyBorder="1" applyAlignment="1" applyProtection="1">
      <alignment/>
      <protection locked="0"/>
    </xf>
    <xf numFmtId="173" fontId="10" fillId="8" borderId="2" xfId="0" applyFont="1" applyFill="1" applyBorder="1" applyAlignment="1" applyProtection="1">
      <alignment/>
      <protection/>
    </xf>
    <xf numFmtId="173" fontId="3" fillId="8" borderId="8" xfId="0" applyFont="1" applyFill="1" applyBorder="1" applyAlignment="1" applyProtection="1">
      <alignment horizontal="right"/>
      <protection/>
    </xf>
    <xf numFmtId="173" fontId="2" fillId="8" borderId="0" xfId="0" applyFont="1" applyFill="1" applyAlignment="1" applyProtection="1" quotePrefix="1">
      <alignment/>
      <protection/>
    </xf>
    <xf numFmtId="191" fontId="2" fillId="2" borderId="1" xfId="0" applyNumberFormat="1" applyFont="1" applyFill="1" applyBorder="1" applyAlignment="1" applyProtection="1">
      <alignment/>
      <protection locked="0"/>
    </xf>
    <xf numFmtId="173" fontId="2" fillId="8" borderId="1" xfId="0" applyFont="1" applyFill="1" applyBorder="1" applyAlignment="1" applyProtection="1">
      <alignment horizontal="center"/>
      <protection/>
    </xf>
    <xf numFmtId="191" fontId="2" fillId="2" borderId="15" xfId="0" applyNumberFormat="1" applyFont="1" applyFill="1" applyBorder="1" applyAlignment="1" applyProtection="1">
      <alignment/>
      <protection locked="0"/>
    </xf>
    <xf numFmtId="173" fontId="3" fillId="8" borderId="2" xfId="0" applyFont="1" applyFill="1" applyBorder="1" applyAlignment="1" applyProtection="1">
      <alignment horizontal="right"/>
      <protection/>
    </xf>
    <xf numFmtId="173" fontId="2" fillId="8" borderId="8" xfId="0" applyFont="1" applyFill="1" applyBorder="1" applyAlignment="1" applyProtection="1">
      <alignment vertical="top"/>
      <protection/>
    </xf>
    <xf numFmtId="173" fontId="0" fillId="8" borderId="8" xfId="0" applyFill="1" applyBorder="1" applyAlignment="1">
      <alignment wrapText="1"/>
    </xf>
    <xf numFmtId="173" fontId="0" fillId="8" borderId="8" xfId="0" applyFill="1" applyBorder="1" applyAlignment="1">
      <alignment horizontal="right"/>
    </xf>
    <xf numFmtId="173" fontId="2" fillId="8" borderId="8" xfId="0" applyFont="1" applyFill="1" applyBorder="1" applyAlignment="1" applyProtection="1">
      <alignment horizontal="left"/>
      <protection/>
    </xf>
    <xf numFmtId="173" fontId="3" fillId="8" borderId="4" xfId="0" applyFont="1" applyFill="1" applyBorder="1" applyAlignment="1" applyProtection="1">
      <alignment horizontal="left"/>
      <protection/>
    </xf>
    <xf numFmtId="173" fontId="2" fillId="8" borderId="3" xfId="0" applyFont="1" applyFill="1" applyBorder="1" applyAlignment="1" applyProtection="1">
      <alignment horizontal="left"/>
      <protection/>
    </xf>
    <xf numFmtId="173" fontId="3" fillId="8" borderId="3" xfId="0" applyFont="1" applyFill="1" applyBorder="1" applyAlignment="1" applyProtection="1">
      <alignment horizontal="left"/>
      <protection/>
    </xf>
    <xf numFmtId="173" fontId="2" fillId="8" borderId="3" xfId="0" applyFont="1" applyFill="1" applyBorder="1" applyAlignment="1" applyProtection="1">
      <alignment horizontal="right"/>
      <protection/>
    </xf>
    <xf numFmtId="173" fontId="2" fillId="8" borderId="9" xfId="0" applyFont="1" applyFill="1" applyBorder="1" applyAlignment="1" applyProtection="1">
      <alignment horizontal="right"/>
      <protection/>
    </xf>
    <xf numFmtId="173" fontId="2" fillId="8" borderId="4" xfId="0" applyFont="1" applyFill="1" applyBorder="1" applyAlignment="1" applyProtection="1">
      <alignment horizontal="left"/>
      <protection/>
    </xf>
    <xf numFmtId="173" fontId="5" fillId="8" borderId="3" xfId="0" applyFont="1" applyFill="1" applyBorder="1" applyAlignment="1" applyProtection="1">
      <alignment/>
      <protection/>
    </xf>
    <xf numFmtId="173" fontId="11" fillId="8" borderId="0" xfId="0" applyFont="1" applyFill="1" applyAlignment="1" applyProtection="1">
      <alignment/>
      <protection/>
    </xf>
    <xf numFmtId="173" fontId="8" fillId="8" borderId="0" xfId="0" applyFont="1" applyFill="1" applyAlignment="1" applyProtection="1">
      <alignment horizontal="right"/>
      <protection/>
    </xf>
    <xf numFmtId="173" fontId="5" fillId="8" borderId="0" xfId="0" applyFont="1" applyFill="1" applyBorder="1" applyAlignment="1" applyProtection="1">
      <alignment horizontal="center"/>
      <protection/>
    </xf>
    <xf numFmtId="173" fontId="5" fillId="8" borderId="8" xfId="0" applyFont="1" applyFill="1" applyBorder="1" applyAlignment="1" applyProtection="1" quotePrefix="1">
      <alignment horizontal="center"/>
      <protection/>
    </xf>
    <xf numFmtId="173" fontId="5" fillId="8" borderId="0" xfId="0" applyFont="1" applyFill="1" applyBorder="1" applyAlignment="1" applyProtection="1" quotePrefix="1">
      <alignment/>
      <protection/>
    </xf>
    <xf numFmtId="173" fontId="34" fillId="8" borderId="0" xfId="0" applyFont="1" applyFill="1" applyBorder="1" applyAlignment="1" quotePrefix="1">
      <alignment/>
    </xf>
    <xf numFmtId="173" fontId="2" fillId="8" borderId="8" xfId="0" applyFont="1" applyFill="1" applyBorder="1" applyAlignment="1" applyProtection="1">
      <alignment horizontal="center"/>
      <protection/>
    </xf>
    <xf numFmtId="173" fontId="5" fillId="8" borderId="8" xfId="0" applyFont="1" applyFill="1" applyBorder="1" applyAlignment="1" applyProtection="1">
      <alignment horizontal="center"/>
      <protection/>
    </xf>
    <xf numFmtId="173" fontId="2" fillId="8" borderId="0" xfId="57" applyFill="1" applyBorder="1">
      <alignment/>
      <protection hidden="1"/>
    </xf>
    <xf numFmtId="173" fontId="3" fillId="8" borderId="5" xfId="0" applyFont="1" applyFill="1" applyBorder="1" applyAlignment="1" applyProtection="1">
      <alignment horizontal="right"/>
      <protection/>
    </xf>
    <xf numFmtId="173" fontId="6" fillId="8" borderId="0" xfId="0" applyFont="1" applyFill="1" applyBorder="1" applyAlignment="1" applyProtection="1">
      <alignment horizontal="center"/>
      <protection/>
    </xf>
    <xf numFmtId="173" fontId="4" fillId="8" borderId="2" xfId="0" applyFont="1" applyFill="1" applyBorder="1" applyAlignment="1" applyProtection="1">
      <alignment/>
      <protection/>
    </xf>
    <xf numFmtId="173" fontId="3" fillId="8" borderId="0" xfId="0" applyFont="1" applyFill="1" applyAlignment="1" applyProtection="1" quotePrefix="1">
      <alignment horizontal="center"/>
      <protection/>
    </xf>
    <xf numFmtId="191" fontId="2" fillId="3" borderId="2" xfId="57" applyNumberFormat="1" applyFont="1" applyBorder="1" quotePrefix="1">
      <alignment/>
      <protection hidden="1"/>
    </xf>
    <xf numFmtId="173" fontId="3" fillId="8" borderId="5" xfId="0" applyFont="1" applyFill="1" applyBorder="1" applyAlignment="1" applyProtection="1" quotePrefix="1">
      <alignment/>
      <protection/>
    </xf>
    <xf numFmtId="173" fontId="3" fillId="8" borderId="0" xfId="0" applyFont="1" applyFill="1" applyBorder="1" applyAlignment="1" applyProtection="1" quotePrefix="1">
      <alignment/>
      <protection/>
    </xf>
    <xf numFmtId="172" fontId="3" fillId="8" borderId="0" xfId="0" applyNumberFormat="1" applyFont="1" applyFill="1" applyBorder="1" applyAlignment="1" applyProtection="1">
      <alignment/>
      <protection/>
    </xf>
    <xf numFmtId="173" fontId="3" fillId="8" borderId="6" xfId="0" applyFont="1" applyFill="1" applyBorder="1" applyAlignment="1" applyProtection="1" quotePrefix="1">
      <alignment/>
      <protection/>
    </xf>
    <xf numFmtId="173" fontId="3" fillId="8" borderId="7" xfId="0" applyFont="1" applyFill="1" applyBorder="1" applyAlignment="1" applyProtection="1" quotePrefix="1">
      <alignment/>
      <protection/>
    </xf>
    <xf numFmtId="173" fontId="3" fillId="8" borderId="7" xfId="0" applyFont="1" applyFill="1" applyBorder="1" applyAlignment="1" applyProtection="1">
      <alignment/>
      <protection/>
    </xf>
    <xf numFmtId="173" fontId="3" fillId="8" borderId="10" xfId="0" applyFont="1" applyFill="1" applyBorder="1" applyAlignment="1" applyProtection="1">
      <alignment/>
      <protection/>
    </xf>
    <xf numFmtId="173" fontId="45" fillId="8" borderId="5" xfId="0" applyFont="1" applyFill="1" applyBorder="1" applyAlignment="1" applyProtection="1">
      <alignment horizontal="left"/>
      <protection/>
    </xf>
    <xf numFmtId="172" fontId="3" fillId="8" borderId="0" xfId="0" applyNumberFormat="1" applyFont="1" applyFill="1" applyAlignment="1" applyProtection="1">
      <alignment horizontal="left"/>
      <protection/>
    </xf>
    <xf numFmtId="191" fontId="0" fillId="2" borderId="0" xfId="0" applyNumberFormat="1" applyBorder="1" applyAlignment="1">
      <alignment/>
    </xf>
    <xf numFmtId="173" fontId="2" fillId="8" borderId="13" xfId="0" applyFont="1" applyFill="1" applyBorder="1" applyAlignment="1" applyProtection="1">
      <alignment/>
      <protection/>
    </xf>
    <xf numFmtId="191" fontId="2" fillId="2" borderId="14" xfId="0" applyNumberFormat="1" applyFont="1" applyFill="1" applyBorder="1" applyAlignment="1" applyProtection="1">
      <alignment/>
      <protection locked="0"/>
    </xf>
    <xf numFmtId="173" fontId="2" fillId="8" borderId="4" xfId="0" applyFont="1" applyFill="1" applyBorder="1" applyAlignment="1" applyProtection="1">
      <alignment horizontal="center"/>
      <protection/>
    </xf>
    <xf numFmtId="173" fontId="10" fillId="8" borderId="4" xfId="0" applyFont="1" applyFill="1" applyBorder="1" applyAlignment="1" applyProtection="1">
      <alignment/>
      <protection/>
    </xf>
    <xf numFmtId="173" fontId="10" fillId="8" borderId="5" xfId="0" applyFont="1" applyFill="1" applyBorder="1" applyAlignment="1" applyProtection="1">
      <alignment/>
      <protection/>
    </xf>
    <xf numFmtId="173" fontId="10" fillId="8" borderId="5" xfId="0" applyFont="1" applyFill="1" applyBorder="1" applyAlignment="1" applyProtection="1">
      <alignment horizontal="center"/>
      <protection/>
    </xf>
    <xf numFmtId="173" fontId="2" fillId="8" borderId="6" xfId="0" applyFont="1" applyFill="1" applyBorder="1" applyAlignment="1" applyProtection="1">
      <alignment horizontal="center"/>
      <protection/>
    </xf>
    <xf numFmtId="173" fontId="5" fillId="8" borderId="13" xfId="0" applyFont="1" applyFill="1" applyBorder="1" applyAlignment="1" applyProtection="1">
      <alignment horizontal="center"/>
      <protection/>
    </xf>
    <xf numFmtId="173" fontId="5" fillId="8" borderId="19" xfId="0" applyFont="1" applyFill="1" applyBorder="1" applyAlignment="1" applyProtection="1">
      <alignment horizontal="center"/>
      <protection/>
    </xf>
    <xf numFmtId="173" fontId="5" fillId="8" borderId="14" xfId="0" applyFont="1" applyFill="1" applyBorder="1" applyAlignment="1" applyProtection="1">
      <alignment horizontal="center"/>
      <protection/>
    </xf>
    <xf numFmtId="191" fontId="2" fillId="2" borderId="11" xfId="0" applyNumberFormat="1" applyFont="1" applyFill="1" applyBorder="1" applyAlignment="1" applyProtection="1">
      <alignment/>
      <protection locked="0"/>
    </xf>
    <xf numFmtId="173" fontId="2" fillId="8" borderId="4" xfId="0" applyFont="1" applyFill="1" applyBorder="1" applyAlignment="1" applyProtection="1">
      <alignment horizontal="right"/>
      <protection/>
    </xf>
    <xf numFmtId="173" fontId="2" fillId="8" borderId="5" xfId="0" applyFont="1" applyFill="1" applyBorder="1" applyAlignment="1" applyProtection="1">
      <alignment horizontal="center"/>
      <protection/>
    </xf>
    <xf numFmtId="173" fontId="3" fillId="8" borderId="8" xfId="0" applyFont="1" applyFill="1" applyBorder="1" applyAlignment="1" applyProtection="1" quotePrefix="1">
      <alignment horizontal="right"/>
      <protection/>
    </xf>
    <xf numFmtId="172" fontId="2" fillId="8" borderId="2" xfId="0" applyNumberFormat="1" applyFont="1" applyFill="1" applyBorder="1" applyAlignment="1" applyProtection="1">
      <alignment horizontal="right"/>
      <protection/>
    </xf>
    <xf numFmtId="172" fontId="3" fillId="8" borderId="2" xfId="0" applyNumberFormat="1" applyFont="1" applyFill="1" applyBorder="1" applyAlignment="1" applyProtection="1">
      <alignment horizontal="right"/>
      <protection/>
    </xf>
    <xf numFmtId="172" fontId="2" fillId="8" borderId="8" xfId="0" applyNumberFormat="1" applyFont="1" applyFill="1" applyBorder="1" applyAlignment="1" applyProtection="1">
      <alignment/>
      <protection/>
    </xf>
    <xf numFmtId="173" fontId="16" fillId="8" borderId="0" xfId="0" applyFont="1" applyFill="1" applyAlignment="1" applyProtection="1">
      <alignment horizontal="right"/>
      <protection/>
    </xf>
    <xf numFmtId="191" fontId="2" fillId="3" borderId="14" xfId="57" applyNumberFormat="1" applyBorder="1">
      <alignment/>
      <protection hidden="1"/>
    </xf>
    <xf numFmtId="191" fontId="2" fillId="3" borderId="11" xfId="57" applyNumberFormat="1" applyBorder="1">
      <alignment/>
      <protection hidden="1"/>
    </xf>
    <xf numFmtId="3" fontId="2" fillId="2" borderId="14" xfId="0" applyNumberFormat="1" applyFont="1" applyFill="1" applyBorder="1" applyAlignment="1" applyProtection="1">
      <alignment/>
      <protection locked="0"/>
    </xf>
    <xf numFmtId="173" fontId="43" fillId="8" borderId="0" xfId="0" applyFont="1" applyFill="1" applyAlignment="1">
      <alignment horizontal="center"/>
    </xf>
    <xf numFmtId="173" fontId="0" fillId="8" borderId="0" xfId="0" applyFill="1" applyAlignment="1">
      <alignment horizontal="center"/>
    </xf>
    <xf numFmtId="173" fontId="3" fillId="8" borderId="0" xfId="0" applyFont="1" applyFill="1" applyAlignment="1" applyProtection="1">
      <alignment/>
      <protection/>
    </xf>
    <xf numFmtId="172" fontId="2" fillId="8" borderId="0" xfId="0" applyNumberFormat="1" applyFont="1" applyFill="1" applyAlignment="1" applyProtection="1">
      <alignment horizontal="right"/>
      <protection/>
    </xf>
    <xf numFmtId="173" fontId="2" fillId="8" borderId="0" xfId="0" applyFont="1" applyFill="1" applyAlignment="1" applyProtection="1" quotePrefix="1">
      <alignment horizontal="center"/>
      <protection/>
    </xf>
    <xf numFmtId="181" fontId="2" fillId="8" borderId="0" xfId="0" applyNumberFormat="1" applyFont="1" applyFill="1" applyAlignment="1" applyProtection="1">
      <alignment/>
      <protection/>
    </xf>
    <xf numFmtId="181" fontId="4" fillId="8" borderId="0" xfId="0" applyNumberFormat="1" applyFont="1" applyFill="1" applyAlignment="1" applyProtection="1">
      <alignment/>
      <protection/>
    </xf>
    <xf numFmtId="181" fontId="2" fillId="8" borderId="3" xfId="0" applyNumberFormat="1" applyFont="1" applyFill="1" applyBorder="1" applyAlignment="1" applyProtection="1">
      <alignment/>
      <protection/>
    </xf>
    <xf numFmtId="181" fontId="2" fillId="8" borderId="4" xfId="0" applyNumberFormat="1" applyFont="1" applyFill="1" applyBorder="1" applyAlignment="1" applyProtection="1">
      <alignment/>
      <protection/>
    </xf>
    <xf numFmtId="191" fontId="2" fillId="2" borderId="20" xfId="0" applyNumberFormat="1" applyFont="1" applyFill="1" applyBorder="1" applyAlignment="1" applyProtection="1">
      <alignment/>
      <protection locked="0"/>
    </xf>
    <xf numFmtId="191" fontId="2" fillId="2" borderId="21" xfId="0" applyNumberFormat="1" applyFont="1" applyFill="1" applyBorder="1" applyAlignment="1" applyProtection="1">
      <alignment/>
      <protection locked="0"/>
    </xf>
    <xf numFmtId="191" fontId="2" fillId="2" borderId="22" xfId="0" applyNumberFormat="1" applyFont="1" applyFill="1" applyBorder="1" applyAlignment="1" applyProtection="1">
      <alignment/>
      <protection locked="0"/>
    </xf>
    <xf numFmtId="173" fontId="2" fillId="8" borderId="13" xfId="0" applyFont="1" applyFill="1" applyBorder="1" applyAlignment="1" applyProtection="1">
      <alignment horizontal="center"/>
      <protection/>
    </xf>
    <xf numFmtId="173" fontId="2" fillId="8" borderId="19" xfId="0" applyFont="1" applyFill="1" applyBorder="1" applyAlignment="1" applyProtection="1">
      <alignment horizontal="center"/>
      <protection/>
    </xf>
    <xf numFmtId="173" fontId="2" fillId="8" borderId="14" xfId="0" applyFont="1" applyFill="1" applyBorder="1" applyAlignment="1" applyProtection="1">
      <alignment/>
      <protection/>
    </xf>
    <xf numFmtId="191" fontId="2" fillId="2" borderId="11" xfId="0" applyNumberFormat="1" applyFont="1" applyFill="1" applyBorder="1" applyAlignment="1" applyProtection="1">
      <alignment horizontal="center"/>
      <protection locked="0"/>
    </xf>
    <xf numFmtId="173" fontId="2" fillId="8" borderId="19" xfId="0" applyFont="1" applyFill="1" applyBorder="1" applyAlignment="1" applyProtection="1">
      <alignment/>
      <protection/>
    </xf>
    <xf numFmtId="191" fontId="2" fillId="2" borderId="14" xfId="0" applyNumberFormat="1" applyFont="1" applyFill="1" applyBorder="1" applyAlignment="1" applyProtection="1">
      <alignment horizontal="center"/>
      <protection locked="0"/>
    </xf>
    <xf numFmtId="191" fontId="2" fillId="2" borderId="14" xfId="57" applyNumberFormat="1" applyFill="1" applyBorder="1" applyAlignment="1" applyProtection="1">
      <alignment horizontal="center"/>
      <protection locked="0"/>
    </xf>
    <xf numFmtId="173" fontId="2" fillId="8" borderId="7" xfId="0" applyFont="1" applyFill="1" applyBorder="1" applyAlignment="1" applyProtection="1">
      <alignment horizontal="center"/>
      <protection/>
    </xf>
    <xf numFmtId="173" fontId="5" fillId="8" borderId="0" xfId="0" applyFont="1" applyFill="1" applyAlignment="1" applyProtection="1">
      <alignment/>
      <protection/>
    </xf>
    <xf numFmtId="173" fontId="16" fillId="8" borderId="0" xfId="0" applyFont="1" applyFill="1" applyAlignment="1" applyProtection="1">
      <alignment horizontal="center"/>
      <protection/>
    </xf>
    <xf numFmtId="172" fontId="2" fillId="8" borderId="0" xfId="0" applyNumberFormat="1" applyFont="1" applyFill="1" applyBorder="1" applyAlignment="1" applyProtection="1">
      <alignment/>
      <protection/>
    </xf>
    <xf numFmtId="172" fontId="3" fillId="8" borderId="0" xfId="0" applyNumberFormat="1" applyFont="1" applyFill="1" applyBorder="1" applyAlignment="1" applyProtection="1">
      <alignment horizontal="right"/>
      <protection/>
    </xf>
    <xf numFmtId="173" fontId="2" fillId="8" borderId="2" xfId="0" applyFont="1" applyFill="1" applyBorder="1" applyAlignment="1" applyProtection="1">
      <alignment horizontal="center"/>
      <protection/>
    </xf>
    <xf numFmtId="173" fontId="2" fillId="8" borderId="5" xfId="0" applyFont="1" applyFill="1" applyBorder="1" applyAlignment="1" applyProtection="1">
      <alignment horizontal="left"/>
      <protection/>
    </xf>
    <xf numFmtId="173" fontId="17" fillId="8" borderId="0" xfId="0" applyFont="1" applyFill="1" applyAlignment="1" applyProtection="1">
      <alignment/>
      <protection/>
    </xf>
    <xf numFmtId="173" fontId="0" fillId="13" borderId="0" xfId="0" applyFill="1" applyAlignment="1">
      <alignment/>
    </xf>
    <xf numFmtId="173" fontId="2" fillId="13" borderId="0" xfId="0" applyFont="1" applyFill="1" applyAlignment="1" applyProtection="1">
      <alignment/>
      <protection/>
    </xf>
    <xf numFmtId="173" fontId="16" fillId="13" borderId="0" xfId="0" applyFont="1" applyFill="1" applyAlignment="1" applyProtection="1">
      <alignment/>
      <protection/>
    </xf>
    <xf numFmtId="173" fontId="4" fillId="13" borderId="0" xfId="0" applyFont="1" applyFill="1" applyAlignment="1" applyProtection="1">
      <alignment/>
      <protection/>
    </xf>
    <xf numFmtId="173" fontId="2" fillId="13" borderId="8" xfId="0" applyFont="1" applyFill="1" applyBorder="1" applyAlignment="1" applyProtection="1">
      <alignment/>
      <protection/>
    </xf>
    <xf numFmtId="173" fontId="2" fillId="13" borderId="0" xfId="0" applyFont="1" applyFill="1" applyBorder="1" applyAlignment="1" applyProtection="1">
      <alignment/>
      <protection/>
    </xf>
    <xf numFmtId="173" fontId="3" fillId="13" borderId="0" xfId="0" applyFont="1" applyFill="1" applyAlignment="1" applyProtection="1">
      <alignment/>
      <protection/>
    </xf>
    <xf numFmtId="173" fontId="2" fillId="13" borderId="2" xfId="0" applyFont="1" applyFill="1" applyBorder="1" applyAlignment="1" applyProtection="1">
      <alignment/>
      <protection/>
    </xf>
    <xf numFmtId="173" fontId="10" fillId="13" borderId="2" xfId="0" applyFont="1" applyFill="1" applyBorder="1" applyAlignment="1" applyProtection="1">
      <alignment/>
      <protection/>
    </xf>
    <xf numFmtId="173" fontId="3" fillId="13" borderId="0" xfId="0" applyFont="1" applyFill="1" applyAlignment="1" applyProtection="1">
      <alignment horizontal="right"/>
      <protection/>
    </xf>
    <xf numFmtId="173" fontId="10" fillId="13" borderId="2" xfId="0" applyFont="1" applyFill="1" applyBorder="1" applyAlignment="1" applyProtection="1">
      <alignment horizontal="right"/>
      <protection/>
    </xf>
    <xf numFmtId="173" fontId="2" fillId="13" borderId="8" xfId="0" applyFont="1" applyFill="1" applyBorder="1" applyAlignment="1" applyProtection="1">
      <alignment horizontal="right"/>
      <protection/>
    </xf>
    <xf numFmtId="173" fontId="2" fillId="13" borderId="16" xfId="0" applyFont="1" applyFill="1" applyBorder="1" applyAlignment="1" applyProtection="1">
      <alignment/>
      <protection/>
    </xf>
    <xf numFmtId="173" fontId="10" fillId="13" borderId="8" xfId="0" applyFont="1" applyFill="1" applyBorder="1" applyAlignment="1" applyProtection="1">
      <alignment horizontal="right"/>
      <protection/>
    </xf>
    <xf numFmtId="173" fontId="2" fillId="13" borderId="0" xfId="0" applyFont="1" applyFill="1" applyBorder="1" applyAlignment="1" applyProtection="1">
      <alignment horizontal="center"/>
      <protection/>
    </xf>
    <xf numFmtId="173" fontId="10" fillId="13" borderId="0" xfId="0" applyFont="1" applyFill="1" applyBorder="1" applyAlignment="1" applyProtection="1">
      <alignment horizontal="center"/>
      <protection/>
    </xf>
    <xf numFmtId="173" fontId="46" fillId="13" borderId="0" xfId="0" applyFont="1" applyFill="1" applyAlignment="1" applyProtection="1">
      <alignment horizontal="center"/>
      <protection/>
    </xf>
    <xf numFmtId="173" fontId="2" fillId="13" borderId="12" xfId="0" applyFont="1" applyFill="1" applyBorder="1" applyAlignment="1" applyProtection="1">
      <alignment horizontal="right"/>
      <protection/>
    </xf>
    <xf numFmtId="173" fontId="3" fillId="13" borderId="8" xfId="0" applyFont="1" applyFill="1" applyBorder="1" applyAlignment="1" applyProtection="1">
      <alignment horizontal="right"/>
      <protection/>
    </xf>
    <xf numFmtId="173" fontId="2" fillId="13" borderId="5" xfId="0" applyFont="1" applyFill="1" applyBorder="1" applyAlignment="1" applyProtection="1">
      <alignment/>
      <protection/>
    </xf>
    <xf numFmtId="173" fontId="2" fillId="13" borderId="0" xfId="0" applyFont="1" applyFill="1" applyAlignment="1" applyProtection="1">
      <alignment horizontal="center"/>
      <protection/>
    </xf>
    <xf numFmtId="173" fontId="3" fillId="13" borderId="0" xfId="0" applyFont="1" applyFill="1" applyBorder="1" applyAlignment="1" applyProtection="1" quotePrefix="1">
      <alignment horizontal="center"/>
      <protection/>
    </xf>
    <xf numFmtId="173" fontId="43" fillId="13" borderId="0" xfId="0" applyFont="1" applyFill="1" applyBorder="1" applyAlignment="1" quotePrefix="1">
      <alignment horizontal="center"/>
    </xf>
    <xf numFmtId="173" fontId="2" fillId="13" borderId="0" xfId="0" applyFont="1" applyFill="1" applyAlignment="1" applyProtection="1" quotePrefix="1">
      <alignment/>
      <protection/>
    </xf>
    <xf numFmtId="173" fontId="46" fillId="13" borderId="0" xfId="0" applyFont="1" applyFill="1" applyAlignment="1" applyProtection="1">
      <alignment horizontal="right"/>
      <protection/>
    </xf>
    <xf numFmtId="173" fontId="17" fillId="13" borderId="0" xfId="0" applyFont="1" applyFill="1" applyAlignment="1" applyProtection="1">
      <alignment/>
      <protection/>
    </xf>
    <xf numFmtId="173" fontId="8" fillId="13" borderId="0" xfId="0" applyFont="1" applyFill="1" applyAlignment="1" applyProtection="1">
      <alignment horizontal="center"/>
      <protection/>
    </xf>
    <xf numFmtId="173" fontId="3" fillId="13" borderId="0" xfId="0" applyFont="1" applyFill="1" applyAlignment="1" applyProtection="1" quotePrefix="1">
      <alignment horizontal="right"/>
      <protection/>
    </xf>
    <xf numFmtId="173" fontId="16" fillId="13" borderId="0" xfId="0" applyFont="1" applyFill="1" applyAlignment="1" applyProtection="1">
      <alignment horizontal="right"/>
      <protection/>
    </xf>
    <xf numFmtId="173" fontId="11" fillId="13" borderId="0" xfId="0" applyFont="1" applyFill="1" applyAlignment="1" applyProtection="1">
      <alignment/>
      <protection/>
    </xf>
    <xf numFmtId="173" fontId="2" fillId="13" borderId="0" xfId="0" applyFont="1" applyFill="1" applyAlignment="1" applyProtection="1">
      <alignment horizontal="right"/>
      <protection/>
    </xf>
    <xf numFmtId="173" fontId="48" fillId="13" borderId="0" xfId="0" applyFont="1" applyFill="1" applyAlignment="1" applyProtection="1">
      <alignment horizontal="center"/>
      <protection/>
    </xf>
    <xf numFmtId="173" fontId="4" fillId="13" borderId="0" xfId="0" applyFont="1" applyFill="1" applyAlignment="1" applyProtection="1">
      <alignment horizontal="right"/>
      <protection/>
    </xf>
    <xf numFmtId="173" fontId="16" fillId="13" borderId="0" xfId="0" applyFont="1" applyFill="1" applyAlignment="1" applyProtection="1">
      <alignment horizontal="left"/>
      <protection/>
    </xf>
    <xf numFmtId="173" fontId="16" fillId="13" borderId="0" xfId="0" applyFont="1" applyFill="1" applyAlignment="1" applyProtection="1">
      <alignment horizontal="center"/>
      <protection/>
    </xf>
    <xf numFmtId="173" fontId="2" fillId="13" borderId="1" xfId="0" applyFont="1" applyFill="1" applyBorder="1" applyAlignment="1" applyProtection="1">
      <alignment/>
      <protection/>
    </xf>
    <xf numFmtId="173" fontId="3" fillId="13" borderId="0" xfId="0" applyFont="1" applyFill="1" applyBorder="1" applyAlignment="1" applyProtection="1">
      <alignment/>
      <protection/>
    </xf>
    <xf numFmtId="173" fontId="16" fillId="13" borderId="0" xfId="0" applyFont="1" applyFill="1" applyBorder="1" applyAlignment="1" applyProtection="1">
      <alignment/>
      <protection/>
    </xf>
    <xf numFmtId="173" fontId="2" fillId="13" borderId="1" xfId="0" applyFont="1" applyFill="1" applyBorder="1" applyAlignment="1" applyProtection="1">
      <alignment horizontal="right"/>
      <protection/>
    </xf>
    <xf numFmtId="173" fontId="3" fillId="13" borderId="0" xfId="0" applyFont="1" applyFill="1" applyBorder="1" applyAlignment="1" applyProtection="1">
      <alignment horizontal="right"/>
      <protection/>
    </xf>
    <xf numFmtId="173" fontId="3" fillId="13" borderId="1" xfId="0" applyFont="1" applyFill="1" applyBorder="1" applyAlignment="1" applyProtection="1">
      <alignment horizontal="right"/>
      <protection/>
    </xf>
    <xf numFmtId="172" fontId="3" fillId="13" borderId="0" xfId="0" applyNumberFormat="1" applyFont="1" applyFill="1" applyAlignment="1" applyProtection="1">
      <alignment/>
      <protection/>
    </xf>
    <xf numFmtId="191" fontId="0" fillId="2" borderId="0" xfId="0" applyNumberFormat="1" applyBorder="1" applyAlignment="1" quotePrefix="1">
      <alignment/>
    </xf>
    <xf numFmtId="173" fontId="43" fillId="13" borderId="0" xfId="0" applyFont="1" applyFill="1" applyAlignment="1">
      <alignment/>
    </xf>
    <xf numFmtId="173" fontId="0" fillId="13" borderId="0" xfId="0" applyFont="1" applyFill="1" applyAlignment="1">
      <alignment/>
    </xf>
    <xf numFmtId="173" fontId="0" fillId="13" borderId="8" xfId="0" applyFont="1" applyFill="1" applyBorder="1" applyAlignment="1">
      <alignment/>
    </xf>
    <xf numFmtId="173" fontId="0" fillId="13" borderId="2" xfId="0" applyFont="1" applyFill="1" applyBorder="1" applyAlignment="1">
      <alignment/>
    </xf>
    <xf numFmtId="173" fontId="2" fillId="13" borderId="1" xfId="0" applyFont="1" applyFill="1" applyBorder="1" applyAlignment="1" applyProtection="1">
      <alignment horizontal="left"/>
      <protection/>
    </xf>
    <xf numFmtId="173" fontId="2" fillId="13" borderId="0" xfId="0" applyFont="1" applyFill="1" applyAlignment="1" applyProtection="1">
      <alignment horizontal="left"/>
      <protection/>
    </xf>
    <xf numFmtId="173" fontId="3" fillId="13" borderId="2" xfId="0" applyFont="1" applyFill="1" applyBorder="1" applyAlignment="1" applyProtection="1">
      <alignment horizontal="right"/>
      <protection/>
    </xf>
    <xf numFmtId="191" fontId="2" fillId="3" borderId="8" xfId="0" applyNumberFormat="1" applyFont="1" applyFill="1" applyBorder="1" applyAlignment="1" applyProtection="1">
      <alignment/>
      <protection/>
    </xf>
    <xf numFmtId="191" fontId="2" fillId="2" borderId="2" xfId="0" applyNumberFormat="1" applyFont="1" applyFill="1" applyBorder="1" applyAlignment="1" applyProtection="1">
      <alignment/>
      <protection locked="0"/>
    </xf>
    <xf numFmtId="173" fontId="0" fillId="0" borderId="9" xfId="0" applyFill="1" applyBorder="1" applyAlignment="1" applyProtection="1">
      <alignment/>
      <protection locked="0"/>
    </xf>
    <xf numFmtId="191" fontId="2" fillId="3" borderId="2" xfId="57" applyNumberFormat="1" applyBorder="1" applyProtection="1">
      <alignment/>
      <protection hidden="1"/>
    </xf>
    <xf numFmtId="173" fontId="2" fillId="2" borderId="0" xfId="0" applyNumberFormat="1" applyFont="1" applyFill="1" applyBorder="1" applyAlignment="1" applyProtection="1">
      <alignment/>
      <protection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191" fontId="0" fillId="0" borderId="0" xfId="0" applyNumberFormat="1" applyFill="1" applyBorder="1" applyAlignment="1">
      <alignment/>
    </xf>
    <xf numFmtId="191" fontId="0" fillId="0" borderId="7" xfId="0" applyNumberFormat="1" applyFill="1" applyBorder="1" applyAlignment="1">
      <alignment/>
    </xf>
    <xf numFmtId="49" fontId="4" fillId="2" borderId="0" xfId="50" applyNumberFormat="1" applyFont="1" applyFill="1" applyBorder="1" applyAlignment="1" applyProtection="1">
      <alignment horizontal="right" vertical="center"/>
      <protection locked="0"/>
    </xf>
    <xf numFmtId="49" fontId="4" fillId="2" borderId="3" xfId="50" applyNumberFormat="1" applyFont="1" applyFill="1" applyBorder="1" applyAlignment="1" applyProtection="1">
      <alignment horizontal="right" vertical="center"/>
      <protection locked="0"/>
    </xf>
    <xf numFmtId="49" fontId="4" fillId="2" borderId="19" xfId="50" applyNumberFormat="1" applyFont="1" applyFill="1" applyBorder="1" applyAlignment="1" applyProtection="1">
      <alignment horizontal="right" vertical="center"/>
      <protection locked="0"/>
    </xf>
    <xf numFmtId="191" fontId="4" fillId="2" borderId="0" xfId="50" applyNumberFormat="1" applyFont="1" applyFill="1" applyBorder="1" applyAlignment="1" applyProtection="1">
      <alignment horizontal="right"/>
      <protection locked="0"/>
    </xf>
    <xf numFmtId="191" fontId="4" fillId="2" borderId="3" xfId="50" applyNumberFormat="1" applyFont="1" applyFill="1" applyBorder="1" applyAlignment="1" applyProtection="1">
      <alignment horizontal="right"/>
      <protection locked="0"/>
    </xf>
    <xf numFmtId="191" fontId="4" fillId="2" borderId="19" xfId="50" applyNumberFormat="1" applyFont="1" applyFill="1" applyBorder="1" applyAlignment="1" applyProtection="1">
      <alignment horizontal="right"/>
      <protection locked="0"/>
    </xf>
    <xf numFmtId="191" fontId="35" fillId="3" borderId="0" xfId="50" applyNumberFormat="1" applyFont="1" applyFill="1">
      <alignment/>
      <protection/>
    </xf>
    <xf numFmtId="191" fontId="4" fillId="2" borderId="0" xfId="50" applyNumberFormat="1" applyFont="1" applyFill="1" applyBorder="1" applyAlignment="1" applyProtection="1">
      <alignment horizontal="right" vertical="center"/>
      <protection locked="0"/>
    </xf>
    <xf numFmtId="191" fontId="4" fillId="2" borderId="3" xfId="50" applyNumberFormat="1" applyFont="1" applyFill="1" applyBorder="1" applyAlignment="1" applyProtection="1">
      <alignment horizontal="right" vertical="center"/>
      <protection locked="0"/>
    </xf>
    <xf numFmtId="191" fontId="4" fillId="2" borderId="19" xfId="50" applyNumberFormat="1" applyFont="1" applyFill="1" applyBorder="1" applyAlignment="1" applyProtection="1">
      <alignment horizontal="right" vertical="center"/>
      <protection locked="0"/>
    </xf>
    <xf numFmtId="191" fontId="35" fillId="3" borderId="0" xfId="50" applyNumberFormat="1" applyFont="1" applyFill="1" applyAlignment="1">
      <alignment vertical="center"/>
      <protection/>
    </xf>
    <xf numFmtId="173" fontId="2" fillId="7" borderId="8" xfId="0" applyFont="1" applyFill="1" applyBorder="1" applyAlignment="1" applyProtection="1">
      <alignment/>
      <protection/>
    </xf>
    <xf numFmtId="173" fontId="2" fillId="7" borderId="7" xfId="0" applyFont="1" applyFill="1" applyBorder="1" applyAlignment="1" applyProtection="1">
      <alignment/>
      <protection/>
    </xf>
    <xf numFmtId="173" fontId="2" fillId="7" borderId="10" xfId="0" applyFont="1" applyFill="1" applyBorder="1" applyAlignment="1" applyProtection="1">
      <alignment/>
      <protection/>
    </xf>
    <xf numFmtId="173" fontId="2" fillId="0" borderId="0" xfId="0" applyNumberFormat="1" applyFont="1" applyFill="1" applyBorder="1" applyAlignment="1" applyProtection="1">
      <alignment/>
      <protection/>
    </xf>
    <xf numFmtId="0" fontId="21" fillId="2" borderId="11" xfId="52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/>
      <protection locked="0"/>
    </xf>
    <xf numFmtId="1" fontId="2" fillId="2" borderId="15" xfId="0" applyNumberFormat="1" applyFont="1" applyFill="1" applyBorder="1" applyAlignment="1" applyProtection="1">
      <alignment/>
      <protection locked="0"/>
    </xf>
    <xf numFmtId="181" fontId="10" fillId="8" borderId="0" xfId="0" applyNumberFormat="1" applyFont="1" applyFill="1" applyAlignment="1" applyProtection="1">
      <alignment/>
      <protection/>
    </xf>
    <xf numFmtId="173" fontId="10" fillId="8" borderId="0" xfId="0" applyFont="1" applyFill="1" applyAlignment="1" applyProtection="1">
      <alignment/>
      <protection/>
    </xf>
    <xf numFmtId="0" fontId="23" fillId="8" borderId="0" xfId="52" applyFont="1" applyFill="1" applyBorder="1" applyProtection="1">
      <alignment/>
      <protection/>
    </xf>
    <xf numFmtId="0" fontId="15" fillId="8" borderId="5" xfId="52" applyFont="1" applyFill="1" applyBorder="1" applyProtection="1">
      <alignment/>
      <protection locked="0"/>
    </xf>
    <xf numFmtId="0" fontId="26" fillId="8" borderId="8" xfId="52" applyFont="1" applyFill="1" applyBorder="1" applyAlignment="1" applyProtection="1">
      <alignment horizontal="left" vertical="center"/>
      <protection/>
    </xf>
    <xf numFmtId="10" fontId="2" fillId="3" borderId="2" xfId="57" applyNumberFormat="1" applyBorder="1">
      <alignment/>
      <protection hidden="1"/>
    </xf>
    <xf numFmtId="10" fontId="2" fillId="3" borderId="2" xfId="57" applyNumberFormat="1" applyFont="1" applyBorder="1">
      <alignment/>
      <protection hidden="1"/>
    </xf>
    <xf numFmtId="173" fontId="3" fillId="13" borderId="0" xfId="0" applyFont="1" applyFill="1" applyAlignment="1" applyProtection="1" quotePrefix="1">
      <alignment horizontal="center" vertical="center"/>
      <protection/>
    </xf>
    <xf numFmtId="173" fontId="3" fillId="13" borderId="0" xfId="0" applyFont="1" applyFill="1" applyAlignment="1" applyProtection="1">
      <alignment horizontal="right" vertical="center"/>
      <protection/>
    </xf>
    <xf numFmtId="173" fontId="2" fillId="13" borderId="8" xfId="0" applyFont="1" applyFill="1" applyBorder="1" applyAlignment="1" applyProtection="1">
      <alignment vertical="center"/>
      <protection/>
    </xf>
    <xf numFmtId="173" fontId="8" fillId="13" borderId="8" xfId="0" applyFont="1" applyFill="1" applyBorder="1" applyAlignment="1" applyProtection="1">
      <alignment horizontal="center"/>
      <protection/>
    </xf>
    <xf numFmtId="173" fontId="2" fillId="13" borderId="2" xfId="0" applyFont="1" applyFill="1" applyBorder="1" applyAlignment="1" applyProtection="1">
      <alignment vertical="center"/>
      <protection/>
    </xf>
    <xf numFmtId="173" fontId="8" fillId="13" borderId="2" xfId="0" applyFont="1" applyFill="1" applyBorder="1" applyAlignment="1" applyProtection="1">
      <alignment horizontal="center"/>
      <protection/>
    </xf>
    <xf numFmtId="173" fontId="2" fillId="13" borderId="0" xfId="0" applyFont="1" applyFill="1" applyAlignment="1" applyProtection="1">
      <alignment vertical="center"/>
      <protection/>
    </xf>
    <xf numFmtId="173" fontId="4" fillId="13" borderId="0" xfId="0" applyFont="1" applyFill="1" applyAlignment="1" applyProtection="1">
      <alignment vertical="center"/>
      <protection/>
    </xf>
    <xf numFmtId="173" fontId="2" fillId="13" borderId="5" xfId="0" applyFont="1" applyFill="1" applyBorder="1" applyAlignment="1" applyProtection="1">
      <alignment vertical="center"/>
      <protection/>
    </xf>
    <xf numFmtId="173" fontId="8" fillId="13" borderId="5" xfId="0" applyFont="1" applyFill="1" applyBorder="1" applyAlignment="1" applyProtection="1">
      <alignment horizontal="center"/>
      <protection/>
    </xf>
    <xf numFmtId="173" fontId="3" fillId="13" borderId="0" xfId="0" applyFont="1" applyFill="1" applyAlignment="1" applyProtection="1">
      <alignment vertical="center"/>
      <protection/>
    </xf>
    <xf numFmtId="173" fontId="8" fillId="13" borderId="0" xfId="0" applyFont="1" applyFill="1" applyAlignment="1" applyProtection="1">
      <alignment horizontal="center" vertical="center"/>
      <protection/>
    </xf>
    <xf numFmtId="173" fontId="8" fillId="13" borderId="8" xfId="0" applyFont="1" applyFill="1" applyBorder="1" applyAlignment="1" applyProtection="1">
      <alignment horizontal="center" vertical="center"/>
      <protection/>
    </xf>
    <xf numFmtId="173" fontId="8" fillId="13" borderId="2" xfId="0" applyFont="1" applyFill="1" applyBorder="1" applyAlignment="1" applyProtection="1">
      <alignment horizontal="center" vertical="center"/>
      <protection/>
    </xf>
    <xf numFmtId="173" fontId="8" fillId="13" borderId="5" xfId="0" applyFont="1" applyFill="1" applyBorder="1" applyAlignment="1" applyProtection="1">
      <alignment horizontal="center" vertical="center"/>
      <protection/>
    </xf>
    <xf numFmtId="173" fontId="10" fillId="13" borderId="0" xfId="0" applyFont="1" applyFill="1" applyAlignment="1" applyProtection="1">
      <alignment vertical="center"/>
      <protection/>
    </xf>
    <xf numFmtId="173" fontId="2" fillId="13" borderId="0" xfId="0" applyFont="1" applyFill="1" applyAlignment="1" applyProtection="1">
      <alignment horizontal="right" vertical="center"/>
      <protection/>
    </xf>
    <xf numFmtId="191" fontId="2" fillId="2" borderId="5" xfId="0" applyNumberFormat="1" applyFont="1" applyFill="1" applyBorder="1" applyAlignment="1" applyProtection="1">
      <alignment/>
      <protection locked="0"/>
    </xf>
    <xf numFmtId="173" fontId="3" fillId="8" borderId="5" xfId="0" applyFont="1" applyFill="1" applyBorder="1" applyAlignment="1" applyProtection="1">
      <alignment/>
      <protection hidden="1"/>
    </xf>
    <xf numFmtId="173" fontId="2" fillId="10" borderId="0" xfId="0" applyFont="1" applyFill="1" applyBorder="1" applyAlignment="1" applyProtection="1">
      <alignment/>
      <protection/>
    </xf>
    <xf numFmtId="173" fontId="3" fillId="10" borderId="0" xfId="0" applyFont="1" applyFill="1" applyBorder="1" applyAlignment="1" applyProtection="1">
      <alignment/>
      <protection/>
    </xf>
    <xf numFmtId="173" fontId="3" fillId="10" borderId="0" xfId="0" applyFont="1" applyFill="1" applyBorder="1" applyAlignment="1" applyProtection="1">
      <alignment horizontal="right"/>
      <protection/>
    </xf>
    <xf numFmtId="173" fontId="0" fillId="8" borderId="0" xfId="0" applyFill="1" applyAlignment="1" applyProtection="1">
      <alignment/>
      <protection hidden="1"/>
    </xf>
    <xf numFmtId="173" fontId="51" fillId="8" borderId="0" xfId="0" applyFont="1" applyFill="1" applyAlignment="1" applyProtection="1">
      <alignment/>
      <protection hidden="1"/>
    </xf>
    <xf numFmtId="173" fontId="43" fillId="8" borderId="0" xfId="0" applyFont="1" applyFill="1" applyAlignment="1" applyProtection="1">
      <alignment horizontal="right"/>
      <protection hidden="1"/>
    </xf>
    <xf numFmtId="0" fontId="1" fillId="8" borderId="0" xfId="52" applyFill="1" applyAlignment="1">
      <alignment horizontal="center"/>
      <protection/>
    </xf>
    <xf numFmtId="0" fontId="1" fillId="8" borderId="0" xfId="52" applyFill="1" applyAlignment="1">
      <alignment horizontal="center" vertical="top"/>
      <protection/>
    </xf>
    <xf numFmtId="0" fontId="1" fillId="8" borderId="0" xfId="52" applyFont="1" applyFill="1" applyAlignment="1">
      <alignment horizontal="center"/>
      <protection/>
    </xf>
    <xf numFmtId="0" fontId="21" fillId="8" borderId="0" xfId="52" applyFont="1" applyFill="1" applyAlignment="1">
      <alignment horizontal="center"/>
      <protection/>
    </xf>
    <xf numFmtId="181" fontId="0" fillId="2" borderId="8" xfId="0" applyNumberFormat="1" applyFill="1" applyBorder="1" applyAlignment="1" applyProtection="1">
      <alignment horizontal="center"/>
      <protection hidden="1" locked="0"/>
    </xf>
    <xf numFmtId="181" fontId="0" fillId="2" borderId="2" xfId="0" applyNumberFormat="1" applyFill="1" applyBorder="1" applyAlignment="1" applyProtection="1">
      <alignment horizontal="center"/>
      <protection hidden="1" locked="0"/>
    </xf>
    <xf numFmtId="191" fontId="2" fillId="8" borderId="8" xfId="0" applyNumberFormat="1" applyFont="1" applyFill="1" applyBorder="1" applyAlignment="1" applyProtection="1">
      <alignment/>
      <protection hidden="1"/>
    </xf>
    <xf numFmtId="173" fontId="51" fillId="8" borderId="5" xfId="0" applyFont="1" applyFill="1" applyBorder="1" applyAlignment="1" applyProtection="1">
      <alignment/>
      <protection hidden="1"/>
    </xf>
    <xf numFmtId="173" fontId="43" fillId="8" borderId="0" xfId="0" applyFont="1" applyFill="1" applyBorder="1" applyAlignment="1" applyProtection="1">
      <alignment/>
      <protection hidden="1"/>
    </xf>
    <xf numFmtId="173" fontId="52" fillId="8" borderId="0" xfId="0" applyFont="1" applyFill="1" applyBorder="1" applyAlignment="1" applyProtection="1">
      <alignment horizontal="right"/>
      <protection hidden="1"/>
    </xf>
    <xf numFmtId="173" fontId="43" fillId="8" borderId="0" xfId="0" applyFont="1" applyFill="1" applyBorder="1" applyAlignment="1" applyProtection="1">
      <alignment horizontal="right"/>
      <protection hidden="1"/>
    </xf>
    <xf numFmtId="172" fontId="9" fillId="6" borderId="8" xfId="0" applyNumberFormat="1" applyFont="1" applyFill="1" applyBorder="1" applyAlignment="1" applyProtection="1" quotePrefix="1">
      <alignment horizontal="center"/>
      <protection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173" fontId="0" fillId="8" borderId="0" xfId="0" applyFill="1" applyBorder="1" applyAlignment="1" applyProtection="1">
      <alignment horizontal="right"/>
      <protection hidden="1"/>
    </xf>
    <xf numFmtId="173" fontId="54" fillId="8" borderId="0" xfId="0" applyFont="1" applyFill="1" applyBorder="1" applyAlignment="1" applyProtection="1">
      <alignment/>
      <protection hidden="1"/>
    </xf>
    <xf numFmtId="173" fontId="53" fillId="8" borderId="0" xfId="0" applyFont="1" applyFill="1" applyBorder="1" applyAlignment="1" applyProtection="1">
      <alignment/>
      <protection hidden="1"/>
    </xf>
    <xf numFmtId="173" fontId="0" fillId="8" borderId="8" xfId="0" applyFont="1" applyFill="1" applyBorder="1" applyAlignment="1" applyProtection="1">
      <alignment/>
      <protection hidden="1"/>
    </xf>
    <xf numFmtId="173" fontId="43" fillId="8" borderId="0" xfId="0" applyFont="1" applyFill="1" applyBorder="1" applyAlignment="1" applyProtection="1">
      <alignment horizontal="center"/>
      <protection hidden="1"/>
    </xf>
    <xf numFmtId="173" fontId="0" fillId="8" borderId="7" xfId="0" applyFill="1" applyBorder="1" applyAlignment="1" quotePrefix="1">
      <alignment horizontal="center"/>
    </xf>
    <xf numFmtId="173" fontId="0" fillId="8" borderId="7" xfId="0" applyFill="1" applyBorder="1" applyAlignment="1">
      <alignment horizontal="center"/>
    </xf>
    <xf numFmtId="173" fontId="0" fillId="8" borderId="23" xfId="0" applyFill="1" applyBorder="1" applyAlignment="1" applyProtection="1">
      <alignment/>
      <protection hidden="1"/>
    </xf>
    <xf numFmtId="173" fontId="0" fillId="8" borderId="24" xfId="0" applyFill="1" applyBorder="1" applyAlignment="1" applyProtection="1">
      <alignment/>
      <protection hidden="1"/>
    </xf>
    <xf numFmtId="173" fontId="0" fillId="8" borderId="25" xfId="0" applyFill="1" applyBorder="1" applyAlignment="1" applyProtection="1">
      <alignment/>
      <protection hidden="1"/>
    </xf>
    <xf numFmtId="173" fontId="55" fillId="8" borderId="0" xfId="0" applyFont="1" applyFill="1" applyAlignment="1">
      <alignment horizontal="right"/>
    </xf>
    <xf numFmtId="173" fontId="43" fillId="8" borderId="0" xfId="0" applyFont="1" applyFill="1" applyAlignment="1" applyProtection="1">
      <alignment/>
      <protection hidden="1"/>
    </xf>
    <xf numFmtId="173" fontId="0" fillId="8" borderId="0" xfId="0" applyFill="1" applyAlignment="1" quotePrefix="1">
      <alignment horizontal="center"/>
    </xf>
    <xf numFmtId="1" fontId="0" fillId="2" borderId="8" xfId="0" applyNumberFormat="1" applyFill="1" applyBorder="1" applyAlignment="1" applyProtection="1">
      <alignment horizontal="center"/>
      <protection locked="0"/>
    </xf>
    <xf numFmtId="173" fontId="0" fillId="8" borderId="0" xfId="0" applyFill="1" applyAlignment="1" applyProtection="1">
      <alignment horizontal="center"/>
      <protection hidden="1"/>
    </xf>
    <xf numFmtId="195" fontId="7" fillId="2" borderId="8" xfId="0" applyNumberFormat="1" applyFont="1" applyFill="1" applyBorder="1" applyAlignment="1" applyProtection="1">
      <alignment horizontal="center" shrinkToFit="1"/>
      <protection locked="0"/>
    </xf>
    <xf numFmtId="173" fontId="0" fillId="8" borderId="26" xfId="0" applyFill="1" applyBorder="1" applyAlignment="1" applyProtection="1">
      <alignment/>
      <protection hidden="1"/>
    </xf>
    <xf numFmtId="49" fontId="33" fillId="2" borderId="11" xfId="0" applyNumberFormat="1" applyFont="1" applyFill="1" applyBorder="1" applyAlignment="1" applyProtection="1">
      <alignment horizontal="center" vertical="center"/>
      <protection locked="0"/>
    </xf>
    <xf numFmtId="191" fontId="2" fillId="3" borderId="8" xfId="57" applyNumberFormat="1" applyBorder="1" applyProtection="1">
      <alignment/>
      <protection hidden="1" locked="0"/>
    </xf>
    <xf numFmtId="173" fontId="53" fillId="8" borderId="0" xfId="0" applyFont="1" applyFill="1" applyAlignment="1" applyProtection="1">
      <alignment/>
      <protection hidden="1"/>
    </xf>
    <xf numFmtId="186" fontId="4" fillId="2" borderId="0" xfId="50" applyNumberFormat="1" applyFont="1" applyFill="1" applyBorder="1" applyAlignment="1" applyProtection="1">
      <alignment horizontal="right"/>
      <protection locked="0"/>
    </xf>
    <xf numFmtId="186" fontId="4" fillId="2" borderId="3" xfId="50" applyNumberFormat="1" applyFont="1" applyFill="1" applyBorder="1" applyAlignment="1" applyProtection="1">
      <alignment horizontal="right"/>
      <protection locked="0"/>
    </xf>
    <xf numFmtId="186" fontId="4" fillId="2" borderId="19" xfId="50" applyNumberFormat="1" applyFont="1" applyFill="1" applyBorder="1" applyAlignment="1" applyProtection="1">
      <alignment horizontal="right"/>
      <protection locked="0"/>
    </xf>
    <xf numFmtId="49" fontId="4" fillId="8" borderId="2" xfId="50" applyNumberFormat="1" applyFont="1" applyFill="1" applyBorder="1" applyAlignment="1" applyProtection="1">
      <alignment horizontal="center" vertical="center"/>
      <protection/>
    </xf>
    <xf numFmtId="49" fontId="7" fillId="8" borderId="2" xfId="50" applyNumberFormat="1" applyFont="1" applyFill="1" applyBorder="1" applyAlignment="1" applyProtection="1">
      <alignment horizontal="center" vertical="center"/>
      <protection/>
    </xf>
    <xf numFmtId="191" fontId="35" fillId="3" borderId="2" xfId="50" applyNumberFormat="1" applyFont="1" applyFill="1" applyBorder="1">
      <alignment/>
      <protection/>
    </xf>
    <xf numFmtId="49" fontId="7" fillId="8" borderId="27" xfId="50" applyNumberFormat="1" applyFont="1" applyFill="1" applyBorder="1" applyAlignment="1" applyProtection="1">
      <alignment horizontal="center" vertical="center"/>
      <protection/>
    </xf>
    <xf numFmtId="173" fontId="29" fillId="8" borderId="27" xfId="50" applyFont="1" applyFill="1" applyBorder="1" applyAlignment="1" applyProtection="1">
      <alignment horizontal="left"/>
      <protection/>
    </xf>
    <xf numFmtId="173" fontId="4" fillId="8" borderId="27" xfId="50" applyFont="1" applyFill="1" applyBorder="1" applyAlignment="1" applyProtection="1">
      <alignment horizontal="center"/>
      <protection/>
    </xf>
    <xf numFmtId="173" fontId="7" fillId="8" borderId="27" xfId="50" applyFont="1" applyFill="1" applyBorder="1" applyProtection="1">
      <alignment/>
      <protection/>
    </xf>
    <xf numFmtId="173" fontId="36" fillId="8" borderId="27" xfId="50" applyFont="1" applyFill="1" applyBorder="1" applyAlignment="1" applyProtection="1">
      <alignment horizontal="center"/>
      <protection hidden="1"/>
    </xf>
    <xf numFmtId="173" fontId="33" fillId="8" borderId="27" xfId="50" applyFont="1" applyFill="1" applyBorder="1">
      <alignment/>
      <protection/>
    </xf>
    <xf numFmtId="173" fontId="0" fillId="8" borderId="27" xfId="50" applyFill="1" applyBorder="1">
      <alignment/>
      <protection/>
    </xf>
    <xf numFmtId="49" fontId="4" fillId="8" borderId="8" xfId="50" applyNumberFormat="1" applyFont="1" applyFill="1" applyBorder="1" applyAlignment="1" applyProtection="1">
      <alignment horizontal="center" vertical="center"/>
      <protection/>
    </xf>
    <xf numFmtId="49" fontId="7" fillId="8" borderId="8" xfId="50" applyNumberFormat="1" applyFont="1" applyFill="1" applyBorder="1" applyAlignment="1" applyProtection="1">
      <alignment horizontal="center" vertical="center"/>
      <protection/>
    </xf>
    <xf numFmtId="191" fontId="35" fillId="3" borderId="8" xfId="50" applyNumberFormat="1" applyFont="1" applyFill="1" applyBorder="1">
      <alignment/>
      <protection/>
    </xf>
    <xf numFmtId="173" fontId="29" fillId="8" borderId="17" xfId="50" applyFont="1" applyFill="1" applyBorder="1" applyAlignment="1" applyProtection="1">
      <alignment horizontal="left"/>
      <protection/>
    </xf>
    <xf numFmtId="49" fontId="7" fillId="8" borderId="17" xfId="50" applyNumberFormat="1" applyFont="1" applyFill="1" applyBorder="1" applyAlignment="1" applyProtection="1">
      <alignment horizontal="center" vertical="center"/>
      <protection/>
    </xf>
    <xf numFmtId="173" fontId="4" fillId="8" borderId="17" xfId="50" applyFont="1" applyFill="1" applyBorder="1" applyAlignment="1" applyProtection="1">
      <alignment horizontal="center"/>
      <protection/>
    </xf>
    <xf numFmtId="49" fontId="7" fillId="8" borderId="0" xfId="50" applyNumberFormat="1" applyFont="1" applyFill="1" applyBorder="1" applyAlignment="1" applyProtection="1">
      <alignment horizontal="center" vertical="center" wrapText="1"/>
      <protection/>
    </xf>
    <xf numFmtId="173" fontId="57" fillId="8" borderId="0" xfId="46" applyFill="1" applyBorder="1" applyAlignment="1" applyProtection="1">
      <alignment/>
      <protection/>
    </xf>
    <xf numFmtId="1" fontId="7" fillId="8" borderId="0" xfId="50" applyNumberFormat="1" applyFont="1" applyFill="1" applyBorder="1" applyAlignment="1" applyProtection="1">
      <alignment horizontal="center" vertical="center"/>
      <protection/>
    </xf>
    <xf numFmtId="1" fontId="29" fillId="8" borderId="0" xfId="50" applyNumberFormat="1" applyFont="1" applyFill="1" applyAlignment="1" applyProtection="1">
      <alignment horizontal="left"/>
      <protection/>
    </xf>
    <xf numFmtId="1" fontId="4" fillId="8" borderId="0" xfId="50" applyNumberFormat="1" applyFont="1" applyFill="1" applyBorder="1" applyAlignment="1" applyProtection="1">
      <alignment horizontal="center"/>
      <protection/>
    </xf>
    <xf numFmtId="1" fontId="7" fillId="8" borderId="0" xfId="50" applyNumberFormat="1" applyFont="1" applyFill="1" applyBorder="1" applyProtection="1">
      <alignment/>
      <protection/>
    </xf>
    <xf numFmtId="1" fontId="36" fillId="8" borderId="0" xfId="50" applyNumberFormat="1" applyFont="1" applyFill="1" applyAlignment="1" applyProtection="1">
      <alignment horizontal="center"/>
      <protection hidden="1"/>
    </xf>
    <xf numFmtId="1" fontId="33" fillId="8" borderId="0" xfId="50" applyNumberFormat="1" applyFont="1" applyFill="1">
      <alignment/>
      <protection/>
    </xf>
    <xf numFmtId="1" fontId="0" fillId="8" borderId="0" xfId="50" applyNumberFormat="1" applyFill="1">
      <alignment/>
      <protection/>
    </xf>
    <xf numFmtId="1" fontId="59" fillId="8" borderId="0" xfId="50" applyNumberFormat="1" applyFont="1" applyFill="1" applyProtection="1">
      <alignment/>
      <protection hidden="1"/>
    </xf>
    <xf numFmtId="1" fontId="59" fillId="0" borderId="0" xfId="50" applyNumberFormat="1" applyFont="1">
      <alignment/>
      <protection/>
    </xf>
    <xf numFmtId="1" fontId="0" fillId="8" borderId="0" xfId="50" applyNumberFormat="1" applyFont="1" applyFill="1" applyBorder="1" applyAlignment="1" applyProtection="1">
      <alignment horizontal="center" vertical="center"/>
      <protection hidden="1"/>
    </xf>
    <xf numFmtId="1" fontId="0" fillId="8" borderId="0" xfId="50" applyNumberFormat="1" applyFont="1" applyFill="1" applyAlignment="1" applyProtection="1">
      <alignment horizontal="left"/>
      <protection hidden="1"/>
    </xf>
    <xf numFmtId="1" fontId="0" fillId="8" borderId="0" xfId="50" applyNumberFormat="1" applyFont="1" applyFill="1" applyBorder="1" applyProtection="1">
      <alignment/>
      <protection hidden="1"/>
    </xf>
    <xf numFmtId="1" fontId="0" fillId="8" borderId="0" xfId="50" applyNumberFormat="1" applyFont="1" applyFill="1" applyProtection="1">
      <alignment/>
      <protection hidden="1"/>
    </xf>
    <xf numFmtId="173" fontId="15" fillId="8" borderId="0" xfId="50" applyFont="1" applyFill="1" applyAlignment="1" applyProtection="1">
      <alignment horizontal="left"/>
      <protection/>
    </xf>
    <xf numFmtId="49" fontId="0" fillId="8" borderId="27" xfId="50" applyNumberFormat="1" applyFill="1" applyBorder="1" applyAlignment="1">
      <alignment horizontal="center" vertical="center"/>
      <protection/>
    </xf>
    <xf numFmtId="49" fontId="2" fillId="8" borderId="27" xfId="50" applyNumberFormat="1" applyFont="1" applyFill="1" applyBorder="1" applyAlignment="1" applyProtection="1">
      <alignment horizontal="center" vertical="center"/>
      <protection/>
    </xf>
    <xf numFmtId="49" fontId="0" fillId="8" borderId="0" xfId="50" applyNumberFormat="1" applyFill="1" applyAlignment="1">
      <alignment horizontal="center" vertical="center"/>
      <protection/>
    </xf>
    <xf numFmtId="49" fontId="4" fillId="8" borderId="5" xfId="50" applyNumberFormat="1" applyFont="1" applyFill="1" applyBorder="1" applyAlignment="1" applyProtection="1">
      <alignment horizontal="center" vertical="center"/>
      <protection/>
    </xf>
    <xf numFmtId="49" fontId="7" fillId="8" borderId="5" xfId="50" applyNumberFormat="1" applyFont="1" applyFill="1" applyBorder="1" applyAlignment="1" applyProtection="1">
      <alignment horizontal="center" vertical="center"/>
      <protection/>
    </xf>
    <xf numFmtId="49" fontId="4" fillId="8" borderId="0" xfId="50" applyNumberFormat="1" applyFont="1" applyFill="1" applyBorder="1" applyAlignment="1" applyProtection="1">
      <alignment horizontal="center" vertical="center"/>
      <protection/>
    </xf>
    <xf numFmtId="173" fontId="0" fillId="8" borderId="0" xfId="50" applyFill="1" applyBorder="1">
      <alignment/>
      <protection/>
    </xf>
    <xf numFmtId="191" fontId="35" fillId="2" borderId="14" xfId="50" applyNumberFormat="1" applyFont="1" applyFill="1" applyBorder="1" applyProtection="1">
      <alignment/>
      <protection locked="0"/>
    </xf>
    <xf numFmtId="191" fontId="35" fillId="3" borderId="14" xfId="50" applyNumberFormat="1" applyFont="1" applyFill="1" applyBorder="1">
      <alignment/>
      <protection/>
    </xf>
    <xf numFmtId="191" fontId="35" fillId="2" borderId="11" xfId="50" applyNumberFormat="1" applyFont="1" applyFill="1" applyBorder="1" applyProtection="1">
      <alignment/>
      <protection locked="0"/>
    </xf>
    <xf numFmtId="2" fontId="35" fillId="2" borderId="11" xfId="50" applyNumberFormat="1" applyFont="1" applyFill="1" applyBorder="1" applyAlignment="1" applyProtection="1">
      <alignment vertical="center"/>
      <protection locked="0"/>
    </xf>
    <xf numFmtId="173" fontId="4" fillId="8" borderId="28" xfId="50" applyFont="1" applyFill="1" applyBorder="1" applyAlignment="1" applyProtection="1">
      <alignment horizontal="center" vertical="center" wrapText="1"/>
      <protection/>
    </xf>
    <xf numFmtId="49" fontId="7" fillId="8" borderId="29" xfId="50" applyNumberFormat="1" applyFont="1" applyFill="1" applyBorder="1" applyAlignment="1" applyProtection="1">
      <alignment horizontal="center" vertical="center"/>
      <protection/>
    </xf>
    <xf numFmtId="49" fontId="7" fillId="8" borderId="30" xfId="50" applyNumberFormat="1" applyFont="1" applyFill="1" applyBorder="1" applyAlignment="1" applyProtection="1">
      <alignment horizontal="center" vertical="center"/>
      <protection/>
    </xf>
    <xf numFmtId="49" fontId="4" fillId="8" borderId="31" xfId="50" applyNumberFormat="1" applyFont="1" applyFill="1" applyBorder="1" applyAlignment="1" applyProtection="1">
      <alignment horizontal="center" vertical="center"/>
      <protection/>
    </xf>
    <xf numFmtId="49" fontId="4" fillId="8" borderId="32" xfId="50" applyNumberFormat="1" applyFont="1" applyFill="1" applyBorder="1" applyAlignment="1" applyProtection="1">
      <alignment horizontal="center" vertical="center"/>
      <protection/>
    </xf>
    <xf numFmtId="173" fontId="4" fillId="8" borderId="0" xfId="50" applyFont="1" applyFill="1" applyAlignment="1" applyProtection="1">
      <alignment horizontal="left"/>
      <protection/>
    </xf>
    <xf numFmtId="191" fontId="4" fillId="2" borderId="8" xfId="50" applyNumberFormat="1" applyFont="1" applyFill="1" applyBorder="1" applyAlignment="1" applyProtection="1">
      <alignment horizontal="right" vertical="center"/>
      <protection locked="0"/>
    </xf>
    <xf numFmtId="191" fontId="4" fillId="2" borderId="9" xfId="50" applyNumberFormat="1" applyFont="1" applyFill="1" applyBorder="1" applyAlignment="1" applyProtection="1">
      <alignment horizontal="right" vertical="center"/>
      <protection locked="0"/>
    </xf>
    <xf numFmtId="191" fontId="4" fillId="2" borderId="14" xfId="50" applyNumberFormat="1" applyFont="1" applyFill="1" applyBorder="1" applyAlignment="1" applyProtection="1">
      <alignment horizontal="right" vertical="center"/>
      <protection locked="0"/>
    </xf>
    <xf numFmtId="191" fontId="35" fillId="3" borderId="8" xfId="50" applyNumberFormat="1" applyFont="1" applyFill="1" applyBorder="1" applyAlignment="1">
      <alignment vertical="center"/>
      <protection/>
    </xf>
    <xf numFmtId="191" fontId="35" fillId="8" borderId="5" xfId="50" applyNumberFormat="1" applyFont="1" applyFill="1" applyBorder="1" applyProtection="1">
      <alignment/>
      <protection/>
    </xf>
    <xf numFmtId="173" fontId="4" fillId="8" borderId="0" xfId="50" applyFont="1" applyFill="1" applyProtection="1">
      <alignment/>
      <protection/>
    </xf>
    <xf numFmtId="191" fontId="4" fillId="2" borderId="7" xfId="50" applyNumberFormat="1" applyFont="1" applyFill="1" applyBorder="1" applyAlignment="1" applyProtection="1">
      <alignment horizontal="right" vertical="center"/>
      <protection locked="0"/>
    </xf>
    <xf numFmtId="173" fontId="4" fillId="8" borderId="0" xfId="50" applyFont="1" applyFill="1" applyBorder="1" applyAlignment="1" applyProtection="1">
      <alignment horizontal="center" vertical="center" wrapText="1"/>
      <protection/>
    </xf>
    <xf numFmtId="191" fontId="35" fillId="8" borderId="0" xfId="50" applyNumberFormat="1" applyFont="1" applyFill="1" applyBorder="1" applyProtection="1">
      <alignment/>
      <protection/>
    </xf>
    <xf numFmtId="49" fontId="4" fillId="8" borderId="0" xfId="50" applyNumberFormat="1" applyFont="1" applyFill="1" applyBorder="1" applyAlignment="1" applyProtection="1">
      <alignment horizontal="left" vertical="center"/>
      <protection/>
    </xf>
    <xf numFmtId="49" fontId="7" fillId="8" borderId="0" xfId="50" applyNumberFormat="1" applyFont="1" applyFill="1" applyBorder="1" applyAlignment="1" applyProtection="1">
      <alignment horizontal="left" vertical="center"/>
      <protection/>
    </xf>
    <xf numFmtId="49" fontId="7" fillId="8" borderId="8" xfId="50" applyNumberFormat="1" applyFont="1" applyFill="1" applyBorder="1" applyAlignment="1" applyProtection="1">
      <alignment horizontal="left" vertical="center"/>
      <protection/>
    </xf>
    <xf numFmtId="191" fontId="35" fillId="3" borderId="8" xfId="50" applyNumberFormat="1" applyFont="1" applyFill="1" applyBorder="1" applyProtection="1">
      <alignment/>
      <protection/>
    </xf>
    <xf numFmtId="191" fontId="35" fillId="8" borderId="0" xfId="50" applyNumberFormat="1" applyFont="1" applyFill="1" applyBorder="1" applyProtection="1" quotePrefix="1">
      <alignment/>
      <protection/>
    </xf>
    <xf numFmtId="191" fontId="35" fillId="3" borderId="33" xfId="50" applyNumberFormat="1" applyFont="1" applyFill="1" applyBorder="1" applyProtection="1">
      <alignment/>
      <protection/>
    </xf>
    <xf numFmtId="9" fontId="4" fillId="2" borderId="7" xfId="50" applyNumberFormat="1" applyFont="1" applyFill="1" applyBorder="1" applyAlignment="1" applyProtection="1">
      <alignment horizontal="right" vertical="center"/>
      <protection locked="0"/>
    </xf>
    <xf numFmtId="9" fontId="35" fillId="3" borderId="0" xfId="50" applyNumberFormat="1" applyFont="1" applyFill="1" applyAlignment="1">
      <alignment vertical="center"/>
      <protection/>
    </xf>
    <xf numFmtId="191" fontId="35" fillId="8" borderId="0" xfId="50" applyNumberFormat="1" applyFont="1" applyFill="1" applyBorder="1" applyAlignment="1" applyProtection="1" quotePrefix="1">
      <alignment horizontal="center"/>
      <protection/>
    </xf>
    <xf numFmtId="49" fontId="7" fillId="8" borderId="0" xfId="50" applyNumberFormat="1" applyFont="1" applyFill="1" applyBorder="1" applyAlignment="1" applyProtection="1">
      <alignment horizontal="right" vertical="center"/>
      <protection/>
    </xf>
    <xf numFmtId="2" fontId="35" fillId="8" borderId="0" xfId="50" applyNumberFormat="1" applyFont="1" applyFill="1" applyBorder="1" applyAlignment="1" applyProtection="1">
      <alignment vertical="center"/>
      <protection/>
    </xf>
    <xf numFmtId="173" fontId="2" fillId="8" borderId="0" xfId="50" applyFont="1" applyFill="1" applyAlignment="1" applyProtection="1">
      <alignment horizontal="center"/>
      <protection/>
    </xf>
    <xf numFmtId="173" fontId="4" fillId="8" borderId="0" xfId="50" applyFont="1" applyFill="1" applyBorder="1" applyAlignment="1" applyProtection="1">
      <alignment horizontal="right" vertical="center" wrapText="1"/>
      <protection/>
    </xf>
    <xf numFmtId="173" fontId="2" fillId="8" borderId="0" xfId="50" applyFont="1" applyFill="1" applyAlignment="1" applyProtection="1">
      <alignment horizontal="right"/>
      <protection/>
    </xf>
    <xf numFmtId="173" fontId="7" fillId="8" borderId="0" xfId="50" applyFont="1" applyFill="1" applyAlignment="1" applyProtection="1">
      <alignment horizontal="left"/>
      <protection/>
    </xf>
    <xf numFmtId="191" fontId="4" fillId="2" borderId="7" xfId="50" applyNumberFormat="1" applyFont="1" applyFill="1" applyBorder="1" applyAlignment="1" applyProtection="1">
      <alignment horizontal="left" vertical="center"/>
      <protection locked="0"/>
    </xf>
    <xf numFmtId="1" fontId="0" fillId="8" borderId="0" xfId="0" applyNumberFormat="1" applyFill="1" applyAlignment="1">
      <alignment horizontal="center"/>
    </xf>
    <xf numFmtId="191" fontId="35" fillId="8" borderId="5" xfId="50" applyNumberFormat="1" applyFont="1" applyFill="1" applyBorder="1">
      <alignment/>
      <protection/>
    </xf>
    <xf numFmtId="191" fontId="35" fillId="8" borderId="0" xfId="50" applyNumberFormat="1" applyFont="1" applyFill="1" applyBorder="1">
      <alignment/>
      <protection/>
    </xf>
    <xf numFmtId="1" fontId="4" fillId="2" borderId="7" xfId="50" applyNumberFormat="1" applyFont="1" applyFill="1" applyBorder="1" applyAlignment="1" applyProtection="1">
      <alignment horizontal="right" vertical="center"/>
      <protection locked="0"/>
    </xf>
    <xf numFmtId="191" fontId="35" fillId="8" borderId="11" xfId="50" applyNumberFormat="1" applyFont="1" applyFill="1" applyBorder="1" applyProtection="1">
      <alignment/>
      <protection/>
    </xf>
    <xf numFmtId="173" fontId="26" fillId="8" borderId="0" xfId="50" applyFont="1" applyFill="1" applyAlignment="1" applyProtection="1">
      <alignment horizontal="left"/>
      <protection/>
    </xf>
    <xf numFmtId="173" fontId="0" fillId="2" borderId="0" xfId="0" applyAlignment="1">
      <alignment horizontal="left"/>
    </xf>
    <xf numFmtId="173" fontId="60" fillId="8" borderId="0" xfId="0" applyFont="1" applyFill="1" applyAlignment="1" applyProtection="1">
      <alignment horizontal="left"/>
      <protection/>
    </xf>
    <xf numFmtId="191" fontId="35" fillId="8" borderId="14" xfId="50" applyNumberFormat="1" applyFont="1" applyFill="1" applyBorder="1" applyProtection="1">
      <alignment/>
      <protection/>
    </xf>
    <xf numFmtId="173" fontId="0" fillId="0" borderId="0" xfId="50" applyFont="1">
      <alignment/>
      <protection/>
    </xf>
    <xf numFmtId="191" fontId="2" fillId="3" borderId="8" xfId="57" applyNumberFormat="1" applyBorder="1" applyProtection="1">
      <alignment/>
      <protection/>
    </xf>
    <xf numFmtId="191" fontId="35" fillId="2" borderId="12" xfId="50" applyNumberFormat="1" applyFont="1" applyFill="1" applyBorder="1" applyAlignment="1" applyProtection="1">
      <alignment horizontal="left" wrapText="1"/>
      <protection locked="0"/>
    </xf>
    <xf numFmtId="191" fontId="35" fillId="8" borderId="11" xfId="50" applyNumberFormat="1" applyFont="1" applyFill="1" applyBorder="1" applyAlignment="1" applyProtection="1">
      <alignment horizontal="left"/>
      <protection/>
    </xf>
    <xf numFmtId="173" fontId="43" fillId="8" borderId="2" xfId="0" applyFont="1" applyFill="1" applyBorder="1" applyAlignment="1">
      <alignment horizontal="center" wrapText="1"/>
    </xf>
    <xf numFmtId="173" fontId="43" fillId="8" borderId="12" xfId="0" applyFont="1" applyFill="1" applyBorder="1" applyAlignment="1">
      <alignment horizontal="center" wrapText="1"/>
    </xf>
    <xf numFmtId="173" fontId="35" fillId="8" borderId="0" xfId="0" applyFont="1" applyFill="1" applyAlignment="1">
      <alignment horizontal="center"/>
    </xf>
    <xf numFmtId="173" fontId="0" fillId="8" borderId="16" xfId="0" applyFill="1" applyBorder="1" applyAlignment="1">
      <alignment/>
    </xf>
    <xf numFmtId="173" fontId="0" fillId="8" borderId="8" xfId="0" applyFill="1" applyBorder="1" applyAlignment="1">
      <alignment horizontal="center"/>
    </xf>
    <xf numFmtId="173" fontId="0" fillId="8" borderId="2" xfId="0" applyFill="1" applyBorder="1" applyAlignment="1">
      <alignment horizontal="center"/>
    </xf>
    <xf numFmtId="173" fontId="43" fillId="8" borderId="2" xfId="0" applyFont="1" applyFill="1" applyBorder="1" applyAlignment="1">
      <alignment horizontal="center" vertical="top" wrapText="1"/>
    </xf>
    <xf numFmtId="173" fontId="34" fillId="8" borderId="8" xfId="0" applyFont="1" applyFill="1" applyBorder="1" applyAlignment="1">
      <alignment horizontal="center"/>
    </xf>
    <xf numFmtId="173" fontId="43" fillId="8" borderId="16" xfId="0" applyFont="1" applyFill="1" applyBorder="1" applyAlignment="1">
      <alignment horizontal="center" wrapText="1"/>
    </xf>
    <xf numFmtId="191" fontId="2" fillId="3" borderId="15" xfId="0" applyNumberFormat="1" applyFont="1" applyFill="1" applyBorder="1" applyAlignment="1" applyProtection="1">
      <alignment horizontal="center"/>
      <protection/>
    </xf>
    <xf numFmtId="191" fontId="2" fillId="3" borderId="8" xfId="0" applyNumberFormat="1" applyFont="1" applyFill="1" applyBorder="1" applyAlignment="1" applyProtection="1">
      <alignment/>
      <protection/>
    </xf>
    <xf numFmtId="191" fontId="2" fillId="3" borderId="2" xfId="0" applyNumberFormat="1" applyFont="1" applyFill="1" applyBorder="1" applyAlignment="1" applyProtection="1">
      <alignment/>
      <protection/>
    </xf>
    <xf numFmtId="191" fontId="2" fillId="3" borderId="1" xfId="0" applyNumberFormat="1" applyFont="1" applyFill="1" applyBorder="1" applyAlignment="1" applyProtection="1">
      <alignment/>
      <protection/>
    </xf>
    <xf numFmtId="191" fontId="2" fillId="3" borderId="2" xfId="57" applyNumberFormat="1" applyBorder="1" applyProtection="1">
      <alignment/>
      <protection/>
    </xf>
    <xf numFmtId="191" fontId="2" fillId="3" borderId="1" xfId="0" applyNumberFormat="1" applyFont="1" applyFill="1" applyBorder="1" applyAlignment="1" applyProtection="1">
      <alignment horizontal="center"/>
      <protection/>
    </xf>
    <xf numFmtId="173" fontId="61" fillId="8" borderId="0" xfId="50" applyFont="1" applyFill="1" applyAlignment="1" applyProtection="1">
      <alignment horizontal="center"/>
      <protection/>
    </xf>
    <xf numFmtId="191" fontId="4" fillId="8" borderId="7" xfId="50" applyNumberFormat="1" applyFont="1" applyFill="1" applyBorder="1" applyAlignment="1" applyProtection="1">
      <alignment horizontal="right" vertical="center"/>
      <protection/>
    </xf>
    <xf numFmtId="173" fontId="4" fillId="0" borderId="0" xfId="50" applyFont="1" applyFill="1" applyAlignment="1" applyProtection="1">
      <alignment horizontal="center"/>
      <protection/>
    </xf>
    <xf numFmtId="173" fontId="0" fillId="0" borderId="0" xfId="50" applyFill="1">
      <alignment/>
      <protection/>
    </xf>
    <xf numFmtId="173" fontId="61" fillId="8" borderId="0" xfId="50" applyFont="1" applyFill="1" applyAlignment="1" applyProtection="1">
      <alignment horizontal="left"/>
      <protection/>
    </xf>
    <xf numFmtId="191" fontId="4" fillId="8" borderId="0" xfId="50" applyNumberFormat="1" applyFont="1" applyFill="1" applyBorder="1" applyAlignment="1" applyProtection="1">
      <alignment horizontal="right" vertical="center"/>
      <protection/>
    </xf>
    <xf numFmtId="49" fontId="7" fillId="8" borderId="2" xfId="50" applyNumberFormat="1" applyFont="1" applyFill="1" applyBorder="1" applyAlignment="1" applyProtection="1">
      <alignment horizontal="right" vertical="center"/>
      <protection/>
    </xf>
    <xf numFmtId="191" fontId="7" fillId="3" borderId="8" xfId="57" applyNumberFormat="1" applyFont="1" applyBorder="1" applyProtection="1">
      <alignment/>
      <protection/>
    </xf>
    <xf numFmtId="173" fontId="43" fillId="8" borderId="2" xfId="0" applyFont="1" applyFill="1" applyBorder="1" applyAlignment="1">
      <alignment horizontal="left" vertical="top" wrapText="1"/>
    </xf>
    <xf numFmtId="173" fontId="43" fillId="8" borderId="16" xfId="0" applyFont="1" applyFill="1" applyBorder="1" applyAlignment="1">
      <alignment horizontal="left" vertical="top" wrapText="1"/>
    </xf>
    <xf numFmtId="173" fontId="35" fillId="8" borderId="0" xfId="0" applyFont="1" applyFill="1" applyAlignment="1">
      <alignment horizontal="left" vertical="center"/>
    </xf>
    <xf numFmtId="0" fontId="64" fillId="8" borderId="0" xfId="53" applyFont="1" applyFill="1" applyProtection="1" quotePrefix="1">
      <alignment/>
      <protection/>
    </xf>
    <xf numFmtId="0" fontId="3" fillId="8" borderId="0" xfId="53" applyFont="1" applyFill="1" applyProtection="1">
      <alignment/>
      <protection/>
    </xf>
    <xf numFmtId="0" fontId="64" fillId="8" borderId="0" xfId="53" applyFont="1" applyFill="1" applyProtection="1">
      <alignment/>
      <protection/>
    </xf>
    <xf numFmtId="0" fontId="1" fillId="8" borderId="0" xfId="53" applyFill="1">
      <alignment/>
      <protection/>
    </xf>
    <xf numFmtId="0" fontId="1" fillId="0" borderId="0" xfId="53">
      <alignment/>
      <protection/>
    </xf>
    <xf numFmtId="0" fontId="6" fillId="8" borderId="0" xfId="53" applyFont="1" applyFill="1" applyAlignment="1" applyProtection="1">
      <alignment horizontal="right"/>
      <protection/>
    </xf>
    <xf numFmtId="0" fontId="65" fillId="8" borderId="0" xfId="53" applyFont="1" applyFill="1" applyAlignment="1" applyProtection="1">
      <alignment horizontal="center"/>
      <protection/>
    </xf>
    <xf numFmtId="0" fontId="65" fillId="8" borderId="0" xfId="53" applyFont="1" applyFill="1" applyProtection="1">
      <alignment/>
      <protection/>
    </xf>
    <xf numFmtId="0" fontId="1" fillId="8" borderId="4" xfId="53" applyFill="1" applyBorder="1">
      <alignment/>
      <protection/>
    </xf>
    <xf numFmtId="0" fontId="65" fillId="8" borderId="5" xfId="53" applyFont="1" applyFill="1" applyBorder="1" applyAlignment="1" applyProtection="1">
      <alignment horizontal="center"/>
      <protection/>
    </xf>
    <xf numFmtId="0" fontId="64" fillId="8" borderId="5" xfId="53" applyFont="1" applyFill="1" applyBorder="1" applyProtection="1">
      <alignment/>
      <protection/>
    </xf>
    <xf numFmtId="0" fontId="64" fillId="8" borderId="6" xfId="53" applyFont="1" applyFill="1" applyBorder="1" applyProtection="1">
      <alignment/>
      <protection/>
    </xf>
    <xf numFmtId="0" fontId="64" fillId="8" borderId="0" xfId="53" applyFont="1" applyFill="1" applyBorder="1" applyProtection="1">
      <alignment/>
      <protection/>
    </xf>
    <xf numFmtId="0" fontId="1" fillId="8" borderId="3" xfId="53" applyFill="1" applyBorder="1">
      <alignment/>
      <protection/>
    </xf>
    <xf numFmtId="0" fontId="65" fillId="8" borderId="0" xfId="53" applyFont="1" applyFill="1" applyBorder="1" applyAlignment="1" applyProtection="1">
      <alignment horizontal="center"/>
      <protection/>
    </xf>
    <xf numFmtId="0" fontId="64" fillId="8" borderId="7" xfId="53" applyFont="1" applyFill="1" applyBorder="1" applyProtection="1">
      <alignment/>
      <protection/>
    </xf>
    <xf numFmtId="0" fontId="66" fillId="8" borderId="0" xfId="53" applyFont="1" applyFill="1" applyBorder="1" applyProtection="1">
      <alignment/>
      <protection/>
    </xf>
    <xf numFmtId="0" fontId="66" fillId="8" borderId="3" xfId="53" applyFont="1" applyFill="1" applyBorder="1" applyProtection="1">
      <alignment/>
      <protection/>
    </xf>
    <xf numFmtId="0" fontId="64" fillId="8" borderId="0" xfId="53" applyFont="1" applyFill="1" applyBorder="1" applyAlignment="1" applyProtection="1">
      <alignment horizontal="right"/>
      <protection/>
    </xf>
    <xf numFmtId="0" fontId="64" fillId="8" borderId="7" xfId="53" applyFont="1" applyFill="1" applyBorder="1" applyAlignment="1" applyProtection="1">
      <alignment horizontal="center"/>
      <protection/>
    </xf>
    <xf numFmtId="0" fontId="1" fillId="8" borderId="0" xfId="53" applyFill="1" applyBorder="1">
      <alignment/>
      <protection/>
    </xf>
    <xf numFmtId="0" fontId="65" fillId="8" borderId="0" xfId="53" applyFont="1" applyFill="1" applyBorder="1" applyAlignment="1" applyProtection="1">
      <alignment horizontal="right"/>
      <protection/>
    </xf>
    <xf numFmtId="0" fontId="65" fillId="8" borderId="0" xfId="53" applyFont="1" applyFill="1" applyBorder="1" applyProtection="1">
      <alignment/>
      <protection/>
    </xf>
    <xf numFmtId="0" fontId="64" fillId="8" borderId="0" xfId="53" applyFont="1" applyFill="1" applyBorder="1" applyAlignment="1" applyProtection="1" quotePrefix="1">
      <alignment horizontal="right"/>
      <protection/>
    </xf>
    <xf numFmtId="0" fontId="66" fillId="8" borderId="6" xfId="53" applyFont="1" applyFill="1" applyBorder="1" applyAlignment="1" applyProtection="1">
      <alignment horizontal="center"/>
      <protection/>
    </xf>
    <xf numFmtId="0" fontId="1" fillId="8" borderId="9" xfId="53" applyFill="1" applyBorder="1">
      <alignment/>
      <protection/>
    </xf>
    <xf numFmtId="0" fontId="66" fillId="8" borderId="10" xfId="53" applyFont="1" applyFill="1" applyBorder="1" applyAlignment="1" applyProtection="1">
      <alignment horizontal="center"/>
      <protection/>
    </xf>
    <xf numFmtId="0" fontId="66" fillId="8" borderId="9" xfId="53" applyFont="1" applyFill="1" applyBorder="1" applyAlignment="1" applyProtection="1">
      <alignment horizontal="center"/>
      <protection/>
    </xf>
    <xf numFmtId="0" fontId="1" fillId="8" borderId="16" xfId="53" applyFill="1" applyBorder="1">
      <alignment/>
      <protection/>
    </xf>
    <xf numFmtId="0" fontId="64" fillId="8" borderId="12" xfId="53" applyFont="1" applyFill="1" applyBorder="1" applyAlignment="1" applyProtection="1" quotePrefix="1">
      <alignment horizontal="center"/>
      <protection/>
    </xf>
    <xf numFmtId="8" fontId="64" fillId="8" borderId="16" xfId="53" applyNumberFormat="1" applyFont="1" applyFill="1" applyBorder="1" applyAlignment="1" applyProtection="1">
      <alignment horizontal="center"/>
      <protection/>
    </xf>
    <xf numFmtId="0" fontId="64" fillId="8" borderId="12" xfId="53" applyFont="1" applyFill="1" applyBorder="1" applyProtection="1">
      <alignment/>
      <protection/>
    </xf>
    <xf numFmtId="0" fontId="64" fillId="8" borderId="0" xfId="53" applyFont="1" applyFill="1" applyBorder="1" applyAlignment="1" applyProtection="1">
      <alignment/>
      <protection/>
    </xf>
    <xf numFmtId="0" fontId="64" fillId="8" borderId="8" xfId="53" applyFont="1" applyFill="1" applyBorder="1" applyProtection="1">
      <alignment/>
      <protection/>
    </xf>
    <xf numFmtId="0" fontId="65" fillId="8" borderId="8" xfId="53" applyFont="1" applyFill="1" applyBorder="1" applyAlignment="1" applyProtection="1">
      <alignment horizontal="center"/>
      <protection/>
    </xf>
    <xf numFmtId="0" fontId="64" fillId="8" borderId="8" xfId="53" applyFont="1" applyFill="1" applyBorder="1" applyAlignment="1" applyProtection="1">
      <alignment horizontal="right"/>
      <protection/>
    </xf>
    <xf numFmtId="0" fontId="1" fillId="8" borderId="5" xfId="53" applyFill="1" applyBorder="1">
      <alignment/>
      <protection/>
    </xf>
    <xf numFmtId="0" fontId="1" fillId="8" borderId="0" xfId="53" applyFill="1" applyAlignment="1">
      <alignment/>
      <protection/>
    </xf>
    <xf numFmtId="0" fontId="64" fillId="8" borderId="24" xfId="53" applyFont="1" applyFill="1" applyBorder="1" applyProtection="1">
      <alignment/>
      <protection/>
    </xf>
    <xf numFmtId="0" fontId="64" fillId="8" borderId="23" xfId="53" applyFont="1" applyFill="1" applyBorder="1" applyProtection="1">
      <alignment/>
      <protection/>
    </xf>
    <xf numFmtId="0" fontId="64" fillId="8" borderId="24" xfId="53" applyFont="1" applyFill="1" applyBorder="1" applyAlignment="1" applyProtection="1">
      <alignment horizontal="right"/>
      <protection/>
    </xf>
    <xf numFmtId="0" fontId="67" fillId="8" borderId="0" xfId="53" applyFont="1" applyFill="1" applyBorder="1" applyAlignment="1" applyProtection="1">
      <alignment horizontal="right"/>
      <protection/>
    </xf>
    <xf numFmtId="0" fontId="65" fillId="8" borderId="8" xfId="53" applyFont="1" applyFill="1" applyBorder="1" applyProtection="1">
      <alignment/>
      <protection/>
    </xf>
    <xf numFmtId="0" fontId="64" fillId="8" borderId="8" xfId="53" applyFont="1" applyFill="1" applyBorder="1" applyAlignment="1" applyProtection="1">
      <alignment/>
      <protection/>
    </xf>
    <xf numFmtId="0" fontId="64" fillId="8" borderId="10" xfId="53" applyFont="1" applyFill="1" applyBorder="1" applyProtection="1">
      <alignment/>
      <protection/>
    </xf>
    <xf numFmtId="0" fontId="65" fillId="8" borderId="5" xfId="53" applyFont="1" applyFill="1" applyBorder="1" applyProtection="1">
      <alignment/>
      <protection/>
    </xf>
    <xf numFmtId="0" fontId="64" fillId="8" borderId="5" xfId="53" applyFont="1" applyFill="1" applyBorder="1" applyAlignment="1" applyProtection="1">
      <alignment/>
      <protection/>
    </xf>
    <xf numFmtId="0" fontId="66" fillId="8" borderId="7" xfId="53" applyFont="1" applyFill="1" applyBorder="1" applyAlignment="1" applyProtection="1">
      <alignment horizontal="center"/>
      <protection/>
    </xf>
    <xf numFmtId="0" fontId="66" fillId="8" borderId="3" xfId="53" applyFont="1" applyFill="1" applyBorder="1" applyAlignment="1" applyProtection="1">
      <alignment horizontal="center"/>
      <protection/>
    </xf>
    <xf numFmtId="0" fontId="67" fillId="8" borderId="4" xfId="53" applyFont="1" applyFill="1" applyBorder="1" applyAlignment="1" applyProtection="1">
      <alignment horizontal="center"/>
      <protection/>
    </xf>
    <xf numFmtId="0" fontId="64" fillId="8" borderId="0" xfId="53" applyFont="1" applyFill="1" applyBorder="1" applyProtection="1" quotePrefix="1">
      <alignment/>
      <protection/>
    </xf>
    <xf numFmtId="173" fontId="2" fillId="7" borderId="2" xfId="0" applyFont="1" applyFill="1" applyBorder="1" applyAlignment="1" applyProtection="1">
      <alignment/>
      <protection/>
    </xf>
    <xf numFmtId="2" fontId="64" fillId="3" borderId="8" xfId="53" applyNumberFormat="1" applyFont="1" applyFill="1" applyBorder="1" applyAlignment="1" applyProtection="1" quotePrefix="1">
      <alignment horizontal="right"/>
      <protection/>
    </xf>
    <xf numFmtId="173" fontId="10" fillId="8" borderId="2" xfId="0" applyFont="1" applyFill="1" applyBorder="1" applyAlignment="1" applyProtection="1">
      <alignment horizontal="right"/>
      <protection/>
    </xf>
    <xf numFmtId="0" fontId="68" fillId="8" borderId="0" xfId="53" applyFont="1" applyFill="1" applyBorder="1" applyProtection="1">
      <alignment/>
      <protection/>
    </xf>
    <xf numFmtId="49" fontId="7" fillId="8" borderId="30" xfId="50" applyNumberFormat="1" applyFont="1" applyFill="1" applyBorder="1" applyAlignment="1" applyProtection="1">
      <alignment horizontal="left" vertical="center"/>
      <protection/>
    </xf>
    <xf numFmtId="173" fontId="0" fillId="2" borderId="2" xfId="0" applyFill="1" applyBorder="1" applyAlignment="1" applyProtection="1">
      <alignment horizontal="center"/>
      <protection hidden="1"/>
    </xf>
    <xf numFmtId="173" fontId="0" fillId="8" borderId="0" xfId="0" applyFill="1" applyBorder="1" applyAlignment="1" applyProtection="1">
      <alignment/>
      <protection hidden="1"/>
    </xf>
    <xf numFmtId="173" fontId="0" fillId="8" borderId="7" xfId="0" applyFill="1" applyBorder="1" applyAlignment="1">
      <alignment/>
    </xf>
    <xf numFmtId="173" fontId="43" fillId="8" borderId="3" xfId="0" applyFont="1" applyFill="1" applyBorder="1" applyAlignment="1" applyProtection="1">
      <alignment horizontal="left" vertical="top"/>
      <protection hidden="1"/>
    </xf>
    <xf numFmtId="173" fontId="0" fillId="8" borderId="8" xfId="0" applyFill="1" applyBorder="1" applyAlignment="1" applyProtection="1">
      <alignment vertical="center"/>
      <protection hidden="1"/>
    </xf>
    <xf numFmtId="173" fontId="0" fillId="8" borderId="8" xfId="0" applyFill="1" applyBorder="1" applyAlignment="1" applyProtection="1">
      <alignment/>
      <protection hidden="1"/>
    </xf>
    <xf numFmtId="173" fontId="0" fillId="8" borderId="6" xfId="0" applyFill="1" applyBorder="1" applyAlignment="1">
      <alignment/>
    </xf>
    <xf numFmtId="173" fontId="0" fillId="8" borderId="0" xfId="0" applyFill="1" applyAlignment="1">
      <alignment horizontal="left"/>
    </xf>
    <xf numFmtId="173" fontId="34" fillId="8" borderId="0" xfId="0" applyFont="1" applyFill="1" applyAlignment="1">
      <alignment horizontal="right"/>
    </xf>
    <xf numFmtId="173" fontId="0" fillId="8" borderId="5" xfId="0" applyFill="1" applyBorder="1" applyAlignment="1" applyProtection="1">
      <alignment/>
      <protection hidden="1"/>
    </xf>
    <xf numFmtId="173" fontId="43" fillId="8" borderId="4" xfId="0" applyFont="1" applyFill="1" applyBorder="1" applyAlignment="1" applyProtection="1">
      <alignment horizontal="left"/>
      <protection hidden="1"/>
    </xf>
    <xf numFmtId="173" fontId="0" fillId="2" borderId="2" xfId="0" applyFill="1" applyBorder="1" applyAlignment="1" applyProtection="1">
      <alignment/>
      <protection hidden="1"/>
    </xf>
    <xf numFmtId="173" fontId="0" fillId="8" borderId="5" xfId="0" applyFill="1" applyBorder="1" applyAlignment="1" applyProtection="1">
      <alignment horizontal="center"/>
      <protection hidden="1"/>
    </xf>
    <xf numFmtId="173" fontId="0" fillId="8" borderId="0" xfId="0" applyFill="1" applyBorder="1" applyAlignment="1" applyProtection="1">
      <alignment horizontal="center"/>
      <protection hidden="1"/>
    </xf>
    <xf numFmtId="173" fontId="0" fillId="2" borderId="3" xfId="0" applyFill="1" applyBorder="1" applyAlignment="1">
      <alignment/>
    </xf>
    <xf numFmtId="173" fontId="0" fillId="2" borderId="0" xfId="0" applyFill="1" applyBorder="1" applyAlignment="1">
      <alignment/>
    </xf>
    <xf numFmtId="191" fontId="2" fillId="3" borderId="8" xfId="57" applyNumberFormat="1" applyFont="1" applyBorder="1" applyProtection="1">
      <alignment/>
      <protection/>
    </xf>
    <xf numFmtId="0" fontId="29" fillId="2" borderId="11" xfId="52" applyFont="1" applyFill="1" applyBorder="1" applyProtection="1">
      <alignment/>
      <protection locked="0"/>
    </xf>
    <xf numFmtId="173" fontId="16" fillId="2" borderId="0" xfId="0" applyNumberFormat="1" applyFont="1" applyFill="1" applyAlignment="1" applyProtection="1">
      <alignment horizontal="center"/>
      <protection locked="0"/>
    </xf>
    <xf numFmtId="173" fontId="11" fillId="13" borderId="0" xfId="0" applyFont="1" applyFill="1" applyAlignment="1" applyProtection="1">
      <alignment horizontal="center" vertical="center"/>
      <protection/>
    </xf>
    <xf numFmtId="173" fontId="16" fillId="13" borderId="0" xfId="0" applyFont="1" applyFill="1" applyAlignment="1" applyProtection="1">
      <alignment vertical="center"/>
      <protection/>
    </xf>
    <xf numFmtId="173" fontId="2" fillId="13" borderId="2" xfId="0" applyFont="1" applyFill="1" applyBorder="1" applyAlignment="1" applyProtection="1">
      <alignment horizontal="center"/>
      <protection/>
    </xf>
    <xf numFmtId="173" fontId="46" fillId="13" borderId="2" xfId="0" applyFont="1" applyFill="1" applyBorder="1" applyAlignment="1" applyProtection="1">
      <alignment horizontal="right"/>
      <protection/>
    </xf>
    <xf numFmtId="173" fontId="69" fillId="13" borderId="0" xfId="0" applyFont="1" applyFill="1" applyAlignment="1" applyProtection="1">
      <alignment horizontal="center" vertical="center"/>
      <protection/>
    </xf>
    <xf numFmtId="173" fontId="18" fillId="13" borderId="0" xfId="0" applyFont="1" applyFill="1" applyAlignment="1" applyProtection="1">
      <alignment horizontal="center" vertical="center"/>
      <protection/>
    </xf>
    <xf numFmtId="173" fontId="11" fillId="13" borderId="5" xfId="0" applyFont="1" applyFill="1" applyBorder="1" applyAlignment="1" applyProtection="1">
      <alignment horizontal="center" vertical="center"/>
      <protection/>
    </xf>
    <xf numFmtId="173" fontId="11" fillId="13" borderId="0" xfId="0" applyFont="1" applyFill="1" applyBorder="1" applyAlignment="1" applyProtection="1">
      <alignment horizontal="center" vertical="center"/>
      <protection/>
    </xf>
    <xf numFmtId="173" fontId="11" fillId="13" borderId="8" xfId="0" applyFont="1" applyFill="1" applyBorder="1" applyAlignment="1" applyProtection="1">
      <alignment horizontal="center" vertical="center"/>
      <protection/>
    </xf>
    <xf numFmtId="173" fontId="11" fillId="13" borderId="2" xfId="0" applyFont="1" applyFill="1" applyBorder="1" applyAlignment="1" applyProtection="1">
      <alignment horizontal="center" vertical="center"/>
      <protection/>
    </xf>
    <xf numFmtId="172" fontId="9" fillId="5" borderId="1" xfId="0" applyNumberFormat="1" applyFont="1" applyFill="1" applyBorder="1" applyAlignment="1" applyProtection="1">
      <alignment vertical="center"/>
      <protection/>
    </xf>
    <xf numFmtId="173" fontId="10" fillId="13" borderId="0" xfId="0" applyFont="1" applyFill="1" applyAlignment="1" applyProtection="1">
      <alignment/>
      <protection/>
    </xf>
    <xf numFmtId="173" fontId="2" fillId="13" borderId="8" xfId="0" applyFont="1" applyFill="1" applyBorder="1" applyAlignment="1" applyProtection="1">
      <alignment vertical="top" wrapText="1"/>
      <protection/>
    </xf>
    <xf numFmtId="9" fontId="2" fillId="3" borderId="2" xfId="57" applyNumberFormat="1" applyBorder="1" applyAlignment="1">
      <alignment vertical="center"/>
      <protection hidden="1"/>
    </xf>
    <xf numFmtId="173" fontId="2" fillId="13" borderId="0" xfId="0" applyFont="1" applyFill="1" applyAlignment="1" applyProtection="1">
      <alignment horizontal="left" vertical="center"/>
      <protection/>
    </xf>
    <xf numFmtId="173" fontId="18" fillId="13" borderId="0" xfId="0" applyFont="1" applyFill="1" applyAlignment="1" applyProtection="1">
      <alignment horizontal="center"/>
      <protection/>
    </xf>
    <xf numFmtId="173" fontId="5" fillId="13" borderId="0" xfId="0" applyFont="1" applyFill="1" applyBorder="1" applyAlignment="1" applyProtection="1">
      <alignment horizontal="center"/>
      <protection/>
    </xf>
    <xf numFmtId="173" fontId="46" fillId="13" borderId="0" xfId="0" applyFont="1" applyFill="1" applyBorder="1" applyAlignment="1" applyProtection="1">
      <alignment horizontal="center"/>
      <protection/>
    </xf>
    <xf numFmtId="172" fontId="9" fillId="5" borderId="0" xfId="0" applyNumberFormat="1" applyFont="1" applyFill="1" applyAlignment="1" applyProtection="1">
      <alignment horizontal="center"/>
      <protection/>
    </xf>
    <xf numFmtId="173" fontId="5" fillId="13" borderId="0" xfId="0" applyFont="1" applyFill="1" applyAlignment="1" applyProtection="1">
      <alignment horizontal="center"/>
      <protection/>
    </xf>
    <xf numFmtId="173" fontId="2" fillId="13" borderId="5" xfId="0" applyFont="1" applyFill="1" applyBorder="1" applyAlignment="1" applyProtection="1">
      <alignment horizontal="right"/>
      <protection/>
    </xf>
    <xf numFmtId="1" fontId="0" fillId="2" borderId="8" xfId="0" applyNumberFormat="1" applyBorder="1" applyAlignment="1" applyProtection="1">
      <alignment/>
      <protection locked="0"/>
    </xf>
    <xf numFmtId="9" fontId="2" fillId="3" borderId="2" xfId="57" applyNumberFormat="1" applyFont="1" applyBorder="1">
      <alignment/>
      <protection hidden="1"/>
    </xf>
    <xf numFmtId="173" fontId="11" fillId="13" borderId="0" xfId="0" applyFont="1" applyFill="1" applyAlignment="1" applyProtection="1">
      <alignment vertical="center"/>
      <protection/>
    </xf>
    <xf numFmtId="173" fontId="11" fillId="13" borderId="8" xfId="0" applyFont="1" applyFill="1" applyBorder="1" applyAlignment="1" applyProtection="1">
      <alignment vertical="center"/>
      <protection/>
    </xf>
    <xf numFmtId="172" fontId="3" fillId="13" borderId="0" xfId="0" applyNumberFormat="1" applyFont="1" applyFill="1" applyBorder="1" applyAlignment="1" applyProtection="1">
      <alignment horizontal="center" vertical="center"/>
      <protection/>
    </xf>
    <xf numFmtId="173" fontId="14" fillId="13" borderId="8" xfId="0" applyFont="1" applyFill="1" applyBorder="1" applyAlignment="1" applyProtection="1">
      <alignment vertical="center"/>
      <protection/>
    </xf>
    <xf numFmtId="173" fontId="2" fillId="13" borderId="8" xfId="0" applyFont="1" applyFill="1" applyBorder="1" applyAlignment="1" applyProtection="1">
      <alignment horizontal="center" vertical="center"/>
      <protection/>
    </xf>
    <xf numFmtId="191" fontId="0" fillId="2" borderId="8" xfId="0" applyNumberFormat="1" applyBorder="1" applyAlignment="1" applyProtection="1">
      <alignment vertical="center"/>
      <protection locked="0"/>
    </xf>
    <xf numFmtId="173" fontId="2" fillId="13" borderId="8" xfId="0" applyFont="1" applyFill="1" applyBorder="1" applyAlignment="1" applyProtection="1">
      <alignment horizontal="right" vertical="center"/>
      <protection/>
    </xf>
    <xf numFmtId="173" fontId="11" fillId="13" borderId="2" xfId="0" applyFont="1" applyFill="1" applyBorder="1" applyAlignment="1" applyProtection="1">
      <alignment vertical="center"/>
      <protection/>
    </xf>
    <xf numFmtId="173" fontId="3" fillId="13" borderId="8" xfId="0" applyFont="1" applyFill="1" applyBorder="1" applyAlignment="1" applyProtection="1">
      <alignment horizontal="right" vertical="center"/>
      <protection/>
    </xf>
    <xf numFmtId="173" fontId="46" fillId="13" borderId="0" xfId="0" applyFont="1" applyFill="1" applyAlignment="1" applyProtection="1">
      <alignment vertical="center"/>
      <protection/>
    </xf>
    <xf numFmtId="178" fontId="46" fillId="13" borderId="0" xfId="0" applyNumberFormat="1" applyFont="1" applyFill="1" applyAlignment="1" applyProtection="1">
      <alignment vertical="center"/>
      <protection/>
    </xf>
    <xf numFmtId="178" fontId="2" fillId="13" borderId="8" xfId="0" applyNumberFormat="1" applyFont="1" applyFill="1" applyBorder="1" applyAlignment="1" applyProtection="1">
      <alignment vertical="center"/>
      <protection/>
    </xf>
    <xf numFmtId="178" fontId="16" fillId="13" borderId="0" xfId="0" applyNumberFormat="1" applyFont="1" applyFill="1" applyAlignment="1" applyProtection="1">
      <alignment vertical="center"/>
      <protection/>
    </xf>
    <xf numFmtId="172" fontId="9" fillId="5" borderId="0" xfId="0" applyNumberFormat="1" applyFont="1" applyFill="1" applyBorder="1" applyAlignment="1" applyProtection="1">
      <alignment vertical="center"/>
      <protection/>
    </xf>
    <xf numFmtId="178" fontId="2" fillId="13" borderId="2" xfId="0" applyNumberFormat="1" applyFont="1" applyFill="1" applyBorder="1" applyAlignment="1" applyProtection="1">
      <alignment vertical="center"/>
      <protection/>
    </xf>
    <xf numFmtId="178" fontId="2" fillId="13" borderId="0" xfId="0" applyNumberFormat="1" applyFont="1" applyFill="1" applyBorder="1" applyAlignment="1" applyProtection="1">
      <alignment vertical="center"/>
      <protection/>
    </xf>
    <xf numFmtId="173" fontId="11" fillId="13" borderId="0" xfId="0" applyFont="1" applyFill="1" applyBorder="1" applyAlignment="1" applyProtection="1">
      <alignment vertical="center"/>
      <protection/>
    </xf>
    <xf numFmtId="178" fontId="3" fillId="13" borderId="4" xfId="0" applyNumberFormat="1" applyFont="1" applyFill="1" applyBorder="1" applyAlignment="1" applyProtection="1">
      <alignment vertical="center"/>
      <protection/>
    </xf>
    <xf numFmtId="173" fontId="11" fillId="13" borderId="5" xfId="0" applyFont="1" applyFill="1" applyBorder="1" applyAlignment="1" applyProtection="1">
      <alignment vertical="center"/>
      <protection/>
    </xf>
    <xf numFmtId="172" fontId="3" fillId="13" borderId="6" xfId="0" applyNumberFormat="1" applyFont="1" applyFill="1" applyBorder="1" applyAlignment="1" applyProtection="1">
      <alignment horizontal="center" vertical="center"/>
      <protection/>
    </xf>
    <xf numFmtId="178" fontId="2" fillId="13" borderId="9" xfId="0" applyNumberFormat="1" applyFont="1" applyFill="1" applyBorder="1" applyAlignment="1" applyProtection="1">
      <alignment vertical="center"/>
      <protection/>
    </xf>
    <xf numFmtId="172" fontId="3" fillId="13" borderId="7" xfId="0" applyNumberFormat="1" applyFont="1" applyFill="1" applyBorder="1" applyAlignment="1" applyProtection="1">
      <alignment horizontal="center" vertical="center"/>
      <protection/>
    </xf>
    <xf numFmtId="178" fontId="2" fillId="13" borderId="16" xfId="0" applyNumberFormat="1" applyFont="1" applyFill="1" applyBorder="1" applyAlignment="1" applyProtection="1">
      <alignment vertical="center"/>
      <protection/>
    </xf>
    <xf numFmtId="172" fontId="9" fillId="5" borderId="8" xfId="0" applyNumberFormat="1" applyFont="1" applyFill="1" applyBorder="1" applyAlignment="1" applyProtection="1">
      <alignment vertical="center"/>
      <protection/>
    </xf>
    <xf numFmtId="173" fontId="2" fillId="13" borderId="10" xfId="0" applyFont="1" applyFill="1" applyBorder="1" applyAlignment="1" applyProtection="1">
      <alignment vertical="center"/>
      <protection/>
    </xf>
    <xf numFmtId="178" fontId="2" fillId="13" borderId="0" xfId="0" applyNumberFormat="1" applyFont="1" applyFill="1" applyAlignment="1" applyProtection="1">
      <alignment vertical="center"/>
      <protection/>
    </xf>
    <xf numFmtId="178" fontId="3" fillId="13" borderId="0" xfId="0" applyNumberFormat="1" applyFont="1" applyFill="1" applyAlignment="1" applyProtection="1">
      <alignment vertical="center"/>
      <protection/>
    </xf>
    <xf numFmtId="173" fontId="5" fillId="13" borderId="0" xfId="0" applyFont="1" applyFill="1" applyAlignment="1" applyProtection="1">
      <alignment horizontal="center" vertical="center"/>
      <protection/>
    </xf>
    <xf numFmtId="173" fontId="66" fillId="13" borderId="0" xfId="0" applyFont="1" applyFill="1" applyAlignment="1" applyProtection="1">
      <alignment horizontal="center" vertical="center" wrapText="1"/>
      <protection/>
    </xf>
    <xf numFmtId="178" fontId="10" fillId="13" borderId="2" xfId="0" applyNumberFormat="1" applyFont="1" applyFill="1" applyBorder="1" applyAlignment="1" applyProtection="1">
      <alignment vertical="center"/>
      <protection/>
    </xf>
    <xf numFmtId="177" fontId="0" fillId="2" borderId="8" xfId="0" applyNumberFormat="1" applyBorder="1" applyAlignment="1" applyProtection="1">
      <alignment vertical="center"/>
      <protection locked="0"/>
    </xf>
    <xf numFmtId="173" fontId="3" fillId="13" borderId="2" xfId="0" applyFont="1" applyFill="1" applyBorder="1" applyAlignment="1" applyProtection="1">
      <alignment horizontal="right" vertical="center"/>
      <protection/>
    </xf>
    <xf numFmtId="173" fontId="3" fillId="13" borderId="0" xfId="0" applyFont="1" applyFill="1" applyBorder="1" applyAlignment="1" applyProtection="1">
      <alignment horizontal="right" vertical="center"/>
      <protection/>
    </xf>
    <xf numFmtId="173" fontId="10" fillId="13" borderId="8" xfId="0" applyFont="1" applyFill="1" applyBorder="1" applyAlignment="1" applyProtection="1">
      <alignment vertical="center"/>
      <protection/>
    </xf>
    <xf numFmtId="1" fontId="1" fillId="0" borderId="0" xfId="53" applyNumberFormat="1" applyProtection="1">
      <alignment/>
      <protection locked="0"/>
    </xf>
    <xf numFmtId="1" fontId="9" fillId="8" borderId="0" xfId="0" applyNumberFormat="1" applyFont="1" applyFill="1" applyAlignment="1" applyProtection="1">
      <alignment horizontal="center"/>
      <protection hidden="1"/>
    </xf>
    <xf numFmtId="173" fontId="70" fillId="8" borderId="0" xfId="0" applyFont="1" applyFill="1" applyAlignment="1" applyProtection="1">
      <alignment/>
      <protection hidden="1"/>
    </xf>
    <xf numFmtId="173" fontId="9" fillId="8" borderId="0" xfId="0" applyFont="1" applyFill="1" applyAlignment="1" applyProtection="1">
      <alignment horizontal="right"/>
      <protection hidden="1"/>
    </xf>
    <xf numFmtId="173" fontId="71" fillId="8" borderId="0" xfId="0" applyFont="1" applyFill="1" applyAlignment="1" applyProtection="1">
      <alignment horizontal="right"/>
      <protection hidden="1"/>
    </xf>
    <xf numFmtId="173" fontId="9" fillId="8" borderId="0" xfId="0" applyFont="1" applyFill="1" applyAlignment="1" applyProtection="1">
      <alignment/>
      <protection hidden="1"/>
    </xf>
    <xf numFmtId="173" fontId="71" fillId="8" borderId="0" xfId="0" applyFont="1" applyFill="1" applyAlignment="1" applyProtection="1">
      <alignment/>
      <protection hidden="1"/>
    </xf>
    <xf numFmtId="191" fontId="7" fillId="3" borderId="2" xfId="57" applyNumberFormat="1" applyFont="1" applyBorder="1" applyProtection="1">
      <alignment/>
      <protection hidden="1"/>
    </xf>
    <xf numFmtId="173" fontId="2" fillId="8" borderId="3" xfId="0" applyNumberFormat="1" applyFont="1" applyFill="1" applyBorder="1" applyAlignment="1" applyProtection="1">
      <alignment/>
      <protection/>
    </xf>
    <xf numFmtId="173" fontId="2" fillId="2" borderId="2" xfId="0" applyNumberFormat="1" applyFont="1" applyFill="1" applyBorder="1" applyAlignment="1" applyProtection="1">
      <alignment/>
      <protection/>
    </xf>
    <xf numFmtId="173" fontId="15" fillId="8" borderId="0" xfId="0" applyFont="1" applyFill="1" applyAlignment="1" applyProtection="1">
      <alignment/>
      <protection/>
    </xf>
    <xf numFmtId="173" fontId="25" fillId="8" borderId="0" xfId="0" applyFont="1" applyFill="1" applyAlignment="1" applyProtection="1">
      <alignment/>
      <protection/>
    </xf>
    <xf numFmtId="173" fontId="15" fillId="8" borderId="0" xfId="0" applyFont="1" applyFill="1" applyAlignment="1" applyProtection="1">
      <alignment horizontal="center"/>
      <protection/>
    </xf>
    <xf numFmtId="173" fontId="72" fillId="8" borderId="0" xfId="0" applyFont="1" applyFill="1" applyAlignment="1" applyProtection="1">
      <alignment horizontal="right"/>
      <protection hidden="1"/>
    </xf>
    <xf numFmtId="173" fontId="9" fillId="8" borderId="0" xfId="0" applyFont="1" applyFill="1" applyAlignment="1" applyProtection="1">
      <alignment horizontal="center" shrinkToFit="1"/>
      <protection hidden="1"/>
    </xf>
    <xf numFmtId="173" fontId="59" fillId="8" borderId="0" xfId="0" applyFont="1" applyFill="1" applyBorder="1" applyAlignment="1" applyProtection="1">
      <alignment horizontal="right"/>
      <protection hidden="1"/>
    </xf>
    <xf numFmtId="173" fontId="9" fillId="8" borderId="0" xfId="0" applyFont="1" applyFill="1" applyAlignment="1" applyProtection="1">
      <alignment shrinkToFit="1"/>
      <protection hidden="1"/>
    </xf>
    <xf numFmtId="173" fontId="71" fillId="8" borderId="0" xfId="0" applyFont="1" applyFill="1" applyBorder="1" applyAlignment="1" applyProtection="1">
      <alignment horizontal="right"/>
      <protection hidden="1"/>
    </xf>
    <xf numFmtId="173" fontId="0" fillId="8" borderId="10" xfId="0" applyFill="1" applyBorder="1" applyAlignment="1">
      <alignment/>
    </xf>
    <xf numFmtId="173" fontId="43" fillId="8" borderId="9" xfId="0" applyFont="1" applyFill="1" applyBorder="1" applyAlignment="1" applyProtection="1">
      <alignment horizontal="left" vertical="top"/>
      <protection hidden="1"/>
    </xf>
    <xf numFmtId="191" fontId="2" fillId="2" borderId="15" xfId="0" applyNumberFormat="1" applyFont="1" applyFill="1" applyBorder="1" applyAlignment="1" applyProtection="1">
      <alignment horizontal="left"/>
      <protection locked="0"/>
    </xf>
    <xf numFmtId="191" fontId="2" fillId="2" borderId="1" xfId="0" applyNumberFormat="1" applyFont="1" applyFill="1" applyBorder="1" applyAlignment="1" applyProtection="1">
      <alignment horizontal="left"/>
      <protection locked="0"/>
    </xf>
    <xf numFmtId="191" fontId="2" fillId="2" borderId="34" xfId="0" applyNumberFormat="1" applyFont="1" applyFill="1" applyBorder="1" applyAlignment="1" applyProtection="1">
      <alignment horizontal="left"/>
      <protection locked="0"/>
    </xf>
    <xf numFmtId="191" fontId="2" fillId="8" borderId="0" xfId="0" applyNumberFormat="1" applyFont="1" applyFill="1" applyBorder="1" applyAlignment="1" applyProtection="1">
      <alignment horizontal="center"/>
      <protection/>
    </xf>
    <xf numFmtId="173" fontId="33" fillId="8" borderId="0" xfId="0" applyFont="1" applyFill="1" applyAlignment="1">
      <alignment/>
    </xf>
    <xf numFmtId="173" fontId="7" fillId="8" borderId="0" xfId="0" applyFont="1" applyFill="1" applyAlignment="1" applyProtection="1">
      <alignment/>
      <protection/>
    </xf>
    <xf numFmtId="2" fontId="35" fillId="2" borderId="14" xfId="50" applyNumberFormat="1" applyFont="1" applyFill="1" applyBorder="1" applyAlignment="1" applyProtection="1">
      <alignment vertical="center"/>
      <protection locked="0"/>
    </xf>
    <xf numFmtId="0" fontId="1" fillId="0" borderId="0" xfId="51">
      <alignment/>
      <protection/>
    </xf>
    <xf numFmtId="0" fontId="1" fillId="0" borderId="0" xfId="51" applyFill="1">
      <alignment/>
      <protection/>
    </xf>
    <xf numFmtId="191" fontId="7" fillId="2" borderId="8" xfId="57" applyNumberFormat="1" applyFont="1" applyFill="1" applyBorder="1" applyProtection="1">
      <alignment/>
      <protection locked="0"/>
    </xf>
    <xf numFmtId="189" fontId="74" fillId="8" borderId="0" xfId="52" applyNumberFormat="1" applyFont="1" applyFill="1" applyBorder="1">
      <alignment/>
      <protection/>
    </xf>
    <xf numFmtId="0" fontId="23" fillId="0" borderId="0" xfId="51" applyFont="1">
      <alignment/>
      <protection/>
    </xf>
    <xf numFmtId="173" fontId="2" fillId="10" borderId="0" xfId="0" applyFont="1" applyFill="1" applyAlignment="1" applyProtection="1">
      <alignment vertical="center"/>
      <protection/>
    </xf>
    <xf numFmtId="173" fontId="7" fillId="8" borderId="0" xfId="0" applyFont="1" applyFill="1" applyBorder="1" applyAlignment="1" applyProtection="1">
      <alignment horizontal="right"/>
      <protection/>
    </xf>
    <xf numFmtId="173" fontId="4" fillId="7" borderId="0" xfId="0" applyFont="1" applyFill="1" applyBorder="1" applyAlignment="1" applyProtection="1">
      <alignment/>
      <protection/>
    </xf>
    <xf numFmtId="173" fontId="4" fillId="7" borderId="5" xfId="0" applyFont="1" applyFill="1" applyBorder="1" applyAlignment="1" applyProtection="1">
      <alignment/>
      <protection/>
    </xf>
    <xf numFmtId="191" fontId="2" fillId="3" borderId="8" xfId="57" applyNumberFormat="1" applyBorder="1" applyAlignment="1" applyProtection="1">
      <alignment vertical="center"/>
      <protection/>
    </xf>
    <xf numFmtId="173" fontId="7" fillId="8" borderId="3" xfId="0" applyFont="1" applyFill="1" applyBorder="1" applyAlignment="1" applyProtection="1">
      <alignment horizontal="right"/>
      <protection/>
    </xf>
    <xf numFmtId="0" fontId="73" fillId="0" borderId="0" xfId="51" applyFont="1" applyFill="1" applyProtection="1">
      <alignment/>
      <protection hidden="1" locked="0"/>
    </xf>
    <xf numFmtId="0" fontId="1" fillId="8" borderId="0" xfId="51" applyFill="1">
      <alignment/>
      <protection/>
    </xf>
    <xf numFmtId="0" fontId="1" fillId="8" borderId="0" xfId="51" applyFont="1" applyFill="1">
      <alignment/>
      <protection/>
    </xf>
    <xf numFmtId="0" fontId="23" fillId="8" borderId="16" xfId="51" applyFont="1" applyFill="1" applyBorder="1" applyAlignment="1">
      <alignment horizontal="center"/>
      <protection/>
    </xf>
    <xf numFmtId="0" fontId="23" fillId="8" borderId="2" xfId="51" applyFont="1" applyFill="1" applyBorder="1" applyAlignment="1">
      <alignment horizontal="center"/>
      <protection/>
    </xf>
    <xf numFmtId="0" fontId="23" fillId="8" borderId="12" xfId="51" applyFont="1" applyFill="1" applyBorder="1" applyAlignment="1">
      <alignment horizontal="center"/>
      <protection/>
    </xf>
    <xf numFmtId="0" fontId="23" fillId="8" borderId="5" xfId="51" applyFont="1" applyFill="1" applyBorder="1" applyAlignment="1">
      <alignment horizontal="center"/>
      <protection/>
    </xf>
    <xf numFmtId="0" fontId="23" fillId="8" borderId="6" xfId="51" applyFont="1" applyFill="1" applyBorder="1" applyAlignment="1">
      <alignment horizontal="center"/>
      <protection/>
    </xf>
    <xf numFmtId="0" fontId="23" fillId="8" borderId="11" xfId="51" applyFont="1" applyFill="1" applyBorder="1" applyAlignment="1">
      <alignment horizontal="center"/>
      <protection/>
    </xf>
    <xf numFmtId="0" fontId="23" fillId="8" borderId="14" xfId="51" applyFont="1" applyFill="1" applyBorder="1" applyAlignment="1">
      <alignment wrapText="1"/>
      <protection/>
    </xf>
    <xf numFmtId="0" fontId="23" fillId="8" borderId="8" xfId="51" applyFont="1" applyFill="1" applyBorder="1">
      <alignment/>
      <protection/>
    </xf>
    <xf numFmtId="0" fontId="23" fillId="8" borderId="10" xfId="51" applyFont="1" applyFill="1" applyBorder="1">
      <alignment/>
      <protection/>
    </xf>
    <xf numFmtId="0" fontId="1" fillId="8" borderId="0" xfId="51" applyFill="1" applyAlignment="1">
      <alignment horizontal="center"/>
      <protection/>
    </xf>
    <xf numFmtId="0" fontId="73" fillId="8" borderId="0" xfId="51" applyFont="1" applyFill="1">
      <alignment/>
      <protection/>
    </xf>
    <xf numFmtId="173" fontId="7" fillId="8" borderId="0" xfId="0" applyFont="1" applyFill="1" applyAlignment="1" applyProtection="1">
      <alignment horizontal="right"/>
      <protection/>
    </xf>
    <xf numFmtId="173" fontId="7" fillId="8" borderId="0" xfId="0" applyFont="1" applyFill="1" applyAlignment="1" applyProtection="1">
      <alignment vertical="center"/>
      <protection/>
    </xf>
    <xf numFmtId="0" fontId="29" fillId="8" borderId="0" xfId="51" applyFont="1" applyFill="1" applyAlignment="1">
      <alignment horizontal="left"/>
      <protection/>
    </xf>
    <xf numFmtId="173" fontId="4" fillId="8" borderId="0" xfId="0" applyFont="1" applyFill="1" applyAlignment="1" applyProtection="1">
      <alignment horizontal="left"/>
      <protection/>
    </xf>
    <xf numFmtId="173" fontId="16" fillId="8" borderId="4" xfId="0" applyFont="1" applyFill="1" applyBorder="1" applyAlignment="1" applyProtection="1">
      <alignment horizontal="center"/>
      <protection/>
    </xf>
    <xf numFmtId="195" fontId="4" fillId="2" borderId="7" xfId="50" applyNumberFormat="1" applyFont="1" applyFill="1" applyBorder="1" applyAlignment="1" applyProtection="1">
      <alignment horizontal="right" vertical="center" shrinkToFit="1"/>
      <protection locked="0"/>
    </xf>
    <xf numFmtId="190" fontId="27" fillId="8" borderId="0" xfId="52" applyNumberFormat="1" applyFont="1" applyFill="1" applyBorder="1" applyAlignment="1" applyProtection="1">
      <alignment horizontal="center" vertical="center"/>
      <protection/>
    </xf>
    <xf numFmtId="0" fontId="76" fillId="8" borderId="0" xfId="52" applyFont="1" applyFill="1" applyBorder="1" applyAlignment="1" applyProtection="1">
      <alignment horizontal="right"/>
      <protection hidden="1"/>
    </xf>
    <xf numFmtId="0" fontId="1" fillId="8" borderId="0" xfId="52" applyFont="1" applyFill="1" applyBorder="1">
      <alignment/>
      <protection/>
    </xf>
    <xf numFmtId="0" fontId="1" fillId="8" borderId="5" xfId="52" applyFont="1" applyFill="1" applyBorder="1">
      <alignment/>
      <protection/>
    </xf>
    <xf numFmtId="173" fontId="2" fillId="8" borderId="0" xfId="50" applyFont="1" applyFill="1" applyAlignment="1" applyProtection="1">
      <alignment horizontal="center" vertical="top"/>
      <protection/>
    </xf>
    <xf numFmtId="173" fontId="4" fillId="8" borderId="0" xfId="50" applyFont="1" applyFill="1" applyAlignment="1" applyProtection="1">
      <alignment vertical="top"/>
      <protection/>
    </xf>
    <xf numFmtId="173" fontId="7" fillId="8" borderId="0" xfId="50" applyFont="1" applyFill="1" applyAlignment="1" applyProtection="1">
      <alignment wrapText="1"/>
      <protection/>
    </xf>
    <xf numFmtId="49" fontId="26" fillId="2" borderId="8" xfId="52" applyNumberFormat="1" applyFont="1" applyFill="1" applyBorder="1" applyAlignment="1" applyProtection="1">
      <alignment horizontal="left"/>
      <protection locked="0"/>
    </xf>
    <xf numFmtId="0" fontId="1" fillId="8" borderId="0" xfId="54" applyFill="1">
      <alignment/>
      <protection/>
    </xf>
    <xf numFmtId="0" fontId="64" fillId="11" borderId="0" xfId="54" applyFont="1" applyFill="1" applyAlignment="1" applyProtection="1">
      <alignment/>
      <protection/>
    </xf>
    <xf numFmtId="0" fontId="1" fillId="0" borderId="0" xfId="54" applyFill="1">
      <alignment/>
      <protection/>
    </xf>
    <xf numFmtId="0" fontId="1" fillId="0" borderId="0" xfId="54">
      <alignment/>
      <protection/>
    </xf>
    <xf numFmtId="0" fontId="64" fillId="11" borderId="0" xfId="54" applyFont="1" applyFill="1" applyProtection="1">
      <alignment/>
      <protection/>
    </xf>
    <xf numFmtId="0" fontId="64" fillId="11" borderId="0" xfId="54" applyFont="1" applyFill="1" applyAlignment="1" applyProtection="1">
      <alignment vertical="top"/>
      <protection/>
    </xf>
    <xf numFmtId="0" fontId="3" fillId="11" borderId="0" xfId="54" applyFont="1" applyFill="1" applyAlignment="1" applyProtection="1">
      <alignment horizontal="right"/>
      <protection/>
    </xf>
    <xf numFmtId="0" fontId="3" fillId="11" borderId="0" xfId="54" applyFont="1" applyFill="1" applyProtection="1">
      <alignment/>
      <protection/>
    </xf>
    <xf numFmtId="0" fontId="7" fillId="11" borderId="0" xfId="54" applyFont="1" applyFill="1" applyProtection="1">
      <alignment/>
      <protection/>
    </xf>
    <xf numFmtId="0" fontId="64" fillId="11" borderId="0" xfId="54" applyFont="1" applyFill="1" applyAlignment="1" applyProtection="1">
      <alignment horizontal="center"/>
      <protection/>
    </xf>
    <xf numFmtId="0" fontId="64" fillId="11" borderId="4" xfId="54" applyFont="1" applyFill="1" applyBorder="1" applyProtection="1">
      <alignment/>
      <protection/>
    </xf>
    <xf numFmtId="0" fontId="64" fillId="11" borderId="5" xfId="54" applyFont="1" applyFill="1" applyBorder="1" applyProtection="1">
      <alignment/>
      <protection/>
    </xf>
    <xf numFmtId="0" fontId="7" fillId="11" borderId="5" xfId="54" applyFont="1" applyFill="1" applyBorder="1" applyProtection="1">
      <alignment/>
      <protection/>
    </xf>
    <xf numFmtId="0" fontId="64" fillId="11" borderId="5" xfId="54" applyFont="1" applyFill="1" applyBorder="1" applyAlignment="1" applyProtection="1">
      <alignment horizontal="left"/>
      <protection/>
    </xf>
    <xf numFmtId="0" fontId="3" fillId="11" borderId="6" xfId="54" applyFont="1" applyFill="1" applyBorder="1" applyAlignment="1" applyProtection="1">
      <alignment horizontal="right"/>
      <protection/>
    </xf>
    <xf numFmtId="0" fontId="64" fillId="8" borderId="9" xfId="54" applyFont="1" applyFill="1" applyBorder="1" applyProtection="1">
      <alignment/>
      <protection/>
    </xf>
    <xf numFmtId="0" fontId="3" fillId="8" borderId="10" xfId="54" applyFont="1" applyFill="1" applyBorder="1" applyAlignment="1" applyProtection="1">
      <alignment horizontal="right"/>
      <protection/>
    </xf>
    <xf numFmtId="0" fontId="64" fillId="11" borderId="3" xfId="54" applyFont="1" applyFill="1" applyBorder="1" applyProtection="1">
      <alignment/>
      <protection/>
    </xf>
    <xf numFmtId="0" fontId="64" fillId="11" borderId="0" xfId="54" applyFont="1" applyFill="1" applyBorder="1" applyProtection="1">
      <alignment/>
      <protection/>
    </xf>
    <xf numFmtId="0" fontId="7" fillId="11" borderId="0" xfId="54" applyFont="1" applyFill="1" applyBorder="1" applyProtection="1">
      <alignment/>
      <protection/>
    </xf>
    <xf numFmtId="0" fontId="3" fillId="11" borderId="0" xfId="54" applyFont="1" applyFill="1" applyBorder="1" applyAlignment="1" applyProtection="1">
      <alignment horizontal="right"/>
      <protection/>
    </xf>
    <xf numFmtId="0" fontId="1" fillId="11" borderId="0" xfId="54" applyFill="1" applyAlignment="1">
      <alignment horizontal="right"/>
      <protection/>
    </xf>
    <xf numFmtId="0" fontId="64" fillId="11" borderId="0" xfId="54" applyFont="1" applyFill="1" applyBorder="1" applyAlignment="1" applyProtection="1">
      <alignment horizontal="left" vertical="center"/>
      <protection/>
    </xf>
    <xf numFmtId="2" fontId="2" fillId="3" borderId="8" xfId="54" applyNumberFormat="1" applyFont="1" applyFill="1" applyBorder="1" applyAlignment="1" applyProtection="1" quotePrefix="1">
      <alignment horizontal="right"/>
      <protection/>
    </xf>
    <xf numFmtId="0" fontId="64" fillId="11" borderId="0" xfId="54" applyFont="1" applyFill="1" applyBorder="1" applyAlignment="1" applyProtection="1">
      <alignment horizontal="left"/>
      <protection/>
    </xf>
    <xf numFmtId="2" fontId="2" fillId="2" borderId="8" xfId="54" applyNumberFormat="1" applyFont="1" applyFill="1" applyBorder="1" applyAlignment="1" applyProtection="1" quotePrefix="1">
      <alignment horizontal="right"/>
      <protection locked="0"/>
    </xf>
    <xf numFmtId="0" fontId="3" fillId="11" borderId="0" xfId="54" applyFont="1" applyFill="1" applyBorder="1" applyAlignment="1" applyProtection="1">
      <alignment horizontal="center"/>
      <protection/>
    </xf>
    <xf numFmtId="0" fontId="1" fillId="8" borderId="0" xfId="54" applyFill="1" applyBorder="1">
      <alignment/>
      <protection/>
    </xf>
    <xf numFmtId="0" fontId="64" fillId="8" borderId="0" xfId="54" applyFont="1" applyFill="1" applyBorder="1" applyAlignment="1" applyProtection="1" quotePrefix="1">
      <alignment horizontal="right"/>
      <protection/>
    </xf>
    <xf numFmtId="0" fontId="64" fillId="11" borderId="0" xfId="54" applyFont="1" applyFill="1" applyBorder="1" applyAlignment="1" applyProtection="1">
      <alignment horizontal="right"/>
      <protection/>
    </xf>
    <xf numFmtId="0" fontId="64" fillId="11" borderId="0" xfId="54" applyFont="1" applyFill="1" applyAlignment="1" applyProtection="1">
      <alignment horizontal="left"/>
      <protection/>
    </xf>
    <xf numFmtId="0" fontId="65" fillId="11" borderId="0" xfId="54" applyFont="1" applyFill="1" applyAlignment="1" applyProtection="1">
      <alignment horizontal="right"/>
      <protection/>
    </xf>
    <xf numFmtId="0" fontId="65" fillId="11" borderId="0" xfId="54" applyFont="1" applyFill="1" applyBorder="1" applyAlignment="1" applyProtection="1">
      <alignment horizontal="right"/>
      <protection/>
    </xf>
    <xf numFmtId="0" fontId="64" fillId="11" borderId="0" xfId="54" applyFont="1" applyFill="1" applyBorder="1" applyAlignment="1" applyProtection="1" quotePrefix="1">
      <alignment horizontal="right"/>
      <protection/>
    </xf>
    <xf numFmtId="0" fontId="64" fillId="8" borderId="0" xfId="54" applyFont="1" applyFill="1" applyBorder="1" applyAlignment="1" applyProtection="1">
      <alignment horizontal="right"/>
      <protection/>
    </xf>
    <xf numFmtId="0" fontId="5" fillId="11" borderId="0" xfId="54" applyFont="1" applyFill="1" applyAlignment="1" applyProtection="1">
      <alignment horizontal="left"/>
      <protection/>
    </xf>
    <xf numFmtId="0" fontId="65" fillId="11" borderId="0" xfId="54" applyFont="1" applyFill="1" applyBorder="1" applyProtection="1">
      <alignment/>
      <protection/>
    </xf>
    <xf numFmtId="195" fontId="2" fillId="3" borderId="8" xfId="54" applyNumberFormat="1" applyFont="1" applyFill="1" applyBorder="1" applyAlignment="1" applyProtection="1">
      <alignment horizontal="center" vertical="center" shrinkToFit="1"/>
      <protection/>
    </xf>
    <xf numFmtId="0" fontId="77" fillId="11" borderId="0" xfId="54" applyFont="1" applyFill="1" applyBorder="1" applyAlignment="1" applyProtection="1">
      <alignment horizontal="left"/>
      <protection/>
    </xf>
    <xf numFmtId="0" fontId="64" fillId="11" borderId="9" xfId="54" applyFont="1" applyFill="1" applyBorder="1" applyProtection="1">
      <alignment/>
      <protection/>
    </xf>
    <xf numFmtId="0" fontId="3" fillId="11" borderId="10" xfId="54" applyFont="1" applyFill="1" applyBorder="1" applyAlignment="1" applyProtection="1">
      <alignment horizontal="right"/>
      <protection/>
    </xf>
    <xf numFmtId="191" fontId="35" fillId="3" borderId="14" xfId="50" applyNumberFormat="1" applyFont="1" applyFill="1" applyBorder="1" applyProtection="1">
      <alignment/>
      <protection locked="0"/>
    </xf>
    <xf numFmtId="1" fontId="4" fillId="14" borderId="8" xfId="54" applyNumberFormat="1" applyFont="1" applyFill="1" applyBorder="1" applyAlignment="1" applyProtection="1">
      <alignment horizontal="center"/>
      <protection locked="0"/>
    </xf>
    <xf numFmtId="191" fontId="78" fillId="8" borderId="0" xfId="50" applyNumberFormat="1" applyFont="1" applyFill="1" applyBorder="1" applyProtection="1">
      <alignment/>
      <protection/>
    </xf>
    <xf numFmtId="195" fontId="4" fillId="2" borderId="7" xfId="50" applyNumberFormat="1" applyFont="1" applyFill="1" applyBorder="1" applyAlignment="1" applyProtection="1">
      <alignment horizontal="center" vertical="center" shrinkToFit="1"/>
      <protection locked="0"/>
    </xf>
    <xf numFmtId="49" fontId="4" fillId="8" borderId="35" xfId="50" applyNumberFormat="1" applyFont="1" applyFill="1" applyBorder="1" applyAlignment="1" applyProtection="1">
      <alignment horizontal="center" vertical="center"/>
      <protection/>
    </xf>
    <xf numFmtId="49" fontId="7" fillId="8" borderId="36" xfId="50" applyNumberFormat="1" applyFont="1" applyFill="1" applyBorder="1" applyAlignment="1" applyProtection="1">
      <alignment horizontal="center" vertical="center"/>
      <protection/>
    </xf>
    <xf numFmtId="2" fontId="35" fillId="2" borderId="13" xfId="50" applyNumberFormat="1" applyFont="1" applyFill="1" applyBorder="1" applyAlignment="1" applyProtection="1">
      <alignment vertical="center"/>
      <protection locked="0"/>
    </xf>
    <xf numFmtId="2" fontId="35" fillId="2" borderId="19" xfId="50" applyNumberFormat="1" applyFont="1" applyFill="1" applyBorder="1" applyAlignment="1" applyProtection="1">
      <alignment vertical="center"/>
      <protection locked="0"/>
    </xf>
    <xf numFmtId="191" fontId="35" fillId="3" borderId="19" xfId="50" applyNumberFormat="1" applyFont="1" applyFill="1" applyBorder="1">
      <alignment/>
      <protection/>
    </xf>
    <xf numFmtId="49" fontId="4" fillId="8" borderId="37" xfId="50" applyNumberFormat="1" applyFont="1" applyFill="1" applyBorder="1" applyAlignment="1" applyProtection="1">
      <alignment horizontal="center" vertical="center"/>
      <protection/>
    </xf>
    <xf numFmtId="49" fontId="7" fillId="8" borderId="38" xfId="50" applyNumberFormat="1" applyFont="1" applyFill="1" applyBorder="1" applyAlignment="1" applyProtection="1">
      <alignment horizontal="center" vertical="center"/>
      <protection/>
    </xf>
    <xf numFmtId="191" fontId="35" fillId="2" borderId="39" xfId="50" applyNumberFormat="1" applyFont="1" applyFill="1" applyBorder="1" applyProtection="1">
      <alignment/>
      <protection locked="0"/>
    </xf>
    <xf numFmtId="2" fontId="35" fillId="2" borderId="39" xfId="50" applyNumberFormat="1" applyFont="1" applyFill="1" applyBorder="1" applyAlignment="1" applyProtection="1">
      <alignment vertical="center"/>
      <protection locked="0"/>
    </xf>
    <xf numFmtId="191" fontId="35" fillId="3" borderId="39" xfId="50" applyNumberFormat="1" applyFont="1" applyFill="1" applyBorder="1">
      <alignment/>
      <protection/>
    </xf>
    <xf numFmtId="191" fontId="35" fillId="3" borderId="40" xfId="50" applyNumberFormat="1" applyFont="1" applyFill="1" applyBorder="1">
      <alignment/>
      <protection/>
    </xf>
    <xf numFmtId="49" fontId="4" fillId="8" borderId="41" xfId="50" applyNumberFormat="1" applyFont="1" applyFill="1" applyBorder="1" applyAlignment="1" applyProtection="1">
      <alignment horizontal="center" vertical="center"/>
      <protection/>
    </xf>
    <xf numFmtId="49" fontId="7" fillId="8" borderId="42" xfId="50" applyNumberFormat="1" applyFont="1" applyFill="1" applyBorder="1" applyAlignment="1" applyProtection="1">
      <alignment horizontal="center" vertical="center"/>
      <protection/>
    </xf>
    <xf numFmtId="191" fontId="35" fillId="3" borderId="43" xfId="50" applyNumberFormat="1" applyFont="1" applyFill="1" applyBorder="1">
      <alignment/>
      <protection/>
    </xf>
    <xf numFmtId="191" fontId="35" fillId="8" borderId="43" xfId="50" applyNumberFormat="1" applyFont="1" applyFill="1" applyBorder="1" applyProtection="1">
      <alignment/>
      <protection/>
    </xf>
    <xf numFmtId="191" fontId="35" fillId="8" borderId="44" xfId="50" applyNumberFormat="1" applyFont="1" applyFill="1" applyBorder="1" applyProtection="1">
      <alignment/>
      <protection/>
    </xf>
    <xf numFmtId="2" fontId="35" fillId="2" borderId="45" xfId="50" applyNumberFormat="1" applyFont="1" applyFill="1" applyBorder="1" applyAlignment="1" applyProtection="1">
      <alignment vertical="center"/>
      <protection locked="0"/>
    </xf>
    <xf numFmtId="173" fontId="29" fillId="8" borderId="8" xfId="50" applyFont="1" applyFill="1" applyBorder="1" applyAlignment="1" applyProtection="1">
      <alignment horizontal="left" wrapText="1"/>
      <protection/>
    </xf>
    <xf numFmtId="191" fontId="35" fillId="3" borderId="0" xfId="50" applyNumberFormat="1" applyFont="1" applyFill="1" applyBorder="1">
      <alignment/>
      <protection/>
    </xf>
    <xf numFmtId="49" fontId="4" fillId="10" borderId="2" xfId="50" applyNumberFormat="1" applyFont="1" applyFill="1" applyBorder="1" applyAlignment="1" applyProtection="1">
      <alignment horizontal="center" vertical="center"/>
      <protection/>
    </xf>
    <xf numFmtId="49" fontId="7" fillId="10" borderId="2" xfId="50" applyNumberFormat="1" applyFont="1" applyFill="1" applyBorder="1" applyAlignment="1" applyProtection="1">
      <alignment horizontal="center" vertical="center"/>
      <protection/>
    </xf>
    <xf numFmtId="49" fontId="7" fillId="8" borderId="0" xfId="50" applyNumberFormat="1" applyFont="1" applyFill="1" applyBorder="1" applyAlignment="1" applyProtection="1">
      <alignment horizontal="center"/>
      <protection/>
    </xf>
    <xf numFmtId="49" fontId="4" fillId="2" borderId="7" xfId="50" applyNumberFormat="1" applyFont="1" applyFill="1" applyBorder="1" applyAlignment="1" applyProtection="1">
      <alignment horizontal="right" vertical="center"/>
      <protection locked="0"/>
    </xf>
    <xf numFmtId="0" fontId="2" fillId="8" borderId="0" xfId="50" applyNumberFormat="1" applyFont="1" applyFill="1" applyProtection="1">
      <alignment/>
      <protection/>
    </xf>
    <xf numFmtId="0" fontId="4" fillId="3" borderId="7" xfId="50" applyNumberFormat="1" applyFont="1" applyFill="1" applyBorder="1" applyAlignment="1" applyProtection="1">
      <alignment horizontal="right" vertical="center"/>
      <protection/>
    </xf>
    <xf numFmtId="191" fontId="35" fillId="8" borderId="2" xfId="50" applyNumberFormat="1" applyFont="1" applyFill="1" applyBorder="1" applyProtection="1">
      <alignment/>
      <protection/>
    </xf>
    <xf numFmtId="173" fontId="4" fillId="8" borderId="0" xfId="50" applyFont="1" applyFill="1" applyBorder="1" applyAlignment="1" applyProtection="1">
      <alignment horizontal="center" wrapText="1"/>
      <protection/>
    </xf>
    <xf numFmtId="173" fontId="36" fillId="8" borderId="0" xfId="50" applyFont="1" applyFill="1" applyBorder="1" applyProtection="1">
      <alignment/>
      <protection/>
    </xf>
    <xf numFmtId="191" fontId="35" fillId="8" borderId="8" xfId="50" applyNumberFormat="1" applyFont="1" applyFill="1" applyBorder="1">
      <alignment/>
      <protection/>
    </xf>
    <xf numFmtId="181" fontId="3" fillId="2" borderId="7" xfId="50" applyNumberFormat="1" applyFont="1" applyFill="1" applyBorder="1" applyAlignment="1" applyProtection="1">
      <alignment horizontal="right" vertical="center"/>
      <protection locked="0"/>
    </xf>
    <xf numFmtId="1" fontId="35" fillId="3" borderId="0" xfId="50" applyNumberFormat="1" applyFont="1" applyFill="1" applyBorder="1">
      <alignment/>
      <protection/>
    </xf>
    <xf numFmtId="173" fontId="33" fillId="8" borderId="0" xfId="50" applyFont="1" applyFill="1" applyBorder="1">
      <alignment/>
      <protection/>
    </xf>
    <xf numFmtId="173" fontId="4" fillId="8" borderId="2" xfId="50" applyFont="1" applyFill="1" applyBorder="1" applyAlignment="1" applyProtection="1">
      <alignment horizontal="center" vertical="center" wrapText="1"/>
      <protection/>
    </xf>
    <xf numFmtId="173" fontId="29" fillId="8" borderId="0" xfId="50" applyFont="1" applyFill="1" applyBorder="1" applyAlignment="1" applyProtection="1">
      <alignment horizontal="left"/>
      <protection/>
    </xf>
    <xf numFmtId="173" fontId="2" fillId="8" borderId="27" xfId="50" applyFont="1" applyFill="1" applyBorder="1" applyProtection="1">
      <alignment/>
      <protection/>
    </xf>
    <xf numFmtId="173" fontId="4" fillId="8" borderId="0" xfId="50" applyFont="1" applyFill="1" applyBorder="1" applyAlignment="1" applyProtection="1">
      <alignment horizontal="left" vertical="center"/>
      <protection/>
    </xf>
    <xf numFmtId="173" fontId="7" fillId="8" borderId="0" xfId="50" applyFont="1" applyFill="1" applyAlignment="1" applyProtection="1">
      <alignment vertical="top"/>
      <protection/>
    </xf>
    <xf numFmtId="173" fontId="4" fillId="8" borderId="0" xfId="50" applyFont="1" applyFill="1" applyBorder="1" applyAlignment="1" applyProtection="1">
      <alignment horizontal="left" vertical="center" wrapText="1"/>
      <protection/>
    </xf>
    <xf numFmtId="173" fontId="4" fillId="2" borderId="0" xfId="50" applyFont="1" applyFill="1" applyBorder="1" applyAlignment="1" applyProtection="1">
      <alignment horizontal="center" vertical="center" wrapText="1"/>
      <protection locked="0"/>
    </xf>
    <xf numFmtId="1" fontId="7" fillId="3" borderId="0" xfId="50" applyNumberFormat="1" applyFont="1" applyFill="1" applyAlignment="1" applyProtection="1">
      <alignment horizontal="center"/>
      <protection/>
    </xf>
    <xf numFmtId="1" fontId="7" fillId="3" borderId="8" xfId="50" applyNumberFormat="1" applyFont="1" applyFill="1" applyBorder="1" applyAlignment="1" applyProtection="1">
      <alignment horizontal="center"/>
      <protection/>
    </xf>
    <xf numFmtId="173" fontId="53" fillId="8" borderId="2" xfId="0" applyFont="1" applyFill="1" applyBorder="1" applyAlignment="1">
      <alignment/>
    </xf>
    <xf numFmtId="194" fontId="1" fillId="0" borderId="0" xfId="52" applyNumberFormat="1">
      <alignment/>
      <protection/>
    </xf>
    <xf numFmtId="49" fontId="26" fillId="2" borderId="8" xfId="52" applyNumberFormat="1" applyFont="1" applyFill="1" applyBorder="1" applyAlignment="1" applyProtection="1">
      <alignment horizontal="left"/>
      <protection/>
    </xf>
    <xf numFmtId="49" fontId="4" fillId="2" borderId="6" xfId="50" applyNumberFormat="1" applyFont="1" applyFill="1" applyBorder="1" applyAlignment="1" applyProtection="1">
      <alignment horizontal="center" vertical="center"/>
      <protection locked="0"/>
    </xf>
    <xf numFmtId="173" fontId="16" fillId="2" borderId="0" xfId="0" applyNumberFormat="1" applyFont="1" applyFill="1" applyAlignment="1" applyProtection="1" quotePrefix="1">
      <alignment horizontal="center"/>
      <protection locked="0"/>
    </xf>
    <xf numFmtId="0" fontId="21" fillId="2" borderId="11" xfId="52" applyFont="1" applyFill="1" applyBorder="1" applyAlignment="1" applyProtection="1" quotePrefix="1">
      <alignment horizontal="center" vertical="center"/>
      <protection locked="0"/>
    </xf>
    <xf numFmtId="173" fontId="43" fillId="8" borderId="0" xfId="0" applyFont="1" applyFill="1" applyBorder="1" applyAlignment="1">
      <alignment/>
    </xf>
    <xf numFmtId="4" fontId="2" fillId="8" borderId="0" xfId="57" applyNumberFormat="1" applyFill="1" applyBorder="1">
      <alignment/>
      <protection hidden="1"/>
    </xf>
    <xf numFmtId="4" fontId="2" fillId="8" borderId="0" xfId="0" applyNumberFormat="1" applyFont="1" applyFill="1" applyBorder="1" applyAlignment="1" applyProtection="1">
      <alignment/>
      <protection locked="0"/>
    </xf>
    <xf numFmtId="191" fontId="35" fillId="3" borderId="46" xfId="50" applyNumberFormat="1" applyFont="1" applyFill="1" applyBorder="1">
      <alignment/>
      <protection/>
    </xf>
    <xf numFmtId="191" fontId="35" fillId="3" borderId="45" xfId="50" applyNumberFormat="1" applyFont="1" applyFill="1" applyBorder="1" applyProtection="1">
      <alignment/>
      <protection/>
    </xf>
    <xf numFmtId="173" fontId="0" fillId="2" borderId="8" xfId="0" applyBorder="1" applyAlignment="1">
      <alignment vertical="center"/>
    </xf>
    <xf numFmtId="195" fontId="27" fillId="2" borderId="8" xfId="52" applyNumberFormat="1" applyFont="1" applyFill="1" applyBorder="1" applyAlignment="1" applyProtection="1">
      <alignment horizontal="center" shrinkToFit="1"/>
      <protection locked="0"/>
    </xf>
    <xf numFmtId="0" fontId="1" fillId="8" borderId="2" xfId="52" applyFill="1" applyBorder="1" applyAlignment="1">
      <alignment horizontal="center"/>
      <protection/>
    </xf>
    <xf numFmtId="186" fontId="27" fillId="2" borderId="16" xfId="52" applyNumberFormat="1" applyFont="1" applyFill="1" applyBorder="1" applyAlignment="1" applyProtection="1">
      <alignment horizontal="center"/>
      <protection locked="0"/>
    </xf>
    <xf numFmtId="186" fontId="27" fillId="2" borderId="12" xfId="52" applyNumberFormat="1" applyFont="1" applyFill="1" applyBorder="1" applyAlignment="1" applyProtection="1">
      <alignment horizontal="center"/>
      <protection locked="0"/>
    </xf>
    <xf numFmtId="173" fontId="60" fillId="8" borderId="0" xfId="0" applyFont="1" applyFill="1" applyAlignment="1" applyProtection="1">
      <alignment horizontal="center"/>
      <protection/>
    </xf>
    <xf numFmtId="173" fontId="7" fillId="8" borderId="0" xfId="0" applyFont="1" applyFill="1" applyAlignment="1" applyProtection="1">
      <alignment horizontal="left"/>
      <protection/>
    </xf>
    <xf numFmtId="173" fontId="80" fillId="8" borderId="0" xfId="46" applyFont="1" applyFill="1" applyAlignment="1" applyProtection="1">
      <alignment/>
      <protection/>
    </xf>
    <xf numFmtId="173" fontId="35" fillId="8" borderId="0" xfId="0" applyFont="1" applyFill="1" applyAlignment="1">
      <alignment/>
    </xf>
    <xf numFmtId="1" fontId="19" fillId="8" borderId="0" xfId="52" applyNumberFormat="1" applyFont="1" applyFill="1" applyAlignment="1">
      <alignment horizontal="left"/>
      <protection/>
    </xf>
    <xf numFmtId="0" fontId="1" fillId="9" borderId="16" xfId="52" applyFill="1" applyBorder="1" applyAlignment="1">
      <alignment horizontal="center"/>
      <protection/>
    </xf>
    <xf numFmtId="0" fontId="1" fillId="9" borderId="12" xfId="52" applyFill="1" applyBorder="1" applyAlignment="1">
      <alignment horizontal="center"/>
      <protection/>
    </xf>
    <xf numFmtId="0" fontId="29" fillId="0" borderId="4" xfId="52" applyFont="1" applyBorder="1" applyAlignment="1">
      <alignment horizontal="center" vertical="center"/>
      <protection/>
    </xf>
    <xf numFmtId="0" fontId="29" fillId="0" borderId="5" xfId="52" applyFont="1" applyBorder="1" applyAlignment="1">
      <alignment horizontal="center" vertical="center"/>
      <protection/>
    </xf>
    <xf numFmtId="0" fontId="29" fillId="0" borderId="6" xfId="52" applyFont="1" applyBorder="1" applyAlignment="1">
      <alignment horizontal="center" vertical="center"/>
      <protection/>
    </xf>
    <xf numFmtId="0" fontId="29" fillId="0" borderId="9" xfId="52" applyFont="1" applyBorder="1" applyAlignment="1">
      <alignment horizontal="center" vertical="center"/>
      <protection/>
    </xf>
    <xf numFmtId="0" fontId="29" fillId="0" borderId="8" xfId="52" applyFont="1" applyBorder="1" applyAlignment="1">
      <alignment horizontal="center" vertical="center"/>
      <protection/>
    </xf>
    <xf numFmtId="0" fontId="29" fillId="0" borderId="10" xfId="52" applyFont="1" applyBorder="1" applyAlignment="1">
      <alignment horizontal="center" vertical="center"/>
      <protection/>
    </xf>
    <xf numFmtId="0" fontId="1" fillId="9" borderId="2" xfId="52" applyFill="1" applyBorder="1" applyAlignment="1">
      <alignment horizontal="center"/>
      <protection/>
    </xf>
    <xf numFmtId="0" fontId="1" fillId="0" borderId="12" xfId="52" applyBorder="1" applyAlignment="1">
      <alignment horizontal="center"/>
      <protection/>
    </xf>
    <xf numFmtId="0" fontId="1" fillId="8" borderId="16" xfId="52" applyFill="1" applyBorder="1" applyAlignment="1">
      <alignment horizontal="center"/>
      <protection/>
    </xf>
    <xf numFmtId="0" fontId="1" fillId="8" borderId="12" xfId="52" applyFill="1" applyBorder="1" applyAlignment="1">
      <alignment horizontal="center"/>
      <protection/>
    </xf>
    <xf numFmtId="0" fontId="1" fillId="9" borderId="11" xfId="52" applyFill="1" applyBorder="1" applyAlignment="1">
      <alignment horizontal="center"/>
      <protection/>
    </xf>
    <xf numFmtId="0" fontId="1" fillId="8" borderId="5" xfId="52" applyFill="1" applyBorder="1" applyAlignment="1">
      <alignment horizontal="center"/>
      <protection/>
    </xf>
    <xf numFmtId="0" fontId="26" fillId="2" borderId="8" xfId="52" applyFont="1" applyFill="1" applyBorder="1" applyAlignment="1" applyProtection="1">
      <alignment horizontal="left" vertical="center"/>
      <protection locked="0"/>
    </xf>
    <xf numFmtId="0" fontId="26" fillId="2" borderId="8" xfId="52" applyFont="1" applyFill="1" applyBorder="1" applyAlignment="1" applyProtection="1">
      <alignment horizontal="left" vertical="center" shrinkToFit="1"/>
      <protection locked="0"/>
    </xf>
    <xf numFmtId="173" fontId="0" fillId="2" borderId="8" xfId="0" applyBorder="1" applyAlignment="1">
      <alignment vertical="center" shrinkToFit="1"/>
    </xf>
    <xf numFmtId="2" fontId="27" fillId="2" borderId="0" xfId="52" applyNumberFormat="1" applyFont="1" applyFill="1" applyBorder="1" applyAlignment="1" applyProtection="1">
      <alignment horizontal="right"/>
      <protection locked="0"/>
    </xf>
    <xf numFmtId="2" fontId="27" fillId="2" borderId="8" xfId="52" applyNumberFormat="1" applyFont="1" applyFill="1" applyBorder="1" applyAlignment="1" applyProtection="1">
      <alignment horizontal="right"/>
      <protection locked="0"/>
    </xf>
    <xf numFmtId="0" fontId="20" fillId="8" borderId="4" xfId="52" applyFont="1" applyFill="1" applyBorder="1" applyAlignment="1">
      <alignment horizontal="center" vertical="center"/>
      <protection/>
    </xf>
    <xf numFmtId="0" fontId="20" fillId="8" borderId="6" xfId="52" applyFont="1" applyFill="1" applyBorder="1" applyAlignment="1">
      <alignment horizontal="center" vertical="center"/>
      <protection/>
    </xf>
    <xf numFmtId="0" fontId="20" fillId="8" borderId="9" xfId="52" applyFont="1" applyFill="1" applyBorder="1" applyAlignment="1">
      <alignment horizontal="center" vertical="center"/>
      <protection/>
    </xf>
    <xf numFmtId="0" fontId="20" fillId="8" borderId="10" xfId="52" applyFont="1" applyFill="1" applyBorder="1" applyAlignment="1">
      <alignment horizontal="center" vertical="center"/>
      <protection/>
    </xf>
    <xf numFmtId="0" fontId="22" fillId="8" borderId="0" xfId="52" applyFont="1" applyFill="1" applyAlignment="1">
      <alignment horizontal="center"/>
      <protection/>
    </xf>
    <xf numFmtId="0" fontId="22" fillId="8" borderId="7" xfId="52" applyFont="1" applyFill="1" applyBorder="1" applyAlignment="1">
      <alignment horizontal="center"/>
      <protection/>
    </xf>
    <xf numFmtId="0" fontId="22" fillId="8" borderId="8" xfId="52" applyFont="1" applyFill="1" applyBorder="1" applyAlignment="1">
      <alignment horizontal="center"/>
      <protection/>
    </xf>
    <xf numFmtId="0" fontId="22" fillId="8" borderId="10" xfId="52" applyFont="1" applyFill="1" applyBorder="1" applyAlignment="1">
      <alignment horizontal="center"/>
      <protection/>
    </xf>
    <xf numFmtId="0" fontId="26" fillId="2" borderId="8" xfId="52" applyFont="1" applyFill="1" applyBorder="1" applyAlignment="1" applyProtection="1">
      <alignment horizontal="left"/>
      <protection locked="0"/>
    </xf>
    <xf numFmtId="0" fontId="1" fillId="8" borderId="0" xfId="52" applyFill="1" applyBorder="1" applyAlignment="1">
      <alignment horizontal="center"/>
      <protection/>
    </xf>
    <xf numFmtId="0" fontId="1" fillId="8" borderId="8" xfId="52" applyFill="1" applyBorder="1" applyAlignment="1">
      <alignment horizontal="center"/>
      <protection/>
    </xf>
    <xf numFmtId="195" fontId="75" fillId="2" borderId="8" xfId="52" applyNumberFormat="1" applyFont="1" applyFill="1" applyBorder="1" applyAlignment="1" applyProtection="1">
      <alignment horizontal="center" shrinkToFit="1"/>
      <protection locked="0"/>
    </xf>
    <xf numFmtId="173" fontId="2" fillId="2" borderId="2" xfId="0" applyNumberFormat="1" applyFont="1" applyFill="1" applyBorder="1" applyAlignment="1" applyProtection="1">
      <alignment horizontal="center"/>
      <protection locked="0"/>
    </xf>
    <xf numFmtId="173" fontId="2" fillId="2" borderId="12" xfId="0" applyNumberFormat="1" applyFont="1" applyFill="1" applyBorder="1" applyAlignment="1" applyProtection="1">
      <alignment horizontal="center"/>
      <protection locked="0"/>
    </xf>
    <xf numFmtId="173" fontId="0" fillId="2" borderId="2" xfId="0" applyFill="1" applyBorder="1" applyAlignment="1" applyProtection="1">
      <alignment horizontal="center"/>
      <protection locked="0"/>
    </xf>
    <xf numFmtId="173" fontId="0" fillId="2" borderId="12" xfId="0" applyFill="1" applyBorder="1" applyAlignment="1" applyProtection="1">
      <alignment horizontal="center"/>
      <protection locked="0"/>
    </xf>
    <xf numFmtId="191" fontId="2" fillId="2" borderId="2" xfId="0" applyNumberFormat="1" applyFont="1" applyFill="1" applyBorder="1" applyAlignment="1" applyProtection="1">
      <alignment horizontal="center"/>
      <protection locked="0"/>
    </xf>
    <xf numFmtId="173" fontId="34" fillId="8" borderId="5" xfId="0" applyFont="1" applyFill="1" applyBorder="1" applyAlignment="1">
      <alignment horizontal="center"/>
    </xf>
    <xf numFmtId="191" fontId="2" fillId="3" borderId="8" xfId="57" applyNumberFormat="1" applyFont="1" applyBorder="1" applyAlignment="1">
      <alignment horizontal="center"/>
      <protection hidden="1"/>
    </xf>
    <xf numFmtId="191" fontId="2" fillId="3" borderId="8" xfId="57" applyNumberFormat="1" applyBorder="1" applyAlignment="1">
      <alignment horizontal="center"/>
      <protection hidden="1"/>
    </xf>
    <xf numFmtId="173" fontId="0" fillId="2" borderId="8" xfId="0" applyFill="1" applyBorder="1" applyAlignment="1" applyProtection="1">
      <alignment horizontal="center"/>
      <protection locked="0"/>
    </xf>
    <xf numFmtId="173" fontId="43" fillId="0" borderId="9" xfId="0" applyFont="1" applyFill="1" applyBorder="1" applyAlignment="1">
      <alignment horizontal="left"/>
    </xf>
    <xf numFmtId="173" fontId="43" fillId="0" borderId="8" xfId="0" applyFont="1" applyFill="1" applyBorder="1" applyAlignment="1">
      <alignment horizontal="left"/>
    </xf>
    <xf numFmtId="173" fontId="2" fillId="8" borderId="0" xfId="0" applyFont="1" applyFill="1" applyAlignment="1" applyProtection="1">
      <alignment horizontal="center"/>
      <protection/>
    </xf>
    <xf numFmtId="49" fontId="0" fillId="2" borderId="8" xfId="0" applyNumberFormat="1" applyBorder="1" applyAlignment="1" applyProtection="1">
      <alignment horizontal="center" vertical="center" shrinkToFit="1"/>
      <protection locked="0"/>
    </xf>
    <xf numFmtId="191" fontId="7" fillId="3" borderId="8" xfId="57" applyNumberFormat="1" applyFont="1" applyBorder="1" applyAlignment="1">
      <alignment horizontal="center"/>
      <protection hidden="1"/>
    </xf>
    <xf numFmtId="191" fontId="7" fillId="3" borderId="8" xfId="57" applyNumberFormat="1" applyFont="1" applyBorder="1" applyAlignment="1">
      <alignment horizontal="right"/>
      <protection hidden="1"/>
    </xf>
    <xf numFmtId="191" fontId="7" fillId="2" borderId="2" xfId="57" applyNumberFormat="1" applyFont="1" applyFill="1" applyBorder="1" applyAlignment="1" applyProtection="1">
      <alignment horizontal="right"/>
      <protection locked="0"/>
    </xf>
    <xf numFmtId="191" fontId="7" fillId="2" borderId="8" xfId="0" applyNumberFormat="1" applyFont="1" applyFill="1" applyBorder="1" applyAlignment="1" applyProtection="1">
      <alignment horizontal="right"/>
      <protection locked="0"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173" fontId="0" fillId="8" borderId="0" xfId="0" applyFill="1" applyAlignment="1">
      <alignment horizontal="center" textRotation="90"/>
    </xf>
    <xf numFmtId="191" fontId="2" fillId="2" borderId="9" xfId="0" applyNumberFormat="1" applyFont="1" applyFill="1" applyBorder="1" applyAlignment="1" applyProtection="1">
      <alignment horizontal="center"/>
      <protection locked="0"/>
    </xf>
    <xf numFmtId="191" fontId="2" fillId="2" borderId="10" xfId="0" applyNumberFormat="1" applyFont="1" applyFill="1" applyBorder="1" applyAlignment="1" applyProtection="1">
      <alignment horizontal="center"/>
      <protection locked="0"/>
    </xf>
    <xf numFmtId="191" fontId="2" fillId="2" borderId="8" xfId="0" applyNumberFormat="1" applyFont="1" applyFill="1" applyBorder="1" applyAlignment="1" applyProtection="1">
      <alignment horizontal="center"/>
      <protection locked="0"/>
    </xf>
    <xf numFmtId="191" fontId="2" fillId="2" borderId="9" xfId="0" applyNumberFormat="1" applyFont="1" applyFill="1" applyBorder="1" applyAlignment="1" applyProtection="1">
      <alignment horizontal="left"/>
      <protection locked="0"/>
    </xf>
    <xf numFmtId="191" fontId="2" fillId="2" borderId="10" xfId="0" applyNumberFormat="1" applyFont="1" applyFill="1" applyBorder="1" applyAlignment="1" applyProtection="1">
      <alignment horizontal="left"/>
      <protection locked="0"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49" fontId="2" fillId="2" borderId="8" xfId="0" applyNumberFormat="1" applyFont="1" applyFill="1" applyBorder="1" applyAlignment="1" applyProtection="1">
      <alignment horizontal="left"/>
      <protection locked="0"/>
    </xf>
    <xf numFmtId="49" fontId="2" fillId="2" borderId="10" xfId="0" applyNumberFormat="1" applyFont="1" applyFill="1" applyBorder="1" applyAlignment="1" applyProtection="1">
      <alignment horizontal="left"/>
      <protection locked="0"/>
    </xf>
    <xf numFmtId="191" fontId="2" fillId="3" borderId="15" xfId="0" applyNumberFormat="1" applyFont="1" applyFill="1" applyBorder="1" applyAlignment="1" applyProtection="1">
      <alignment horizontal="center"/>
      <protection/>
    </xf>
    <xf numFmtId="191" fontId="2" fillId="2" borderId="15" xfId="0" applyNumberFormat="1" applyFont="1" applyFill="1" applyBorder="1" applyAlignment="1" applyProtection="1">
      <alignment horizontal="left"/>
      <protection locked="0"/>
    </xf>
    <xf numFmtId="191" fontId="2" fillId="2" borderId="1" xfId="0" applyNumberFormat="1" applyFont="1" applyFill="1" applyBorder="1" applyAlignment="1" applyProtection="1">
      <alignment horizontal="left"/>
      <protection locked="0"/>
    </xf>
    <xf numFmtId="173" fontId="2" fillId="2" borderId="8" xfId="0" applyFont="1" applyFill="1" applyBorder="1" applyAlignment="1" applyProtection="1">
      <alignment horizontal="left"/>
      <protection locked="0"/>
    </xf>
    <xf numFmtId="191" fontId="2" fillId="3" borderId="1" xfId="0" applyNumberFormat="1" applyFont="1" applyFill="1" applyBorder="1" applyAlignment="1" applyProtection="1">
      <alignment horizontal="left"/>
      <protection/>
    </xf>
    <xf numFmtId="191" fontId="2" fillId="3" borderId="15" xfId="0" applyNumberFormat="1" applyFont="1" applyFill="1" applyBorder="1" applyAlignment="1" applyProtection="1">
      <alignment horizontal="left"/>
      <protection/>
    </xf>
    <xf numFmtId="191" fontId="2" fillId="2" borderId="12" xfId="0" applyNumberFormat="1" applyFont="1" applyFill="1" applyBorder="1" applyAlignment="1" applyProtection="1">
      <alignment horizontal="center"/>
      <protection locked="0"/>
    </xf>
    <xf numFmtId="191" fontId="2" fillId="2" borderId="2" xfId="0" applyNumberFormat="1" applyFont="1" applyFill="1" applyBorder="1" applyAlignment="1" applyProtection="1">
      <alignment horizontal="left"/>
      <protection locked="0"/>
    </xf>
    <xf numFmtId="191" fontId="2" fillId="2" borderId="8" xfId="0" applyNumberFormat="1" applyFont="1" applyFill="1" applyBorder="1" applyAlignment="1" applyProtection="1">
      <alignment horizontal="left"/>
      <protection locked="0"/>
    </xf>
    <xf numFmtId="173" fontId="0" fillId="2" borderId="2" xfId="0" applyBorder="1" applyAlignment="1" applyProtection="1">
      <alignment horizontal="left"/>
      <protection locked="0"/>
    </xf>
    <xf numFmtId="8" fontId="64" fillId="8" borderId="16" xfId="53" applyNumberFormat="1" applyFont="1" applyFill="1" applyBorder="1" applyAlignment="1" applyProtection="1">
      <alignment horizontal="center"/>
      <protection/>
    </xf>
    <xf numFmtId="0" fontId="64" fillId="8" borderId="2" xfId="53" applyFont="1" applyFill="1" applyBorder="1" applyAlignment="1" applyProtection="1">
      <alignment horizontal="center"/>
      <protection/>
    </xf>
    <xf numFmtId="0" fontId="67" fillId="8" borderId="4" xfId="53" applyFont="1" applyFill="1" applyBorder="1" applyAlignment="1" applyProtection="1">
      <alignment horizontal="center"/>
      <protection/>
    </xf>
    <xf numFmtId="0" fontId="67" fillId="8" borderId="5" xfId="53" applyFont="1" applyFill="1" applyBorder="1" applyAlignment="1" applyProtection="1">
      <alignment horizontal="center"/>
      <protection/>
    </xf>
    <xf numFmtId="0" fontId="66" fillId="8" borderId="9" xfId="53" applyFont="1" applyFill="1" applyBorder="1" applyAlignment="1" applyProtection="1">
      <alignment horizontal="center"/>
      <protection/>
    </xf>
    <xf numFmtId="0" fontId="66" fillId="8" borderId="8" xfId="53" applyFont="1" applyFill="1" applyBorder="1" applyAlignment="1" applyProtection="1">
      <alignment horizontal="center"/>
      <protection/>
    </xf>
    <xf numFmtId="0" fontId="66" fillId="8" borderId="3" xfId="53" applyFont="1" applyFill="1" applyBorder="1" applyAlignment="1" applyProtection="1">
      <alignment horizontal="center"/>
      <protection/>
    </xf>
    <xf numFmtId="0" fontId="66" fillId="8" borderId="0" xfId="53" applyFont="1" applyFill="1" applyBorder="1" applyAlignment="1" applyProtection="1">
      <alignment horizontal="center"/>
      <protection/>
    </xf>
    <xf numFmtId="49" fontId="7" fillId="3" borderId="9" xfId="54" applyNumberFormat="1" applyFont="1" applyFill="1" applyBorder="1" applyAlignment="1" applyProtection="1">
      <alignment horizontal="center" vertical="center"/>
      <protection/>
    </xf>
    <xf numFmtId="49" fontId="7" fillId="3" borderId="8" xfId="54" applyNumberFormat="1" applyFont="1" applyFill="1" applyBorder="1" applyAlignment="1" applyProtection="1">
      <alignment horizontal="center" vertical="center"/>
      <protection/>
    </xf>
    <xf numFmtId="49" fontId="7" fillId="3" borderId="10" xfId="54" applyNumberFormat="1" applyFont="1" applyFill="1" applyBorder="1" applyAlignment="1" applyProtection="1">
      <alignment horizontal="center" vertical="center"/>
      <protection/>
    </xf>
    <xf numFmtId="49" fontId="7" fillId="14" borderId="9" xfId="54" applyNumberFormat="1" applyFont="1" applyFill="1" applyBorder="1" applyAlignment="1" applyProtection="1">
      <alignment horizontal="center" vertical="center"/>
      <protection locked="0"/>
    </xf>
    <xf numFmtId="49" fontId="7" fillId="14" borderId="8" xfId="54" applyNumberFormat="1" applyFont="1" applyFill="1" applyBorder="1" applyAlignment="1" applyProtection="1">
      <alignment horizontal="center" vertical="center"/>
      <protection locked="0"/>
    </xf>
    <xf numFmtId="49" fontId="7" fillId="14" borderId="10" xfId="54" applyNumberFormat="1" applyFont="1" applyFill="1" applyBorder="1" applyAlignment="1" applyProtection="1">
      <alignment horizontal="center" vertical="center"/>
      <protection locked="0"/>
    </xf>
  </cellXfs>
  <cellStyles count="45">
    <cellStyle name="Normal" xfId="0"/>
    <cellStyle name="Comma" xfId="15"/>
    <cellStyle name="Comma [0]" xfId="16"/>
    <cellStyle name="Comma [0]_alberta" xfId="17"/>
    <cellStyle name="Comma [0]_Book1" xfId="18"/>
    <cellStyle name="Comma [0]_T1-Page 1 b" xfId="19"/>
    <cellStyle name="Comma [0]_T2204a" xfId="20"/>
    <cellStyle name="Comma [0]_T2205" xfId="21"/>
    <cellStyle name="Comma [0]_T4 New Format" xfId="22"/>
    <cellStyle name="Comma_alberta" xfId="23"/>
    <cellStyle name="Comma_Book1" xfId="24"/>
    <cellStyle name="Comma_T1-Page 1 b" xfId="25"/>
    <cellStyle name="Comma_T2204a" xfId="26"/>
    <cellStyle name="Comma_T2205" xfId="27"/>
    <cellStyle name="Comma_T4 New Format" xfId="28"/>
    <cellStyle name="Currency" xfId="29"/>
    <cellStyle name="Currency [0]" xfId="30"/>
    <cellStyle name="Currency [0]_alberta" xfId="31"/>
    <cellStyle name="Currency [0]_Book1" xfId="32"/>
    <cellStyle name="Currency [0]_T1-Page 1 b" xfId="33"/>
    <cellStyle name="Currency [0]_T2204a" xfId="34"/>
    <cellStyle name="Currency [0]_T2205" xfId="35"/>
    <cellStyle name="Currency [0]_T4 New Format" xfId="36"/>
    <cellStyle name="Currency_alberta" xfId="37"/>
    <cellStyle name="Currency_Book1" xfId="38"/>
    <cellStyle name="Currency_T1-Page 1 b" xfId="39"/>
    <cellStyle name="Currency_T2204a" xfId="40"/>
    <cellStyle name="Currency_T2205" xfId="41"/>
    <cellStyle name="Currency_T4 New Format" xfId="42"/>
    <cellStyle name="Followed Hyperlink" xfId="43"/>
    <cellStyle name="Followed Hyperlink_T2204a" xfId="44"/>
    <cellStyle name="Followed Hyperlink_T2205" xfId="45"/>
    <cellStyle name="Hyperlink" xfId="46"/>
    <cellStyle name="Hyperlink_T2204a" xfId="47"/>
    <cellStyle name="Hyperlink_T2205" xfId="48"/>
    <cellStyle name="Main 1" xfId="49"/>
    <cellStyle name="Normal_alberta" xfId="50"/>
    <cellStyle name="Normal_Book1" xfId="51"/>
    <cellStyle name="Normal_T1-Page 1 b" xfId="52"/>
    <cellStyle name="Normal_T2204a" xfId="53"/>
    <cellStyle name="Normal_T2205" xfId="54"/>
    <cellStyle name="Normal_T4 New Format" xfId="55"/>
    <cellStyle name="Percent" xfId="56"/>
    <cellStyle name="protect &amp; lock" xfId="57"/>
    <cellStyle name="sch12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9FFFF"/>
      <rgbColor rgb="00CCFFCC"/>
      <rgbColor rgb="00FFFFC8"/>
      <rgbColor rgb="0099CCFF"/>
      <rgbColor rgb="00FFEBF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Relationship Id="rId3" Type="http://schemas.openxmlformats.org/officeDocument/2006/relationships/image" Target="../media/image8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685800</xdr:colOff>
      <xdr:row>2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1432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123825</xdr:rowOff>
    </xdr:from>
    <xdr:to>
      <xdr:col>0</xdr:col>
      <xdr:colOff>2047875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1981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2057400</xdr:colOff>
      <xdr:row>1</xdr:row>
      <xdr:rowOff>28575</xdr:rowOff>
    </xdr:from>
    <xdr:to>
      <xdr:col>2</xdr:col>
      <xdr:colOff>9525</xdr:colOff>
      <xdr:row>2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15240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47625</xdr:rowOff>
    </xdr:from>
    <xdr:to>
      <xdr:col>2</xdr:col>
      <xdr:colOff>657225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38125"/>
          <a:ext cx="1581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1</xdr:row>
      <xdr:rowOff>76200</xdr:rowOff>
    </xdr:from>
    <xdr:to>
      <xdr:col>2</xdr:col>
      <xdr:colOff>1390650</xdr:colOff>
      <xdr:row>2</xdr:row>
      <xdr:rowOff>180975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6670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0</xdr:col>
      <xdr:colOff>1905000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905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1962150</xdr:colOff>
      <xdr:row>0</xdr:row>
      <xdr:rowOff>161925</xdr:rowOff>
    </xdr:from>
    <xdr:to>
      <xdr:col>0</xdr:col>
      <xdr:colOff>2590800</xdr:colOff>
      <xdr:row>2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16192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962025</xdr:colOff>
      <xdr:row>0</xdr:row>
      <xdr:rowOff>38100</xdr:rowOff>
    </xdr:from>
    <xdr:to>
      <xdr:col>1</xdr:col>
      <xdr:colOff>1590675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810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0</xdr:row>
      <xdr:rowOff>28575</xdr:rowOff>
    </xdr:from>
    <xdr:to>
      <xdr:col>0</xdr:col>
      <xdr:colOff>1524000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85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0</xdr:row>
      <xdr:rowOff>9525</xdr:rowOff>
    </xdr:from>
    <xdr:to>
      <xdr:col>2</xdr:col>
      <xdr:colOff>447675</xdr:colOff>
      <xdr:row>2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95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0</xdr:rowOff>
    </xdr:from>
    <xdr:to>
      <xdr:col>1</xdr:col>
      <xdr:colOff>1000125</xdr:colOff>
      <xdr:row>2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0</xdr:row>
      <xdr:rowOff>28575</xdr:rowOff>
    </xdr:from>
    <xdr:to>
      <xdr:col>1</xdr:col>
      <xdr:colOff>1114425</xdr:colOff>
      <xdr:row>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85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57150</xdr:rowOff>
    </xdr:from>
    <xdr:to>
      <xdr:col>1</xdr:col>
      <xdr:colOff>809625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71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0</xdr:row>
      <xdr:rowOff>57150</xdr:rowOff>
    </xdr:from>
    <xdr:to>
      <xdr:col>0</xdr:col>
      <xdr:colOff>1476375</xdr:colOff>
      <xdr:row>2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71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3</xdr:row>
      <xdr:rowOff>19050</xdr:rowOff>
    </xdr:from>
    <xdr:to>
      <xdr:col>2</xdr:col>
      <xdr:colOff>476250</xdr:colOff>
      <xdr:row>3</xdr:row>
      <xdr:rowOff>190500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962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</xdr:row>
      <xdr:rowOff>19050</xdr:rowOff>
    </xdr:from>
    <xdr:to>
      <xdr:col>2</xdr:col>
      <xdr:colOff>476250</xdr:colOff>
      <xdr:row>2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771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19050</xdr:rowOff>
    </xdr:from>
    <xdr:to>
      <xdr:col>2</xdr:col>
      <xdr:colOff>476250</xdr:colOff>
      <xdr:row>4</xdr:row>
      <xdr:rowOff>190500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1152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10</xdr:row>
      <xdr:rowOff>19050</xdr:rowOff>
    </xdr:from>
    <xdr:to>
      <xdr:col>2</xdr:col>
      <xdr:colOff>476250</xdr:colOff>
      <xdr:row>10</xdr:row>
      <xdr:rowOff>190500</xdr:rowOff>
    </xdr:to>
    <xdr:pic>
      <xdr:nvPicPr>
        <xdr:cNvPr id="4" name="CommandButton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2295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11</xdr:row>
      <xdr:rowOff>19050</xdr:rowOff>
    </xdr:from>
    <xdr:to>
      <xdr:col>2</xdr:col>
      <xdr:colOff>476250</xdr:colOff>
      <xdr:row>11</xdr:row>
      <xdr:rowOff>190500</xdr:rowOff>
    </xdr:to>
    <xdr:pic>
      <xdr:nvPicPr>
        <xdr:cNvPr id="5" name="CommandButton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2486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12</xdr:row>
      <xdr:rowOff>19050</xdr:rowOff>
    </xdr:from>
    <xdr:to>
      <xdr:col>2</xdr:col>
      <xdr:colOff>476250</xdr:colOff>
      <xdr:row>12</xdr:row>
      <xdr:rowOff>190500</xdr:rowOff>
    </xdr:to>
    <xdr:pic>
      <xdr:nvPicPr>
        <xdr:cNvPr id="6" name="CommandButton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2676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13</xdr:row>
      <xdr:rowOff>19050</xdr:rowOff>
    </xdr:from>
    <xdr:to>
      <xdr:col>2</xdr:col>
      <xdr:colOff>476250</xdr:colOff>
      <xdr:row>13</xdr:row>
      <xdr:rowOff>190500</xdr:rowOff>
    </xdr:to>
    <xdr:pic>
      <xdr:nvPicPr>
        <xdr:cNvPr id="7" name="CommandButton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2867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14</xdr:row>
      <xdr:rowOff>19050</xdr:rowOff>
    </xdr:from>
    <xdr:to>
      <xdr:col>2</xdr:col>
      <xdr:colOff>476250</xdr:colOff>
      <xdr:row>14</xdr:row>
      <xdr:rowOff>190500</xdr:rowOff>
    </xdr:to>
    <xdr:pic>
      <xdr:nvPicPr>
        <xdr:cNvPr id="8" name="CommandButton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3057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15</xdr:row>
      <xdr:rowOff>19050</xdr:rowOff>
    </xdr:from>
    <xdr:to>
      <xdr:col>2</xdr:col>
      <xdr:colOff>476250</xdr:colOff>
      <xdr:row>15</xdr:row>
      <xdr:rowOff>190500</xdr:rowOff>
    </xdr:to>
    <xdr:pic>
      <xdr:nvPicPr>
        <xdr:cNvPr id="9" name="CommandButton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3248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16</xdr:row>
      <xdr:rowOff>19050</xdr:rowOff>
    </xdr:from>
    <xdr:to>
      <xdr:col>2</xdr:col>
      <xdr:colOff>476250</xdr:colOff>
      <xdr:row>16</xdr:row>
      <xdr:rowOff>190500</xdr:rowOff>
    </xdr:to>
    <xdr:pic>
      <xdr:nvPicPr>
        <xdr:cNvPr id="10" name="CommandButton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3438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17</xdr:row>
      <xdr:rowOff>19050</xdr:rowOff>
    </xdr:from>
    <xdr:to>
      <xdr:col>2</xdr:col>
      <xdr:colOff>476250</xdr:colOff>
      <xdr:row>17</xdr:row>
      <xdr:rowOff>190500</xdr:rowOff>
    </xdr:to>
    <xdr:pic>
      <xdr:nvPicPr>
        <xdr:cNvPr id="11" name="CommandButton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3629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18</xdr:row>
      <xdr:rowOff>19050</xdr:rowOff>
    </xdr:from>
    <xdr:to>
      <xdr:col>2</xdr:col>
      <xdr:colOff>476250</xdr:colOff>
      <xdr:row>18</xdr:row>
      <xdr:rowOff>190500</xdr:rowOff>
    </xdr:to>
    <xdr:pic>
      <xdr:nvPicPr>
        <xdr:cNvPr id="12" name="CommandButton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3819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19</xdr:row>
      <xdr:rowOff>19050</xdr:rowOff>
    </xdr:from>
    <xdr:to>
      <xdr:col>2</xdr:col>
      <xdr:colOff>476250</xdr:colOff>
      <xdr:row>19</xdr:row>
      <xdr:rowOff>190500</xdr:rowOff>
    </xdr:to>
    <xdr:pic>
      <xdr:nvPicPr>
        <xdr:cNvPr id="13" name="CommandButton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4010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3</xdr:row>
      <xdr:rowOff>19050</xdr:rowOff>
    </xdr:from>
    <xdr:to>
      <xdr:col>7</xdr:col>
      <xdr:colOff>476250</xdr:colOff>
      <xdr:row>3</xdr:row>
      <xdr:rowOff>190500</xdr:rowOff>
    </xdr:to>
    <xdr:pic>
      <xdr:nvPicPr>
        <xdr:cNvPr id="14" name="CommandButton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962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</xdr:row>
      <xdr:rowOff>19050</xdr:rowOff>
    </xdr:from>
    <xdr:to>
      <xdr:col>7</xdr:col>
      <xdr:colOff>476250</xdr:colOff>
      <xdr:row>4</xdr:row>
      <xdr:rowOff>190500</xdr:rowOff>
    </xdr:to>
    <xdr:pic>
      <xdr:nvPicPr>
        <xdr:cNvPr id="15" name="CommandButton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1152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5</xdr:row>
      <xdr:rowOff>19050</xdr:rowOff>
    </xdr:from>
    <xdr:to>
      <xdr:col>7</xdr:col>
      <xdr:colOff>476250</xdr:colOff>
      <xdr:row>5</xdr:row>
      <xdr:rowOff>190500</xdr:rowOff>
    </xdr:to>
    <xdr:pic>
      <xdr:nvPicPr>
        <xdr:cNvPr id="16" name="CommandButton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1343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6</xdr:row>
      <xdr:rowOff>19050</xdr:rowOff>
    </xdr:from>
    <xdr:to>
      <xdr:col>7</xdr:col>
      <xdr:colOff>476250</xdr:colOff>
      <xdr:row>6</xdr:row>
      <xdr:rowOff>190500</xdr:rowOff>
    </xdr:to>
    <xdr:pic>
      <xdr:nvPicPr>
        <xdr:cNvPr id="17" name="CommandButton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1533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7</xdr:row>
      <xdr:rowOff>19050</xdr:rowOff>
    </xdr:from>
    <xdr:to>
      <xdr:col>7</xdr:col>
      <xdr:colOff>476250</xdr:colOff>
      <xdr:row>7</xdr:row>
      <xdr:rowOff>190500</xdr:rowOff>
    </xdr:to>
    <xdr:pic>
      <xdr:nvPicPr>
        <xdr:cNvPr id="18" name="CommandButton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1724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8</xdr:row>
      <xdr:rowOff>19050</xdr:rowOff>
    </xdr:from>
    <xdr:to>
      <xdr:col>7</xdr:col>
      <xdr:colOff>476250</xdr:colOff>
      <xdr:row>8</xdr:row>
      <xdr:rowOff>190500</xdr:rowOff>
    </xdr:to>
    <xdr:pic>
      <xdr:nvPicPr>
        <xdr:cNvPr id="19" name="CommandButton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1914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11</xdr:row>
      <xdr:rowOff>19050</xdr:rowOff>
    </xdr:from>
    <xdr:to>
      <xdr:col>7</xdr:col>
      <xdr:colOff>476250</xdr:colOff>
      <xdr:row>11</xdr:row>
      <xdr:rowOff>190500</xdr:rowOff>
    </xdr:to>
    <xdr:pic>
      <xdr:nvPicPr>
        <xdr:cNvPr id="20" name="CommandButton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486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14</xdr:row>
      <xdr:rowOff>19050</xdr:rowOff>
    </xdr:from>
    <xdr:to>
      <xdr:col>7</xdr:col>
      <xdr:colOff>476250</xdr:colOff>
      <xdr:row>14</xdr:row>
      <xdr:rowOff>190500</xdr:rowOff>
    </xdr:to>
    <xdr:pic>
      <xdr:nvPicPr>
        <xdr:cNvPr id="21" name="CommandButton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3057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15</xdr:row>
      <xdr:rowOff>19050</xdr:rowOff>
    </xdr:from>
    <xdr:to>
      <xdr:col>7</xdr:col>
      <xdr:colOff>476250</xdr:colOff>
      <xdr:row>15</xdr:row>
      <xdr:rowOff>190500</xdr:rowOff>
    </xdr:to>
    <xdr:pic>
      <xdr:nvPicPr>
        <xdr:cNvPr id="22" name="CommandButton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3248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19</xdr:row>
      <xdr:rowOff>19050</xdr:rowOff>
    </xdr:from>
    <xdr:to>
      <xdr:col>7</xdr:col>
      <xdr:colOff>476250</xdr:colOff>
      <xdr:row>19</xdr:row>
      <xdr:rowOff>190500</xdr:rowOff>
    </xdr:to>
    <xdr:pic>
      <xdr:nvPicPr>
        <xdr:cNvPr id="23" name="CommandButton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4010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</xdr:row>
      <xdr:rowOff>19050</xdr:rowOff>
    </xdr:from>
    <xdr:to>
      <xdr:col>4</xdr:col>
      <xdr:colOff>476250</xdr:colOff>
      <xdr:row>2</xdr:row>
      <xdr:rowOff>190500</xdr:rowOff>
    </xdr:to>
    <xdr:pic>
      <xdr:nvPicPr>
        <xdr:cNvPr id="24" name="CommandButton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771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</xdr:row>
      <xdr:rowOff>19050</xdr:rowOff>
    </xdr:from>
    <xdr:to>
      <xdr:col>4</xdr:col>
      <xdr:colOff>476250</xdr:colOff>
      <xdr:row>3</xdr:row>
      <xdr:rowOff>190500</xdr:rowOff>
    </xdr:to>
    <xdr:pic>
      <xdr:nvPicPr>
        <xdr:cNvPr id="25" name="CommandButton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962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</xdr:row>
      <xdr:rowOff>19050</xdr:rowOff>
    </xdr:from>
    <xdr:to>
      <xdr:col>4</xdr:col>
      <xdr:colOff>476250</xdr:colOff>
      <xdr:row>4</xdr:row>
      <xdr:rowOff>190500</xdr:rowOff>
    </xdr:to>
    <xdr:pic>
      <xdr:nvPicPr>
        <xdr:cNvPr id="26" name="CommandButton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1152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10</xdr:row>
      <xdr:rowOff>19050</xdr:rowOff>
    </xdr:from>
    <xdr:to>
      <xdr:col>4</xdr:col>
      <xdr:colOff>476250</xdr:colOff>
      <xdr:row>10</xdr:row>
      <xdr:rowOff>190500</xdr:rowOff>
    </xdr:to>
    <xdr:pic>
      <xdr:nvPicPr>
        <xdr:cNvPr id="27" name="CommandButton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2295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11</xdr:row>
      <xdr:rowOff>19050</xdr:rowOff>
    </xdr:from>
    <xdr:to>
      <xdr:col>4</xdr:col>
      <xdr:colOff>476250</xdr:colOff>
      <xdr:row>11</xdr:row>
      <xdr:rowOff>190500</xdr:rowOff>
    </xdr:to>
    <xdr:pic>
      <xdr:nvPicPr>
        <xdr:cNvPr id="28" name="CommandButton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2486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12</xdr:row>
      <xdr:rowOff>19050</xdr:rowOff>
    </xdr:from>
    <xdr:to>
      <xdr:col>4</xdr:col>
      <xdr:colOff>476250</xdr:colOff>
      <xdr:row>12</xdr:row>
      <xdr:rowOff>190500</xdr:rowOff>
    </xdr:to>
    <xdr:pic>
      <xdr:nvPicPr>
        <xdr:cNvPr id="29" name="CommandButton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2676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13</xdr:row>
      <xdr:rowOff>19050</xdr:rowOff>
    </xdr:from>
    <xdr:to>
      <xdr:col>4</xdr:col>
      <xdr:colOff>476250</xdr:colOff>
      <xdr:row>13</xdr:row>
      <xdr:rowOff>190500</xdr:rowOff>
    </xdr:to>
    <xdr:pic>
      <xdr:nvPicPr>
        <xdr:cNvPr id="30" name="CommandButton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90775" y="2867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14</xdr:row>
      <xdr:rowOff>19050</xdr:rowOff>
    </xdr:from>
    <xdr:to>
      <xdr:col>4</xdr:col>
      <xdr:colOff>476250</xdr:colOff>
      <xdr:row>14</xdr:row>
      <xdr:rowOff>190500</xdr:rowOff>
    </xdr:to>
    <xdr:pic>
      <xdr:nvPicPr>
        <xdr:cNvPr id="31" name="CommandButton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90775" y="3057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15</xdr:row>
      <xdr:rowOff>19050</xdr:rowOff>
    </xdr:from>
    <xdr:to>
      <xdr:col>4</xdr:col>
      <xdr:colOff>476250</xdr:colOff>
      <xdr:row>15</xdr:row>
      <xdr:rowOff>190500</xdr:rowOff>
    </xdr:to>
    <xdr:pic>
      <xdr:nvPicPr>
        <xdr:cNvPr id="32" name="CommandButton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3248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16</xdr:row>
      <xdr:rowOff>19050</xdr:rowOff>
    </xdr:from>
    <xdr:to>
      <xdr:col>4</xdr:col>
      <xdr:colOff>476250</xdr:colOff>
      <xdr:row>16</xdr:row>
      <xdr:rowOff>190500</xdr:rowOff>
    </xdr:to>
    <xdr:pic>
      <xdr:nvPicPr>
        <xdr:cNvPr id="33" name="CommandButton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3438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17</xdr:row>
      <xdr:rowOff>19050</xdr:rowOff>
    </xdr:from>
    <xdr:to>
      <xdr:col>4</xdr:col>
      <xdr:colOff>476250</xdr:colOff>
      <xdr:row>17</xdr:row>
      <xdr:rowOff>190500</xdr:rowOff>
    </xdr:to>
    <xdr:pic>
      <xdr:nvPicPr>
        <xdr:cNvPr id="34" name="CommandButton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3629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18</xdr:row>
      <xdr:rowOff>19050</xdr:rowOff>
    </xdr:from>
    <xdr:to>
      <xdr:col>4</xdr:col>
      <xdr:colOff>476250</xdr:colOff>
      <xdr:row>18</xdr:row>
      <xdr:rowOff>190500</xdr:rowOff>
    </xdr:to>
    <xdr:pic>
      <xdr:nvPicPr>
        <xdr:cNvPr id="35" name="CommandButton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3819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19</xdr:row>
      <xdr:rowOff>19050</xdr:rowOff>
    </xdr:from>
    <xdr:to>
      <xdr:col>4</xdr:col>
      <xdr:colOff>476250</xdr:colOff>
      <xdr:row>19</xdr:row>
      <xdr:rowOff>190500</xdr:rowOff>
    </xdr:to>
    <xdr:pic>
      <xdr:nvPicPr>
        <xdr:cNvPr id="36" name="CommandButton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4010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3</xdr:row>
      <xdr:rowOff>19050</xdr:rowOff>
    </xdr:from>
    <xdr:to>
      <xdr:col>9</xdr:col>
      <xdr:colOff>476250</xdr:colOff>
      <xdr:row>3</xdr:row>
      <xdr:rowOff>190500</xdr:rowOff>
    </xdr:to>
    <xdr:pic>
      <xdr:nvPicPr>
        <xdr:cNvPr id="37" name="CommandButton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962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4</xdr:row>
      <xdr:rowOff>19050</xdr:rowOff>
    </xdr:from>
    <xdr:to>
      <xdr:col>9</xdr:col>
      <xdr:colOff>476250</xdr:colOff>
      <xdr:row>4</xdr:row>
      <xdr:rowOff>190500</xdr:rowOff>
    </xdr:to>
    <xdr:pic>
      <xdr:nvPicPr>
        <xdr:cNvPr id="38" name="CommandButton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152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5</xdr:row>
      <xdr:rowOff>19050</xdr:rowOff>
    </xdr:from>
    <xdr:to>
      <xdr:col>9</xdr:col>
      <xdr:colOff>476250</xdr:colOff>
      <xdr:row>5</xdr:row>
      <xdr:rowOff>190500</xdr:rowOff>
    </xdr:to>
    <xdr:pic>
      <xdr:nvPicPr>
        <xdr:cNvPr id="39" name="CommandButton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343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6</xdr:row>
      <xdr:rowOff>19050</xdr:rowOff>
    </xdr:from>
    <xdr:to>
      <xdr:col>9</xdr:col>
      <xdr:colOff>476250</xdr:colOff>
      <xdr:row>6</xdr:row>
      <xdr:rowOff>190500</xdr:rowOff>
    </xdr:to>
    <xdr:pic>
      <xdr:nvPicPr>
        <xdr:cNvPr id="40" name="CommandButton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1533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7</xdr:row>
      <xdr:rowOff>19050</xdr:rowOff>
    </xdr:from>
    <xdr:to>
      <xdr:col>9</xdr:col>
      <xdr:colOff>476250</xdr:colOff>
      <xdr:row>7</xdr:row>
      <xdr:rowOff>190500</xdr:rowOff>
    </xdr:to>
    <xdr:pic>
      <xdr:nvPicPr>
        <xdr:cNvPr id="41" name="CommandButton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724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8</xdr:row>
      <xdr:rowOff>19050</xdr:rowOff>
    </xdr:from>
    <xdr:to>
      <xdr:col>9</xdr:col>
      <xdr:colOff>476250</xdr:colOff>
      <xdr:row>8</xdr:row>
      <xdr:rowOff>190500</xdr:rowOff>
    </xdr:to>
    <xdr:pic>
      <xdr:nvPicPr>
        <xdr:cNvPr id="42" name="CommandButton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914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11</xdr:row>
      <xdr:rowOff>19050</xdr:rowOff>
    </xdr:from>
    <xdr:to>
      <xdr:col>9</xdr:col>
      <xdr:colOff>476250</xdr:colOff>
      <xdr:row>11</xdr:row>
      <xdr:rowOff>190500</xdr:rowOff>
    </xdr:to>
    <xdr:pic>
      <xdr:nvPicPr>
        <xdr:cNvPr id="43" name="CommandButton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486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14</xdr:row>
      <xdr:rowOff>19050</xdr:rowOff>
    </xdr:from>
    <xdr:to>
      <xdr:col>9</xdr:col>
      <xdr:colOff>476250</xdr:colOff>
      <xdr:row>14</xdr:row>
      <xdr:rowOff>190500</xdr:rowOff>
    </xdr:to>
    <xdr:pic>
      <xdr:nvPicPr>
        <xdr:cNvPr id="44" name="CommandButton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3057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15</xdr:row>
      <xdr:rowOff>19050</xdr:rowOff>
    </xdr:from>
    <xdr:to>
      <xdr:col>9</xdr:col>
      <xdr:colOff>476250</xdr:colOff>
      <xdr:row>15</xdr:row>
      <xdr:rowOff>190500</xdr:rowOff>
    </xdr:to>
    <xdr:pic>
      <xdr:nvPicPr>
        <xdr:cNvPr id="45" name="CommandButton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3248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19</xdr:row>
      <xdr:rowOff>19050</xdr:rowOff>
    </xdr:from>
    <xdr:to>
      <xdr:col>9</xdr:col>
      <xdr:colOff>476250</xdr:colOff>
      <xdr:row>19</xdr:row>
      <xdr:rowOff>190500</xdr:rowOff>
    </xdr:to>
    <xdr:pic>
      <xdr:nvPicPr>
        <xdr:cNvPr id="46" name="CommandButton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4010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18</xdr:row>
      <xdr:rowOff>19050</xdr:rowOff>
    </xdr:from>
    <xdr:to>
      <xdr:col>7</xdr:col>
      <xdr:colOff>476250</xdr:colOff>
      <xdr:row>18</xdr:row>
      <xdr:rowOff>190500</xdr:rowOff>
    </xdr:to>
    <xdr:pic>
      <xdr:nvPicPr>
        <xdr:cNvPr id="47" name="CommandButton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3819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18</xdr:row>
      <xdr:rowOff>19050</xdr:rowOff>
    </xdr:from>
    <xdr:to>
      <xdr:col>9</xdr:col>
      <xdr:colOff>476250</xdr:colOff>
      <xdr:row>18</xdr:row>
      <xdr:rowOff>190500</xdr:rowOff>
    </xdr:to>
    <xdr:pic>
      <xdr:nvPicPr>
        <xdr:cNvPr id="48" name="CommandButton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3819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12</xdr:row>
      <xdr:rowOff>19050</xdr:rowOff>
    </xdr:from>
    <xdr:to>
      <xdr:col>7</xdr:col>
      <xdr:colOff>476250</xdr:colOff>
      <xdr:row>12</xdr:row>
      <xdr:rowOff>190500</xdr:rowOff>
    </xdr:to>
    <xdr:pic>
      <xdr:nvPicPr>
        <xdr:cNvPr id="49" name="CommandButton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676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12</xdr:row>
      <xdr:rowOff>19050</xdr:rowOff>
    </xdr:from>
    <xdr:to>
      <xdr:col>9</xdr:col>
      <xdr:colOff>476250</xdr:colOff>
      <xdr:row>12</xdr:row>
      <xdr:rowOff>190500</xdr:rowOff>
    </xdr:to>
    <xdr:pic>
      <xdr:nvPicPr>
        <xdr:cNvPr id="50" name="CommandButton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2676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17</xdr:row>
      <xdr:rowOff>19050</xdr:rowOff>
    </xdr:from>
    <xdr:to>
      <xdr:col>7</xdr:col>
      <xdr:colOff>476250</xdr:colOff>
      <xdr:row>17</xdr:row>
      <xdr:rowOff>190500</xdr:rowOff>
    </xdr:to>
    <xdr:pic>
      <xdr:nvPicPr>
        <xdr:cNvPr id="51" name="CommandButton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3629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17</xdr:row>
      <xdr:rowOff>19050</xdr:rowOff>
    </xdr:from>
    <xdr:to>
      <xdr:col>9</xdr:col>
      <xdr:colOff>476250</xdr:colOff>
      <xdr:row>17</xdr:row>
      <xdr:rowOff>190500</xdr:rowOff>
    </xdr:to>
    <xdr:pic>
      <xdr:nvPicPr>
        <xdr:cNvPr id="52" name="CommandButton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3629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10</xdr:row>
      <xdr:rowOff>19050</xdr:rowOff>
    </xdr:from>
    <xdr:to>
      <xdr:col>7</xdr:col>
      <xdr:colOff>476250</xdr:colOff>
      <xdr:row>10</xdr:row>
      <xdr:rowOff>190500</xdr:rowOff>
    </xdr:to>
    <xdr:pic>
      <xdr:nvPicPr>
        <xdr:cNvPr id="53" name="CommandButton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295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10</xdr:row>
      <xdr:rowOff>19050</xdr:rowOff>
    </xdr:from>
    <xdr:to>
      <xdr:col>9</xdr:col>
      <xdr:colOff>476250</xdr:colOff>
      <xdr:row>10</xdr:row>
      <xdr:rowOff>190500</xdr:rowOff>
    </xdr:to>
    <xdr:pic>
      <xdr:nvPicPr>
        <xdr:cNvPr id="54" name="CommandButton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295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13</xdr:row>
      <xdr:rowOff>19050</xdr:rowOff>
    </xdr:from>
    <xdr:to>
      <xdr:col>7</xdr:col>
      <xdr:colOff>476250</xdr:colOff>
      <xdr:row>13</xdr:row>
      <xdr:rowOff>190500</xdr:rowOff>
    </xdr:to>
    <xdr:pic>
      <xdr:nvPicPr>
        <xdr:cNvPr id="55" name="CommandButton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867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13</xdr:row>
      <xdr:rowOff>19050</xdr:rowOff>
    </xdr:from>
    <xdr:to>
      <xdr:col>9</xdr:col>
      <xdr:colOff>476250</xdr:colOff>
      <xdr:row>13</xdr:row>
      <xdr:rowOff>190500</xdr:rowOff>
    </xdr:to>
    <xdr:pic>
      <xdr:nvPicPr>
        <xdr:cNvPr id="56" name="CommandButton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867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</xdr:row>
      <xdr:rowOff>19050</xdr:rowOff>
    </xdr:from>
    <xdr:to>
      <xdr:col>2</xdr:col>
      <xdr:colOff>476250</xdr:colOff>
      <xdr:row>5</xdr:row>
      <xdr:rowOff>190500</xdr:rowOff>
    </xdr:to>
    <xdr:pic>
      <xdr:nvPicPr>
        <xdr:cNvPr id="57" name="CommandButton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1343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6</xdr:row>
      <xdr:rowOff>19050</xdr:rowOff>
    </xdr:from>
    <xdr:to>
      <xdr:col>2</xdr:col>
      <xdr:colOff>476250</xdr:colOff>
      <xdr:row>6</xdr:row>
      <xdr:rowOff>190500</xdr:rowOff>
    </xdr:to>
    <xdr:pic>
      <xdr:nvPicPr>
        <xdr:cNvPr id="58" name="CommandButton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1533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</xdr:row>
      <xdr:rowOff>19050</xdr:rowOff>
    </xdr:from>
    <xdr:to>
      <xdr:col>2</xdr:col>
      <xdr:colOff>476250</xdr:colOff>
      <xdr:row>7</xdr:row>
      <xdr:rowOff>190500</xdr:rowOff>
    </xdr:to>
    <xdr:pic>
      <xdr:nvPicPr>
        <xdr:cNvPr id="59" name="CommandButton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1724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8</xdr:row>
      <xdr:rowOff>19050</xdr:rowOff>
    </xdr:from>
    <xdr:to>
      <xdr:col>2</xdr:col>
      <xdr:colOff>476250</xdr:colOff>
      <xdr:row>8</xdr:row>
      <xdr:rowOff>190500</xdr:rowOff>
    </xdr:to>
    <xdr:pic>
      <xdr:nvPicPr>
        <xdr:cNvPr id="60" name="CommandButton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1914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9</xdr:row>
      <xdr:rowOff>19050</xdr:rowOff>
    </xdr:from>
    <xdr:to>
      <xdr:col>2</xdr:col>
      <xdr:colOff>476250</xdr:colOff>
      <xdr:row>9</xdr:row>
      <xdr:rowOff>190500</xdr:rowOff>
    </xdr:to>
    <xdr:pic>
      <xdr:nvPicPr>
        <xdr:cNvPr id="61" name="CommandButton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2105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5</xdr:row>
      <xdr:rowOff>19050</xdr:rowOff>
    </xdr:from>
    <xdr:to>
      <xdr:col>4</xdr:col>
      <xdr:colOff>476250</xdr:colOff>
      <xdr:row>5</xdr:row>
      <xdr:rowOff>190500</xdr:rowOff>
    </xdr:to>
    <xdr:pic>
      <xdr:nvPicPr>
        <xdr:cNvPr id="62" name="CommandButton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1343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6</xdr:row>
      <xdr:rowOff>19050</xdr:rowOff>
    </xdr:from>
    <xdr:to>
      <xdr:col>4</xdr:col>
      <xdr:colOff>476250</xdr:colOff>
      <xdr:row>6</xdr:row>
      <xdr:rowOff>190500</xdr:rowOff>
    </xdr:to>
    <xdr:pic>
      <xdr:nvPicPr>
        <xdr:cNvPr id="63" name="CommandButton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1533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7</xdr:row>
      <xdr:rowOff>19050</xdr:rowOff>
    </xdr:from>
    <xdr:to>
      <xdr:col>4</xdr:col>
      <xdr:colOff>476250</xdr:colOff>
      <xdr:row>7</xdr:row>
      <xdr:rowOff>190500</xdr:rowOff>
    </xdr:to>
    <xdr:pic>
      <xdr:nvPicPr>
        <xdr:cNvPr id="64" name="CommandButton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1724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8</xdr:row>
      <xdr:rowOff>19050</xdr:rowOff>
    </xdr:from>
    <xdr:to>
      <xdr:col>4</xdr:col>
      <xdr:colOff>476250</xdr:colOff>
      <xdr:row>8</xdr:row>
      <xdr:rowOff>190500</xdr:rowOff>
    </xdr:to>
    <xdr:pic>
      <xdr:nvPicPr>
        <xdr:cNvPr id="65" name="CommandButton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1914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9</xdr:row>
      <xdr:rowOff>19050</xdr:rowOff>
    </xdr:from>
    <xdr:to>
      <xdr:col>4</xdr:col>
      <xdr:colOff>476250</xdr:colOff>
      <xdr:row>9</xdr:row>
      <xdr:rowOff>190500</xdr:rowOff>
    </xdr:to>
    <xdr:pic>
      <xdr:nvPicPr>
        <xdr:cNvPr id="66" name="CommandButton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2105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9</xdr:row>
      <xdr:rowOff>19050</xdr:rowOff>
    </xdr:from>
    <xdr:to>
      <xdr:col>7</xdr:col>
      <xdr:colOff>476250</xdr:colOff>
      <xdr:row>9</xdr:row>
      <xdr:rowOff>190500</xdr:rowOff>
    </xdr:to>
    <xdr:pic>
      <xdr:nvPicPr>
        <xdr:cNvPr id="67" name="CommandButton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105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9</xdr:row>
      <xdr:rowOff>19050</xdr:rowOff>
    </xdr:from>
    <xdr:to>
      <xdr:col>9</xdr:col>
      <xdr:colOff>476250</xdr:colOff>
      <xdr:row>9</xdr:row>
      <xdr:rowOff>190500</xdr:rowOff>
    </xdr:to>
    <xdr:pic>
      <xdr:nvPicPr>
        <xdr:cNvPr id="68" name="CommandButton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1050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20</xdr:row>
      <xdr:rowOff>19050</xdr:rowOff>
    </xdr:from>
    <xdr:to>
      <xdr:col>7</xdr:col>
      <xdr:colOff>476250</xdr:colOff>
      <xdr:row>20</xdr:row>
      <xdr:rowOff>190500</xdr:rowOff>
    </xdr:to>
    <xdr:pic>
      <xdr:nvPicPr>
        <xdr:cNvPr id="69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4200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20</xdr:row>
      <xdr:rowOff>19050</xdr:rowOff>
    </xdr:from>
    <xdr:to>
      <xdr:col>9</xdr:col>
      <xdr:colOff>476250</xdr:colOff>
      <xdr:row>20</xdr:row>
      <xdr:rowOff>190500</xdr:rowOff>
    </xdr:to>
    <xdr:pic>
      <xdr:nvPicPr>
        <xdr:cNvPr id="70" name="CommandButton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42005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66675</xdr:rowOff>
    </xdr:from>
    <xdr:to>
      <xdr:col>0</xdr:col>
      <xdr:colOff>1447800</xdr:colOff>
      <xdr:row>2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66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1114425</xdr:colOff>
      <xdr:row>0</xdr:row>
      <xdr:rowOff>57150</xdr:rowOff>
    </xdr:from>
    <xdr:to>
      <xdr:col>0</xdr:col>
      <xdr:colOff>1743075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571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0</xdr:rowOff>
    </xdr:from>
    <xdr:to>
      <xdr:col>0</xdr:col>
      <xdr:colOff>1590675</xdr:colOff>
      <xdr:row>1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523875</xdr:colOff>
      <xdr:row>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1</xdr:col>
      <xdr:colOff>466725</xdr:colOff>
      <xdr:row>2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95250</xdr:rowOff>
    </xdr:from>
    <xdr:to>
      <xdr:col>1</xdr:col>
      <xdr:colOff>466725</xdr:colOff>
      <xdr:row>2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476250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476250</xdr:colOff>
      <xdr:row>2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1</xdr:col>
      <xdr:colOff>476250</xdr:colOff>
      <xdr:row>3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476250</xdr:colOff>
      <xdr:row>3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0</xdr:col>
      <xdr:colOff>723900</xdr:colOff>
      <xdr:row>2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67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1</xdr:col>
      <xdr:colOff>495300</xdr:colOff>
      <xdr:row>2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19050</xdr:rowOff>
    </xdr:from>
    <xdr:to>
      <xdr:col>1</xdr:col>
      <xdr:colOff>504825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2</xdr:col>
      <xdr:colOff>600075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6675"/>
          <a:ext cx="962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161925</xdr:rowOff>
    </xdr:from>
    <xdr:to>
      <xdr:col>1</xdr:col>
      <xdr:colOff>381000</xdr:colOff>
      <xdr:row>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619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2</xdr:col>
      <xdr:colOff>438150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28575</xdr:rowOff>
    </xdr:from>
    <xdr:to>
      <xdr:col>1</xdr:col>
      <xdr:colOff>542925</xdr:colOff>
      <xdr:row>3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5810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1</xdr:col>
      <xdr:colOff>495300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1</xdr:col>
      <xdr:colOff>495300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2</xdr:col>
      <xdr:colOff>323850</xdr:colOff>
      <xdr:row>3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542925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857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15</xdr:row>
      <xdr:rowOff>9525</xdr:rowOff>
    </xdr:from>
    <xdr:to>
      <xdr:col>4</xdr:col>
      <xdr:colOff>504825</xdr:colOff>
      <xdr:row>16</xdr:row>
      <xdr:rowOff>95250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253365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15</xdr:row>
      <xdr:rowOff>9525</xdr:rowOff>
    </xdr:from>
    <xdr:to>
      <xdr:col>5</xdr:col>
      <xdr:colOff>476250</xdr:colOff>
      <xdr:row>16</xdr:row>
      <xdr:rowOff>95250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91275" y="253365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18</xdr:row>
      <xdr:rowOff>19050</xdr:rowOff>
    </xdr:from>
    <xdr:to>
      <xdr:col>4</xdr:col>
      <xdr:colOff>514350</xdr:colOff>
      <xdr:row>19</xdr:row>
      <xdr:rowOff>104775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9775" y="302895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19050</xdr:rowOff>
    </xdr:from>
    <xdr:to>
      <xdr:col>5</xdr:col>
      <xdr:colOff>495300</xdr:colOff>
      <xdr:row>19</xdr:row>
      <xdr:rowOff>104775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302895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9</xdr:row>
      <xdr:rowOff>19050</xdr:rowOff>
    </xdr:from>
    <xdr:to>
      <xdr:col>4</xdr:col>
      <xdr:colOff>504825</xdr:colOff>
      <xdr:row>10</xdr:row>
      <xdr:rowOff>104775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0" y="157162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9</xdr:row>
      <xdr:rowOff>9525</xdr:rowOff>
    </xdr:from>
    <xdr:to>
      <xdr:col>5</xdr:col>
      <xdr:colOff>485775</xdr:colOff>
      <xdr:row>10</xdr:row>
      <xdr:rowOff>95250</xdr:rowOff>
    </xdr:to>
    <xdr:pic>
      <xdr:nvPicPr>
        <xdr:cNvPr id="7" name="OptionButton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15621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11</xdr:row>
      <xdr:rowOff>104775</xdr:rowOff>
    </xdr:from>
    <xdr:to>
      <xdr:col>4</xdr:col>
      <xdr:colOff>504825</xdr:colOff>
      <xdr:row>13</xdr:row>
      <xdr:rowOff>28575</xdr:rowOff>
    </xdr:to>
    <xdr:pic>
      <xdr:nvPicPr>
        <xdr:cNvPr id="8" name="OptionButton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0" y="19812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11</xdr:row>
      <xdr:rowOff>104775</xdr:rowOff>
    </xdr:from>
    <xdr:to>
      <xdr:col>5</xdr:col>
      <xdr:colOff>485775</xdr:colOff>
      <xdr:row>13</xdr:row>
      <xdr:rowOff>28575</xdr:rowOff>
    </xdr:to>
    <xdr:pic>
      <xdr:nvPicPr>
        <xdr:cNvPr id="9" name="OptionButton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19812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21</xdr:row>
      <xdr:rowOff>19050</xdr:rowOff>
    </xdr:from>
    <xdr:to>
      <xdr:col>4</xdr:col>
      <xdr:colOff>514350</xdr:colOff>
      <xdr:row>22</xdr:row>
      <xdr:rowOff>104775</xdr:rowOff>
    </xdr:to>
    <xdr:pic>
      <xdr:nvPicPr>
        <xdr:cNvPr id="10" name="Option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9775" y="351472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21</xdr:row>
      <xdr:rowOff>19050</xdr:rowOff>
    </xdr:from>
    <xdr:to>
      <xdr:col>5</xdr:col>
      <xdr:colOff>495300</xdr:colOff>
      <xdr:row>22</xdr:row>
      <xdr:rowOff>104775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351472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847725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23850"/>
          <a:ext cx="962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37</xdr:row>
      <xdr:rowOff>104775</xdr:rowOff>
    </xdr:from>
    <xdr:to>
      <xdr:col>5</xdr:col>
      <xdr:colOff>123825</xdr:colOff>
      <xdr:row>43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7839075"/>
          <a:ext cx="18478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85725</xdr:rowOff>
    </xdr:from>
    <xdr:to>
      <xdr:col>2</xdr:col>
      <xdr:colOff>114300</xdr:colOff>
      <xdr:row>4</xdr:row>
      <xdr:rowOff>133350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47</xdr:row>
      <xdr:rowOff>0</xdr:rowOff>
    </xdr:from>
    <xdr:to>
      <xdr:col>1</xdr:col>
      <xdr:colOff>533400</xdr:colOff>
      <xdr:row>49</xdr:row>
      <xdr:rowOff>76200</xdr:rowOff>
    </xdr:to>
    <xdr:sp>
      <xdr:nvSpPr>
        <xdr:cNvPr id="1" name="AutoShape 9"/>
        <xdr:cNvSpPr>
          <a:spLocks/>
        </xdr:cNvSpPr>
      </xdr:nvSpPr>
      <xdr:spPr>
        <a:xfrm>
          <a:off x="352425" y="11077575"/>
          <a:ext cx="485775" cy="5619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2</xdr:col>
      <xdr:colOff>390525</xdr:colOff>
      <xdr:row>130</xdr:row>
      <xdr:rowOff>95250</xdr:rowOff>
    </xdr:from>
    <xdr:to>
      <xdr:col>10</xdr:col>
      <xdr:colOff>457200</xdr:colOff>
      <xdr:row>130</xdr:row>
      <xdr:rowOff>95250</xdr:rowOff>
    </xdr:to>
    <xdr:sp>
      <xdr:nvSpPr>
        <xdr:cNvPr id="2" name="Line 11"/>
        <xdr:cNvSpPr>
          <a:spLocks/>
        </xdr:cNvSpPr>
      </xdr:nvSpPr>
      <xdr:spPr>
        <a:xfrm>
          <a:off x="3476625" y="28394025"/>
          <a:ext cx="523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2</xdr:col>
      <xdr:colOff>400050</xdr:colOff>
      <xdr:row>130</xdr:row>
      <xdr:rowOff>95250</xdr:rowOff>
    </xdr:from>
    <xdr:to>
      <xdr:col>2</xdr:col>
      <xdr:colOff>400050</xdr:colOff>
      <xdr:row>131</xdr:row>
      <xdr:rowOff>57150</xdr:rowOff>
    </xdr:to>
    <xdr:sp>
      <xdr:nvSpPr>
        <xdr:cNvPr id="3" name="Line 12"/>
        <xdr:cNvSpPr>
          <a:spLocks/>
        </xdr:cNvSpPr>
      </xdr:nvSpPr>
      <xdr:spPr>
        <a:xfrm>
          <a:off x="3486150" y="283940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10</xdr:col>
      <xdr:colOff>447675</xdr:colOff>
      <xdr:row>130</xdr:row>
      <xdr:rowOff>95250</xdr:rowOff>
    </xdr:from>
    <xdr:to>
      <xdr:col>10</xdr:col>
      <xdr:colOff>447675</xdr:colOff>
      <xdr:row>132</xdr:row>
      <xdr:rowOff>9525</xdr:rowOff>
    </xdr:to>
    <xdr:sp>
      <xdr:nvSpPr>
        <xdr:cNvPr id="4" name="Line 13"/>
        <xdr:cNvSpPr>
          <a:spLocks/>
        </xdr:cNvSpPr>
      </xdr:nvSpPr>
      <xdr:spPr>
        <a:xfrm>
          <a:off x="8705850" y="283940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</xdr:col>
      <xdr:colOff>981075</xdr:colOff>
      <xdr:row>129</xdr:row>
      <xdr:rowOff>104775</xdr:rowOff>
    </xdr:from>
    <xdr:to>
      <xdr:col>5</xdr:col>
      <xdr:colOff>381000</xdr:colOff>
      <xdr:row>129</xdr:row>
      <xdr:rowOff>104775</xdr:rowOff>
    </xdr:to>
    <xdr:sp>
      <xdr:nvSpPr>
        <xdr:cNvPr id="5" name="Line 14"/>
        <xdr:cNvSpPr>
          <a:spLocks/>
        </xdr:cNvSpPr>
      </xdr:nvSpPr>
      <xdr:spPr>
        <a:xfrm flipH="1">
          <a:off x="4981575" y="282130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</xdr:col>
      <xdr:colOff>981075</xdr:colOff>
      <xdr:row>129</xdr:row>
      <xdr:rowOff>104775</xdr:rowOff>
    </xdr:from>
    <xdr:to>
      <xdr:col>4</xdr:col>
      <xdr:colOff>981075</xdr:colOff>
      <xdr:row>130</xdr:row>
      <xdr:rowOff>104775</xdr:rowOff>
    </xdr:to>
    <xdr:sp>
      <xdr:nvSpPr>
        <xdr:cNvPr id="6" name="Line 15"/>
        <xdr:cNvSpPr>
          <a:spLocks/>
        </xdr:cNvSpPr>
      </xdr:nvSpPr>
      <xdr:spPr>
        <a:xfrm>
          <a:off x="4981575" y="282130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2428875</xdr:colOff>
      <xdr:row>148</xdr:row>
      <xdr:rowOff>104775</xdr:rowOff>
    </xdr:from>
    <xdr:to>
      <xdr:col>10</xdr:col>
      <xdr:colOff>504825</xdr:colOff>
      <xdr:row>148</xdr:row>
      <xdr:rowOff>104775</xdr:rowOff>
    </xdr:to>
    <xdr:sp>
      <xdr:nvSpPr>
        <xdr:cNvPr id="7" name="Line 16"/>
        <xdr:cNvSpPr>
          <a:spLocks/>
        </xdr:cNvSpPr>
      </xdr:nvSpPr>
      <xdr:spPr>
        <a:xfrm>
          <a:off x="2733675" y="32156400"/>
          <a:ext cx="602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2428875</xdr:colOff>
      <xdr:row>136</xdr:row>
      <xdr:rowOff>95250</xdr:rowOff>
    </xdr:from>
    <xdr:to>
      <xdr:col>1</xdr:col>
      <xdr:colOff>2428875</xdr:colOff>
      <xdr:row>148</xdr:row>
      <xdr:rowOff>104775</xdr:rowOff>
    </xdr:to>
    <xdr:sp>
      <xdr:nvSpPr>
        <xdr:cNvPr id="8" name="Line 17"/>
        <xdr:cNvSpPr>
          <a:spLocks/>
        </xdr:cNvSpPr>
      </xdr:nvSpPr>
      <xdr:spPr>
        <a:xfrm flipV="1">
          <a:off x="2733675" y="29508450"/>
          <a:ext cx="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10</xdr:col>
      <xdr:colOff>504825</xdr:colOff>
      <xdr:row>136</xdr:row>
      <xdr:rowOff>95250</xdr:rowOff>
    </xdr:from>
    <xdr:to>
      <xdr:col>10</xdr:col>
      <xdr:colOff>504825</xdr:colOff>
      <xdr:row>148</xdr:row>
      <xdr:rowOff>104775</xdr:rowOff>
    </xdr:to>
    <xdr:sp>
      <xdr:nvSpPr>
        <xdr:cNvPr id="9" name="Line 18"/>
        <xdr:cNvSpPr>
          <a:spLocks/>
        </xdr:cNvSpPr>
      </xdr:nvSpPr>
      <xdr:spPr>
        <a:xfrm flipV="1">
          <a:off x="8763000" y="29508450"/>
          <a:ext cx="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2438400</xdr:colOff>
      <xdr:row>136</xdr:row>
      <xdr:rowOff>95250</xdr:rowOff>
    </xdr:from>
    <xdr:to>
      <xdr:col>10</xdr:col>
      <xdr:colOff>504825</xdr:colOff>
      <xdr:row>136</xdr:row>
      <xdr:rowOff>95250</xdr:rowOff>
    </xdr:to>
    <xdr:sp>
      <xdr:nvSpPr>
        <xdr:cNvPr id="10" name="Line 19"/>
        <xdr:cNvSpPr>
          <a:spLocks/>
        </xdr:cNvSpPr>
      </xdr:nvSpPr>
      <xdr:spPr>
        <a:xfrm>
          <a:off x="2743200" y="29508450"/>
          <a:ext cx="601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1866900</xdr:colOff>
      <xdr:row>164</xdr:row>
      <xdr:rowOff>9525</xdr:rowOff>
    </xdr:from>
    <xdr:to>
      <xdr:col>1</xdr:col>
      <xdr:colOff>2105025</xdr:colOff>
      <xdr:row>164</xdr:row>
      <xdr:rowOff>180975</xdr:rowOff>
    </xdr:to>
    <xdr:sp>
      <xdr:nvSpPr>
        <xdr:cNvPr id="11" name="Rectangle 23"/>
        <xdr:cNvSpPr>
          <a:spLocks/>
        </xdr:cNvSpPr>
      </xdr:nvSpPr>
      <xdr:spPr>
        <a:xfrm>
          <a:off x="2171700" y="35052000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1</xdr:col>
      <xdr:colOff>638175</xdr:colOff>
      <xdr:row>2</xdr:row>
      <xdr:rowOff>114300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28575</xdr:colOff>
      <xdr:row>164</xdr:row>
      <xdr:rowOff>9525</xdr:rowOff>
    </xdr:from>
    <xdr:to>
      <xdr:col>2</xdr:col>
      <xdr:colOff>266700</xdr:colOff>
      <xdr:row>164</xdr:row>
      <xdr:rowOff>180975</xdr:rowOff>
    </xdr:to>
    <xdr:sp>
      <xdr:nvSpPr>
        <xdr:cNvPr id="13" name="Rectangle 54"/>
        <xdr:cNvSpPr>
          <a:spLocks/>
        </xdr:cNvSpPr>
      </xdr:nvSpPr>
      <xdr:spPr>
        <a:xfrm>
          <a:off x="3114675" y="35052000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1</xdr:col>
      <xdr:colOff>676275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9525</xdr:rowOff>
    </xdr:from>
    <xdr:to>
      <xdr:col>0</xdr:col>
      <xdr:colOff>1419225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52400" y="200025"/>
          <a:ext cx="1266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1695450</xdr:colOff>
      <xdr:row>1</xdr:row>
      <xdr:rowOff>9525</xdr:rowOff>
    </xdr:from>
    <xdr:to>
      <xdr:col>0</xdr:col>
      <xdr:colOff>2324100</xdr:colOff>
      <xdr:row>2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20002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104775</xdr:rowOff>
    </xdr:from>
    <xdr:to>
      <xdr:col>1</xdr:col>
      <xdr:colOff>1914525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885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2085975</xdr:colOff>
      <xdr:row>0</xdr:row>
      <xdr:rowOff>219075</xdr:rowOff>
    </xdr:from>
    <xdr:to>
      <xdr:col>2</xdr:col>
      <xdr:colOff>523875</xdr:colOff>
      <xdr:row>1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21907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29.xml" /><Relationship Id="rId4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30.xml" /><Relationship Id="rId4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31.xml" /><Relationship Id="rId4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32.xml" /><Relationship Id="rId4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33.xml" /><Relationship Id="rId4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34.xml" /><Relationship Id="rId4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37.xml" /><Relationship Id="rId4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H76"/>
  <sheetViews>
    <sheetView showGridLines="0" showRowColHeaders="0" tabSelected="1" zoomScale="70" zoomScaleNormal="70" workbookViewId="0" topLeftCell="A1">
      <selection activeCell="H16" sqref="H16"/>
    </sheetView>
  </sheetViews>
  <sheetFormatPr defaultColWidth="9.77734375" defaultRowHeight="15"/>
  <cols>
    <col min="1" max="1" width="62.6640625" style="0" customWidth="1"/>
    <col min="2" max="2" width="4.77734375" style="0" customWidth="1"/>
    <col min="3" max="3" width="11.77734375" style="0" customWidth="1"/>
    <col min="4" max="4" width="4.77734375" style="0" customWidth="1"/>
    <col min="5" max="5" width="11.77734375" style="0" customWidth="1"/>
    <col min="6" max="6" width="4.77734375" style="0" customWidth="1"/>
    <col min="7" max="7" width="3.77734375" style="0" customWidth="1"/>
    <col min="8" max="8" width="2.21484375" style="0" customWidth="1"/>
  </cols>
  <sheetData>
    <row r="1" spans="1:8" ht="20.25">
      <c r="A1" s="364" t="s">
        <v>1003</v>
      </c>
      <c r="B1" s="595" t="s">
        <v>1004</v>
      </c>
      <c r="C1" s="121"/>
      <c r="D1" s="121"/>
      <c r="E1" s="339"/>
      <c r="F1" s="121"/>
      <c r="G1" s="339" t="s">
        <v>1197</v>
      </c>
      <c r="H1" s="125"/>
    </row>
    <row r="2" spans="1:8" ht="20.25">
      <c r="A2" s="174" t="s">
        <v>776</v>
      </c>
      <c r="B2" s="595"/>
      <c r="C2" s="121"/>
      <c r="D2" s="121"/>
      <c r="E2" s="339"/>
      <c r="F2" s="121"/>
      <c r="G2" s="339"/>
      <c r="H2" s="125"/>
    </row>
    <row r="3" spans="1:8" ht="20.25">
      <c r="A3" s="174"/>
      <c r="B3" s="595"/>
      <c r="C3" s="121"/>
      <c r="D3" s="121"/>
      <c r="E3" s="339"/>
      <c r="F3" s="121"/>
      <c r="G3" s="339"/>
      <c r="H3" s="125"/>
    </row>
    <row r="4" spans="1:8" ht="20.25">
      <c r="A4" s="815" t="s">
        <v>487</v>
      </c>
      <c r="B4" s="130"/>
      <c r="C4" s="130"/>
      <c r="D4" s="130"/>
      <c r="E4" s="130"/>
      <c r="F4" s="130"/>
      <c r="G4" s="130"/>
      <c r="H4" s="239"/>
    </row>
    <row r="5" spans="1:8" ht="18">
      <c r="A5" s="224" t="s">
        <v>1307</v>
      </c>
      <c r="B5" s="186"/>
      <c r="C5" s="186"/>
      <c r="D5" s="186"/>
      <c r="E5" s="186"/>
      <c r="F5" s="186"/>
      <c r="G5" s="186"/>
      <c r="H5" s="240"/>
    </row>
    <row r="6" spans="1:8" ht="18">
      <c r="A6" s="225" t="s">
        <v>1934</v>
      </c>
      <c r="B6" s="122"/>
      <c r="C6" s="122"/>
      <c r="D6" s="122"/>
      <c r="E6" s="122"/>
      <c r="F6" s="122"/>
      <c r="G6" s="122"/>
      <c r="H6" s="245"/>
    </row>
    <row r="7" spans="1:8" ht="33" customHeight="1">
      <c r="A7" s="176" t="s">
        <v>490</v>
      </c>
      <c r="B7" s="186"/>
      <c r="C7" s="186"/>
      <c r="D7" s="186"/>
      <c r="E7" s="186"/>
      <c r="F7" s="125"/>
      <c r="G7" s="125"/>
      <c r="H7" s="125"/>
    </row>
    <row r="8" spans="1:8" ht="18">
      <c r="A8" s="176" t="s">
        <v>777</v>
      </c>
      <c r="B8" s="186"/>
      <c r="C8" s="186"/>
      <c r="D8" s="186"/>
      <c r="E8" s="186"/>
      <c r="F8" s="125"/>
      <c r="G8" s="125"/>
      <c r="H8" s="125"/>
    </row>
    <row r="9" spans="1:8" ht="18">
      <c r="A9" s="176" t="s">
        <v>488</v>
      </c>
      <c r="B9" s="186"/>
      <c r="C9" s="186"/>
      <c r="D9" s="186"/>
      <c r="E9" s="186"/>
      <c r="F9" s="125"/>
      <c r="G9" s="125"/>
      <c r="H9" s="125"/>
    </row>
    <row r="10" spans="1:8" ht="18">
      <c r="A10" s="176" t="s">
        <v>489</v>
      </c>
      <c r="B10" s="186"/>
      <c r="C10" s="186"/>
      <c r="D10" s="186"/>
      <c r="E10" s="186"/>
      <c r="F10" s="125"/>
      <c r="G10" s="125"/>
      <c r="H10" s="125"/>
    </row>
    <row r="11" spans="1:8" ht="31.5" customHeight="1">
      <c r="A11" s="176" t="s">
        <v>1686</v>
      </c>
      <c r="B11" s="186"/>
      <c r="C11" s="186"/>
      <c r="D11" s="186"/>
      <c r="E11" s="186"/>
      <c r="F11" s="125"/>
      <c r="G11" s="125"/>
      <c r="H11" s="125"/>
    </row>
    <row r="12" spans="1:8" ht="18">
      <c r="A12" s="176" t="s">
        <v>1687</v>
      </c>
      <c r="B12" s="186"/>
      <c r="C12" s="186"/>
      <c r="D12" s="186"/>
      <c r="E12" s="186"/>
      <c r="F12" s="125"/>
      <c r="G12" s="125"/>
      <c r="H12" s="125"/>
    </row>
    <row r="13" spans="1:8" ht="25.5" customHeight="1">
      <c r="A13" s="176"/>
      <c r="B13" s="125"/>
      <c r="C13" s="811" t="s">
        <v>1196</v>
      </c>
      <c r="D13" s="125"/>
      <c r="E13" s="125"/>
      <c r="F13" s="125"/>
      <c r="G13" s="125"/>
      <c r="H13" s="125"/>
    </row>
    <row r="14" spans="1:8" ht="28.5" customHeight="1">
      <c r="A14" s="176" t="s">
        <v>493</v>
      </c>
      <c r="B14" s="125"/>
      <c r="C14" s="125"/>
      <c r="D14" s="125"/>
      <c r="E14" s="125"/>
      <c r="F14" s="125"/>
      <c r="G14" s="125"/>
      <c r="H14" s="125"/>
    </row>
    <row r="15" spans="1:8" ht="18">
      <c r="A15" s="176" t="s">
        <v>491</v>
      </c>
      <c r="B15" s="125"/>
      <c r="C15" s="125"/>
      <c r="D15" s="125"/>
      <c r="E15" s="125"/>
      <c r="F15" s="125"/>
      <c r="G15" s="125"/>
      <c r="H15" s="125"/>
    </row>
    <row r="16" spans="1:8" ht="18">
      <c r="A16" s="176" t="s">
        <v>492</v>
      </c>
      <c r="B16" s="125"/>
      <c r="C16" s="125"/>
      <c r="D16" s="125"/>
      <c r="E16" s="125"/>
      <c r="F16" s="125"/>
      <c r="G16" s="125"/>
      <c r="H16" s="125"/>
    </row>
    <row r="17" spans="1:8" s="594" customFormat="1" ht="40.5" customHeight="1">
      <c r="A17" s="812" t="s">
        <v>1510</v>
      </c>
      <c r="B17" s="127"/>
      <c r="C17" s="127"/>
      <c r="D17" s="127"/>
      <c r="E17" s="127"/>
      <c r="F17" s="127"/>
      <c r="G17" s="127"/>
      <c r="H17" s="127"/>
    </row>
    <row r="18" spans="1:8" ht="18">
      <c r="A18" s="814" t="s">
        <v>1929</v>
      </c>
      <c r="B18" s="125"/>
      <c r="C18" s="125"/>
      <c r="D18" s="125"/>
      <c r="E18" s="125"/>
      <c r="F18" s="125"/>
      <c r="G18" s="125"/>
      <c r="H18" s="125"/>
    </row>
    <row r="19" spans="1:8" ht="18">
      <c r="A19" s="176" t="s">
        <v>1923</v>
      </c>
      <c r="B19" s="125"/>
      <c r="C19" s="125"/>
      <c r="D19" s="125"/>
      <c r="E19" s="125"/>
      <c r="F19" s="125"/>
      <c r="G19" s="125"/>
      <c r="H19" s="125"/>
    </row>
    <row r="20" spans="1:8" ht="18">
      <c r="A20" s="176" t="s">
        <v>1933</v>
      </c>
      <c r="B20" s="125"/>
      <c r="C20" s="125"/>
      <c r="D20" s="125"/>
      <c r="E20" s="125"/>
      <c r="F20" s="125"/>
      <c r="G20" s="125"/>
      <c r="H20" s="125"/>
    </row>
    <row r="21" spans="1:8" ht="18">
      <c r="A21" s="176" t="s">
        <v>1926</v>
      </c>
      <c r="B21" s="125"/>
      <c r="C21" s="125"/>
      <c r="D21" s="125"/>
      <c r="E21" s="125"/>
      <c r="F21" s="125"/>
      <c r="G21" s="125"/>
      <c r="H21" s="125"/>
    </row>
    <row r="22" spans="1:8" ht="18">
      <c r="A22" s="176" t="s">
        <v>494</v>
      </c>
      <c r="B22" s="125"/>
      <c r="C22" s="125"/>
      <c r="D22" s="125"/>
      <c r="E22" s="125"/>
      <c r="F22" s="125"/>
      <c r="G22" s="125"/>
      <c r="H22" s="125"/>
    </row>
    <row r="23" spans="1:8" ht="24.75" customHeight="1">
      <c r="A23" s="176" t="s">
        <v>778</v>
      </c>
      <c r="B23" s="125"/>
      <c r="C23" s="125"/>
      <c r="D23" s="125"/>
      <c r="E23" s="125"/>
      <c r="F23" s="125"/>
      <c r="G23" s="125"/>
      <c r="H23" s="125"/>
    </row>
    <row r="24" spans="1:8" ht="18">
      <c r="A24" s="176" t="s">
        <v>779</v>
      </c>
      <c r="B24" s="125"/>
      <c r="C24" s="125"/>
      <c r="D24" s="125"/>
      <c r="E24" s="125"/>
      <c r="F24" s="125"/>
      <c r="G24" s="125"/>
      <c r="H24" s="125"/>
    </row>
    <row r="25" spans="1:8" ht="18">
      <c r="A25" s="176" t="s">
        <v>780</v>
      </c>
      <c r="B25" s="125"/>
      <c r="C25" s="125"/>
      <c r="D25" s="125"/>
      <c r="E25" s="125"/>
      <c r="F25" s="125"/>
      <c r="G25" s="125"/>
      <c r="H25" s="125"/>
    </row>
    <row r="26" spans="1:8" ht="18">
      <c r="A26" s="176" t="s">
        <v>1932</v>
      </c>
      <c r="B26" s="125"/>
      <c r="C26" s="125"/>
      <c r="D26" s="125"/>
      <c r="E26" s="125"/>
      <c r="F26" s="125"/>
      <c r="G26" s="125"/>
      <c r="H26" s="125"/>
    </row>
    <row r="27" spans="1:8" ht="18">
      <c r="A27" s="176" t="s">
        <v>495</v>
      </c>
      <c r="B27" s="125"/>
      <c r="C27" s="125"/>
      <c r="D27" s="125"/>
      <c r="E27" s="125"/>
      <c r="F27" s="125"/>
      <c r="G27" s="125"/>
      <c r="H27" s="125"/>
    </row>
    <row r="28" spans="1:8" ht="18">
      <c r="A28" s="176"/>
      <c r="B28" s="125"/>
      <c r="C28" s="125"/>
      <c r="D28" s="125"/>
      <c r="E28" s="125"/>
      <c r="F28" s="125"/>
      <c r="G28" s="125"/>
      <c r="H28" s="125"/>
    </row>
    <row r="29" spans="1:8" ht="18">
      <c r="A29" s="176" t="s">
        <v>1931</v>
      </c>
      <c r="B29" s="125"/>
      <c r="C29" s="125"/>
      <c r="D29" s="125"/>
      <c r="E29" s="125"/>
      <c r="F29" s="125"/>
      <c r="G29" s="125"/>
      <c r="H29" s="125"/>
    </row>
    <row r="30" spans="1:8" ht="18">
      <c r="A30" s="176" t="s">
        <v>1930</v>
      </c>
      <c r="B30" s="125"/>
      <c r="C30" s="125"/>
      <c r="D30" s="125"/>
      <c r="E30" s="125"/>
      <c r="F30" s="125"/>
      <c r="G30" s="125"/>
      <c r="H30" s="125"/>
    </row>
    <row r="31" spans="1:8" ht="18">
      <c r="A31" s="176"/>
      <c r="B31" s="125"/>
      <c r="C31" s="125"/>
      <c r="D31" s="125"/>
      <c r="E31" s="125"/>
      <c r="F31" s="125"/>
      <c r="G31" s="125"/>
      <c r="H31" s="125"/>
    </row>
    <row r="32" spans="1:8" ht="18">
      <c r="A32" s="814" t="s">
        <v>496</v>
      </c>
      <c r="B32" s="125"/>
      <c r="C32" s="125"/>
      <c r="D32" s="125"/>
      <c r="E32" s="125"/>
      <c r="F32" s="125"/>
      <c r="G32" s="125"/>
      <c r="H32" s="125"/>
    </row>
    <row r="33" spans="1:8" ht="25.5" customHeight="1">
      <c r="A33" s="179" t="s">
        <v>1005</v>
      </c>
      <c r="B33" s="125"/>
      <c r="C33" s="157" t="s">
        <v>267</v>
      </c>
      <c r="D33" s="125"/>
      <c r="E33" s="125"/>
      <c r="F33" s="125"/>
      <c r="G33" s="125"/>
      <c r="H33" s="125"/>
    </row>
    <row r="34" spans="1:8" ht="18">
      <c r="A34" s="176" t="s">
        <v>268</v>
      </c>
      <c r="B34" s="125"/>
      <c r="C34" s="371"/>
      <c r="D34" s="125"/>
      <c r="E34" s="125" t="s">
        <v>1306</v>
      </c>
      <c r="F34" s="125"/>
      <c r="G34" s="125"/>
      <c r="H34" s="125"/>
    </row>
    <row r="35" spans="1:8" ht="18">
      <c r="A35" s="176" t="s">
        <v>1078</v>
      </c>
      <c r="B35" s="125"/>
      <c r="C35" s="122"/>
      <c r="D35" s="125"/>
      <c r="E35" s="125" t="s">
        <v>1306</v>
      </c>
      <c r="F35" s="125"/>
      <c r="G35" s="125"/>
      <c r="H35" s="125"/>
    </row>
    <row r="36" spans="1:8" ht="18">
      <c r="A36" s="176" t="s">
        <v>1079</v>
      </c>
      <c r="B36" s="125"/>
      <c r="C36" s="420"/>
      <c r="D36" s="125"/>
      <c r="E36" s="125" t="s">
        <v>1306</v>
      </c>
      <c r="F36" s="125"/>
      <c r="G36" s="125"/>
      <c r="H36" s="125"/>
    </row>
    <row r="37" spans="1:8" ht="15">
      <c r="A37" s="125" t="s">
        <v>1308</v>
      </c>
      <c r="B37" s="125"/>
      <c r="C37" s="421"/>
      <c r="D37" s="125"/>
      <c r="E37" s="125" t="s">
        <v>1080</v>
      </c>
      <c r="F37" s="125"/>
      <c r="G37" s="125"/>
      <c r="H37" s="125"/>
    </row>
    <row r="38" spans="1:8" ht="18">
      <c r="A38" s="176" t="s">
        <v>1889</v>
      </c>
      <c r="B38" s="125"/>
      <c r="C38" s="678"/>
      <c r="D38" s="125"/>
      <c r="E38" s="125"/>
      <c r="F38" s="125"/>
      <c r="G38" s="125"/>
      <c r="H38" s="125"/>
    </row>
    <row r="39" spans="1:8" ht="18">
      <c r="A39" s="176" t="s">
        <v>269</v>
      </c>
      <c r="B39" s="125"/>
      <c r="C39" s="130"/>
      <c r="D39" s="125"/>
      <c r="E39" s="125"/>
      <c r="F39" s="125"/>
      <c r="G39" s="125"/>
      <c r="H39" s="125"/>
    </row>
    <row r="40" spans="1:8" ht="18.75" customHeight="1">
      <c r="A40" s="176"/>
      <c r="B40" s="125"/>
      <c r="C40" s="186"/>
      <c r="D40" s="125"/>
      <c r="E40" s="125"/>
      <c r="F40" s="125"/>
      <c r="G40" s="125"/>
      <c r="H40" s="125"/>
    </row>
    <row r="41" spans="1:8" ht="18">
      <c r="A41" s="137" t="s">
        <v>1924</v>
      </c>
      <c r="B41" s="125"/>
      <c r="C41" s="125"/>
      <c r="D41" s="125"/>
      <c r="E41" s="125"/>
      <c r="F41" s="125"/>
      <c r="G41" s="125"/>
      <c r="H41" s="125"/>
    </row>
    <row r="42" spans="1:8" ht="18">
      <c r="A42" s="176" t="s">
        <v>1927</v>
      </c>
      <c r="B42" s="125"/>
      <c r="C42" s="125"/>
      <c r="D42" s="125"/>
      <c r="E42" s="125"/>
      <c r="F42" s="125"/>
      <c r="G42" s="125"/>
      <c r="H42" s="125"/>
    </row>
    <row r="43" spans="1:8" ht="18">
      <c r="A43" s="176" t="s">
        <v>1928</v>
      </c>
      <c r="B43" s="125"/>
      <c r="C43" s="125"/>
      <c r="D43" s="125"/>
      <c r="E43" s="125"/>
      <c r="F43" s="125"/>
      <c r="G43" s="125"/>
      <c r="H43" s="125"/>
    </row>
    <row r="44" spans="1:8" ht="18">
      <c r="A44" s="176" t="s">
        <v>1925</v>
      </c>
      <c r="B44" s="125"/>
      <c r="C44" s="125"/>
      <c r="D44" s="125"/>
      <c r="E44" s="125"/>
      <c r="F44" s="125"/>
      <c r="G44" s="125"/>
      <c r="H44" s="125"/>
    </row>
    <row r="45" spans="1:8" ht="18">
      <c r="A45" s="176" t="s">
        <v>556</v>
      </c>
      <c r="B45" s="125"/>
      <c r="C45" s="125"/>
      <c r="D45" s="125"/>
      <c r="E45" s="125"/>
      <c r="F45" s="125"/>
      <c r="G45" s="125"/>
      <c r="H45" s="125"/>
    </row>
    <row r="46" spans="1:8" ht="18">
      <c r="A46" s="137" t="s">
        <v>484</v>
      </c>
      <c r="B46" s="125"/>
      <c r="C46" s="125"/>
      <c r="D46" s="125"/>
      <c r="E46" s="125"/>
      <c r="F46" s="125"/>
      <c r="G46" s="125"/>
      <c r="H46" s="125"/>
    </row>
    <row r="47" spans="1:8" ht="18">
      <c r="A47" s="176" t="s">
        <v>485</v>
      </c>
      <c r="B47" s="125"/>
      <c r="C47" s="125"/>
      <c r="D47" s="125"/>
      <c r="E47" s="125"/>
      <c r="F47" s="125"/>
      <c r="G47" s="125"/>
      <c r="H47" s="125"/>
    </row>
    <row r="48" spans="1:8" ht="18">
      <c r="A48" s="176" t="s">
        <v>486</v>
      </c>
      <c r="B48" s="125"/>
      <c r="C48" s="125"/>
      <c r="D48" s="125"/>
      <c r="E48" s="125"/>
      <c r="F48" s="125"/>
      <c r="G48" s="125"/>
      <c r="H48" s="125"/>
    </row>
    <row r="49" spans="1:8" ht="18">
      <c r="A49" s="176" t="s">
        <v>1610</v>
      </c>
      <c r="B49" s="125"/>
      <c r="C49" s="125"/>
      <c r="D49" s="125"/>
      <c r="E49" s="125"/>
      <c r="F49" s="125"/>
      <c r="G49" s="125"/>
      <c r="H49" s="125"/>
    </row>
    <row r="50" spans="1:8" ht="18">
      <c r="A50" s="176" t="s">
        <v>1611</v>
      </c>
      <c r="B50" s="125"/>
      <c r="C50" s="125"/>
      <c r="D50" s="125"/>
      <c r="E50" s="125"/>
      <c r="F50" s="125"/>
      <c r="G50" s="125"/>
      <c r="H50" s="125"/>
    </row>
    <row r="51" spans="1:8" ht="18">
      <c r="A51" s="176" t="s">
        <v>1612</v>
      </c>
      <c r="B51" s="125"/>
      <c r="C51" s="125"/>
      <c r="D51" s="125"/>
      <c r="E51" s="125"/>
      <c r="F51" s="125"/>
      <c r="G51" s="125"/>
      <c r="H51" s="125"/>
    </row>
    <row r="52" spans="1:8" ht="30" customHeight="1">
      <c r="A52" s="137" t="s">
        <v>957</v>
      </c>
      <c r="B52" s="125"/>
      <c r="C52" s="125"/>
      <c r="D52" s="125"/>
      <c r="E52" s="125"/>
      <c r="F52" s="125"/>
      <c r="G52" s="125"/>
      <c r="H52" s="125"/>
    </row>
    <row r="53" spans="1:8" ht="18">
      <c r="A53" s="783" t="s">
        <v>1613</v>
      </c>
      <c r="B53" s="125"/>
      <c r="C53" s="125"/>
      <c r="D53" s="125"/>
      <c r="E53" s="125"/>
      <c r="F53" s="125"/>
      <c r="G53" s="125"/>
      <c r="H53" s="125"/>
    </row>
    <row r="54" spans="1:8" ht="18">
      <c r="A54" s="783" t="s">
        <v>480</v>
      </c>
      <c r="B54" s="125"/>
      <c r="C54" s="125"/>
      <c r="D54" s="125"/>
      <c r="E54" s="125"/>
      <c r="F54" s="125"/>
      <c r="G54" s="125"/>
      <c r="H54" s="125"/>
    </row>
    <row r="55" spans="1:8" ht="18">
      <c r="A55" s="783" t="s">
        <v>481</v>
      </c>
      <c r="B55" s="125"/>
      <c r="C55" s="125"/>
      <c r="D55" s="125"/>
      <c r="E55" s="125"/>
      <c r="F55" s="125"/>
      <c r="G55" s="125"/>
      <c r="H55" s="125"/>
    </row>
    <row r="56" spans="1:8" ht="18">
      <c r="A56" s="783" t="s">
        <v>553</v>
      </c>
      <c r="B56" s="125"/>
      <c r="C56" s="125"/>
      <c r="D56" s="125"/>
      <c r="E56" s="125"/>
      <c r="F56" s="125"/>
      <c r="G56" s="125"/>
      <c r="H56" s="125"/>
    </row>
    <row r="57" spans="1:8" ht="18.75" customHeight="1">
      <c r="A57" s="176" t="s">
        <v>482</v>
      </c>
      <c r="B57" s="125"/>
      <c r="C57" s="125"/>
      <c r="D57" s="125"/>
      <c r="E57" s="125"/>
      <c r="F57" s="125"/>
      <c r="G57" s="125"/>
      <c r="H57" s="125"/>
    </row>
    <row r="58" spans="1:8" ht="18">
      <c r="A58" s="176" t="s">
        <v>554</v>
      </c>
      <c r="B58" s="125"/>
      <c r="C58" s="125"/>
      <c r="D58" s="125"/>
      <c r="E58" s="125"/>
      <c r="F58" s="125"/>
      <c r="G58" s="125"/>
      <c r="H58" s="125"/>
    </row>
    <row r="59" spans="1:8" ht="18">
      <c r="A59" s="176" t="s">
        <v>483</v>
      </c>
      <c r="B59" s="125"/>
      <c r="C59" s="125"/>
      <c r="D59" s="125"/>
      <c r="E59" s="125"/>
      <c r="F59" s="125"/>
      <c r="G59" s="125"/>
      <c r="H59" s="125"/>
    </row>
    <row r="60" spans="1:8" ht="18">
      <c r="A60" s="176" t="s">
        <v>478</v>
      </c>
      <c r="B60" s="125"/>
      <c r="C60" s="125"/>
      <c r="D60" s="125"/>
      <c r="E60" s="125"/>
      <c r="F60" s="125"/>
      <c r="G60" s="125"/>
      <c r="H60" s="125"/>
    </row>
    <row r="61" spans="1:8" ht="18">
      <c r="A61" s="176" t="s">
        <v>479</v>
      </c>
      <c r="B61" s="125"/>
      <c r="C61" s="125"/>
      <c r="D61" s="125"/>
      <c r="E61" s="125"/>
      <c r="F61" s="125"/>
      <c r="G61" s="125"/>
      <c r="H61" s="125"/>
    </row>
    <row r="62" spans="1:8" ht="30" customHeight="1">
      <c r="A62" s="137" t="s">
        <v>565</v>
      </c>
      <c r="B62" s="125"/>
      <c r="C62" s="125"/>
      <c r="D62" s="125"/>
      <c r="E62" s="125"/>
      <c r="F62" s="125"/>
      <c r="G62" s="125"/>
      <c r="H62" s="125"/>
    </row>
    <row r="63" spans="1:8" ht="21.75" customHeight="1">
      <c r="A63" s="176" t="s">
        <v>1615</v>
      </c>
      <c r="B63" s="125"/>
      <c r="C63" s="125"/>
      <c r="D63" s="125"/>
      <c r="E63" s="125"/>
      <c r="F63" s="125"/>
      <c r="G63" s="125"/>
      <c r="H63" s="125"/>
    </row>
    <row r="64" spans="1:8" ht="18">
      <c r="A64" s="176" t="s">
        <v>1051</v>
      </c>
      <c r="B64" s="125"/>
      <c r="C64" s="125"/>
      <c r="D64" s="125"/>
      <c r="E64" s="125"/>
      <c r="F64" s="125"/>
      <c r="G64" s="125"/>
      <c r="H64" s="125"/>
    </row>
    <row r="65" spans="1:8" ht="20.25" customHeight="1">
      <c r="A65" s="176" t="s">
        <v>1616</v>
      </c>
      <c r="B65" s="125"/>
      <c r="C65" s="125"/>
      <c r="D65" s="125"/>
      <c r="E65" s="125"/>
      <c r="F65" s="125"/>
      <c r="G65" s="125"/>
      <c r="H65" s="125"/>
    </row>
    <row r="66" spans="1:8" ht="18">
      <c r="A66" s="176" t="s">
        <v>1617</v>
      </c>
      <c r="B66" s="125"/>
      <c r="C66" s="125"/>
      <c r="D66" s="125"/>
      <c r="E66" s="125"/>
      <c r="F66" s="125"/>
      <c r="G66" s="125"/>
      <c r="H66" s="125"/>
    </row>
    <row r="67" spans="1:8" ht="18">
      <c r="A67" s="784" t="s">
        <v>497</v>
      </c>
      <c r="B67" s="125"/>
      <c r="C67" s="125"/>
      <c r="D67" s="125"/>
      <c r="E67" s="125"/>
      <c r="F67" s="125"/>
      <c r="G67" s="125"/>
      <c r="H67" s="125"/>
    </row>
    <row r="68" spans="1:8" ht="18">
      <c r="A68" s="176" t="s">
        <v>550</v>
      </c>
      <c r="B68" s="125"/>
      <c r="C68" s="125"/>
      <c r="D68" s="125"/>
      <c r="E68" s="125"/>
      <c r="F68" s="125"/>
      <c r="G68" s="125"/>
      <c r="H68" s="125"/>
    </row>
    <row r="69" spans="1:8" ht="18">
      <c r="A69" s="176" t="s">
        <v>551</v>
      </c>
      <c r="B69" s="125"/>
      <c r="C69" s="125"/>
      <c r="D69" s="125"/>
      <c r="E69" s="125"/>
      <c r="F69" s="125"/>
      <c r="G69" s="125"/>
      <c r="H69" s="125"/>
    </row>
    <row r="70" spans="1:8" ht="18">
      <c r="A70" s="176" t="s">
        <v>552</v>
      </c>
      <c r="B70" s="125"/>
      <c r="C70" s="125"/>
      <c r="D70" s="125"/>
      <c r="E70" s="125"/>
      <c r="F70" s="125"/>
      <c r="G70" s="125"/>
      <c r="H70" s="125"/>
    </row>
    <row r="71" spans="1:8" ht="18">
      <c r="A71" s="176" t="s">
        <v>1028</v>
      </c>
      <c r="B71" s="125"/>
      <c r="C71" s="125"/>
      <c r="D71" s="125"/>
      <c r="E71" s="125"/>
      <c r="F71" s="125"/>
      <c r="G71" s="125"/>
      <c r="H71" s="125"/>
    </row>
    <row r="72" spans="1:8" ht="18">
      <c r="A72" s="176" t="s">
        <v>555</v>
      </c>
      <c r="B72" s="125"/>
      <c r="C72" s="125"/>
      <c r="D72" s="125"/>
      <c r="E72" s="125"/>
      <c r="F72" s="125"/>
      <c r="G72" s="125"/>
      <c r="H72" s="125"/>
    </row>
    <row r="73" spans="1:8" ht="18">
      <c r="A73" s="176" t="s">
        <v>1614</v>
      </c>
      <c r="B73" s="125"/>
      <c r="C73" s="125"/>
      <c r="D73" s="125"/>
      <c r="E73" s="125"/>
      <c r="F73" s="125"/>
      <c r="G73" s="125"/>
      <c r="H73" s="125"/>
    </row>
    <row r="74" spans="1:8" ht="30.75" customHeight="1">
      <c r="A74" s="176" t="s">
        <v>1581</v>
      </c>
      <c r="B74" s="125"/>
      <c r="C74" s="125"/>
      <c r="D74" s="125"/>
      <c r="E74" s="125"/>
      <c r="F74" s="125"/>
      <c r="G74" s="125"/>
      <c r="H74" s="125"/>
    </row>
    <row r="75" spans="1:8" ht="15">
      <c r="A75" s="125"/>
      <c r="B75" s="125"/>
      <c r="C75" s="125"/>
      <c r="D75" s="125"/>
      <c r="E75" s="125"/>
      <c r="F75" s="125"/>
      <c r="G75" s="125"/>
      <c r="H75" s="125"/>
    </row>
    <row r="76" spans="1:8" ht="15.75">
      <c r="A76" s="149"/>
      <c r="B76" s="125"/>
      <c r="C76" s="125"/>
      <c r="D76" s="125"/>
      <c r="E76" s="125"/>
      <c r="F76" s="125"/>
      <c r="G76" s="177"/>
      <c r="H76" s="125"/>
    </row>
  </sheetData>
  <sheetProtection password="EC35" sheet="1" objects="1" scenarios="1"/>
  <printOptions horizontalCentered="1"/>
  <pageMargins left="0.511811023622047" right="0.511811023622047" top="0.511811023622047" bottom="0.511811023622047" header="0.511811023622047" footer="0.511811023622047"/>
  <pageSetup fitToHeight="4" fitToWidth="1" horizontalDpi="600" verticalDpi="600" orientation="portrait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3" transitionEvaluation="1">
    <pageSetUpPr fitToPage="1"/>
  </sheetPr>
  <dimension ref="A1:K59"/>
  <sheetViews>
    <sheetView showGridLines="0" showRowColHeaders="0" zoomScale="75" zoomScaleNormal="75" workbookViewId="0" topLeftCell="A1">
      <selection activeCell="B1" sqref="B1"/>
    </sheetView>
  </sheetViews>
  <sheetFormatPr defaultColWidth="9.77734375" defaultRowHeight="15"/>
  <cols>
    <col min="1" max="1" width="24.4453125" style="0" customWidth="1"/>
    <col min="2" max="2" width="6.77734375" style="0" customWidth="1"/>
    <col min="3" max="3" width="12.77734375" style="0" customWidth="1"/>
    <col min="4" max="4" width="6.77734375" style="0" customWidth="1"/>
    <col min="5" max="5" width="12.77734375" style="0" customWidth="1"/>
    <col min="6" max="6" width="6.77734375" style="0" customWidth="1"/>
    <col min="7" max="7" width="12.77734375" style="0" customWidth="1"/>
    <col min="8" max="8" width="6.77734375" style="0" customWidth="1"/>
    <col min="9" max="9" width="12.77734375" style="0" customWidth="1"/>
    <col min="10" max="10" width="5.77734375" style="0" customWidth="1"/>
  </cols>
  <sheetData>
    <row r="1" spans="1:11" ht="9.75" customHeight="1">
      <c r="A1" s="371"/>
      <c r="B1" s="371"/>
      <c r="C1" s="706"/>
      <c r="D1" s="706"/>
      <c r="E1" s="706"/>
      <c r="F1" s="706"/>
      <c r="G1" s="371"/>
      <c r="H1" s="371"/>
      <c r="I1" s="371"/>
      <c r="J1" s="398"/>
      <c r="K1" s="1"/>
    </row>
    <row r="2" spans="1:11" ht="21" customHeight="1">
      <c r="A2" s="371"/>
      <c r="B2" s="399"/>
      <c r="C2" s="706"/>
      <c r="D2" s="706"/>
      <c r="E2" s="707"/>
      <c r="F2" s="706"/>
      <c r="G2" s="371"/>
      <c r="H2" s="371"/>
      <c r="I2" s="371"/>
      <c r="J2" s="398" t="s">
        <v>2035</v>
      </c>
      <c r="K2" s="1"/>
    </row>
    <row r="3" spans="1:11" ht="16.5" customHeight="1">
      <c r="A3" s="371"/>
      <c r="B3" s="399"/>
      <c r="C3" s="702"/>
      <c r="D3" s="702"/>
      <c r="E3" s="707" t="s">
        <v>2036</v>
      </c>
      <c r="F3" s="702"/>
      <c r="G3" s="371"/>
      <c r="H3" s="371"/>
      <c r="I3" s="371"/>
      <c r="J3" s="400" t="s">
        <v>1830</v>
      </c>
      <c r="K3" s="1"/>
    </row>
    <row r="4" spans="1:11" ht="16.5" customHeight="1">
      <c r="A4" s="371"/>
      <c r="B4" s="399"/>
      <c r="C4" s="702"/>
      <c r="D4" s="702"/>
      <c r="E4" s="702"/>
      <c r="F4" s="702"/>
      <c r="G4" s="371"/>
      <c r="H4" s="371"/>
      <c r="I4" s="371"/>
      <c r="J4" s="400"/>
      <c r="K4" s="1"/>
    </row>
    <row r="5" spans="1:11" ht="16.5" customHeight="1">
      <c r="A5" s="459" t="s">
        <v>2037</v>
      </c>
      <c r="B5" s="725"/>
      <c r="C5" s="702"/>
      <c r="D5" s="702"/>
      <c r="E5" s="702"/>
      <c r="F5" s="702"/>
      <c r="G5" s="459"/>
      <c r="H5" s="459"/>
      <c r="I5" s="459"/>
      <c r="J5" s="469"/>
      <c r="K5" s="1"/>
    </row>
    <row r="6" spans="1:11" ht="16.5" customHeight="1">
      <c r="A6" s="459" t="s">
        <v>2038</v>
      </c>
      <c r="B6" s="725"/>
      <c r="C6" s="702"/>
      <c r="D6" s="702"/>
      <c r="E6" s="702"/>
      <c r="F6" s="702"/>
      <c r="G6" s="459"/>
      <c r="H6" s="459"/>
      <c r="I6" s="459"/>
      <c r="J6" s="469"/>
      <c r="K6" s="1"/>
    </row>
    <row r="7" spans="1:11" ht="15" customHeight="1">
      <c r="A7" s="459"/>
      <c r="B7" s="725"/>
      <c r="C7" s="702"/>
      <c r="D7" s="702"/>
      <c r="E7" s="702"/>
      <c r="F7" s="702"/>
      <c r="G7" s="459"/>
      <c r="H7" s="459"/>
      <c r="I7" s="459"/>
      <c r="J7" s="469"/>
      <c r="K7" s="1"/>
    </row>
    <row r="8" spans="1:11" ht="23.25">
      <c r="A8" s="703" t="s">
        <v>2039</v>
      </c>
      <c r="B8" s="725"/>
      <c r="C8" s="702"/>
      <c r="D8" s="702"/>
      <c r="E8" s="702"/>
      <c r="F8" s="702"/>
      <c r="G8" s="459"/>
      <c r="H8" s="459"/>
      <c r="I8" s="459"/>
      <c r="J8" s="469"/>
      <c r="K8" s="1"/>
    </row>
    <row r="9" spans="1:11" ht="15" customHeight="1">
      <c r="A9" s="459"/>
      <c r="B9" s="725"/>
      <c r="C9" s="702"/>
      <c r="D9" s="702"/>
      <c r="E9" s="702"/>
      <c r="F9" s="702"/>
      <c r="G9" s="459"/>
      <c r="H9" s="459"/>
      <c r="I9" s="459"/>
      <c r="J9" s="469"/>
      <c r="K9" s="1"/>
    </row>
    <row r="10" spans="1:11" ht="16.5" customHeight="1">
      <c r="A10" s="460" t="s">
        <v>2040</v>
      </c>
      <c r="B10" s="725"/>
      <c r="C10" s="702"/>
      <c r="D10" s="702"/>
      <c r="E10" s="702"/>
      <c r="F10" s="702"/>
      <c r="G10" s="459"/>
      <c r="H10" s="459"/>
      <c r="I10" s="459"/>
      <c r="J10" s="469"/>
      <c r="K10" s="1"/>
    </row>
    <row r="11" spans="1:11" ht="16.5" customHeight="1">
      <c r="A11" s="459"/>
      <c r="B11" s="725"/>
      <c r="C11" s="702"/>
      <c r="D11" s="702"/>
      <c r="E11" s="702"/>
      <c r="F11" s="702"/>
      <c r="G11" s="459"/>
      <c r="H11" s="459"/>
      <c r="I11" s="459"/>
      <c r="J11" s="469"/>
      <c r="K11" s="1"/>
    </row>
    <row r="12" spans="1:11" ht="15.75" customHeight="1">
      <c r="A12" s="758" t="s">
        <v>2041</v>
      </c>
      <c r="B12" s="726"/>
      <c r="C12" s="710"/>
      <c r="D12" s="712">
        <v>6210</v>
      </c>
      <c r="E12" s="270">
        <f>'NS WRK'!I92</f>
        <v>0</v>
      </c>
      <c r="F12" s="727">
        <v>1</v>
      </c>
      <c r="G12" s="459"/>
      <c r="H12" s="459"/>
      <c r="I12" s="459"/>
      <c r="J12" s="469"/>
      <c r="K12" s="1"/>
    </row>
    <row r="13" spans="1:11" ht="15.75" customHeight="1">
      <c r="A13" s="459" t="s">
        <v>2042</v>
      </c>
      <c r="B13" s="725"/>
      <c r="C13" s="702"/>
      <c r="D13" s="702"/>
      <c r="E13" s="702"/>
      <c r="F13" s="702"/>
      <c r="G13" s="459"/>
      <c r="H13" s="459"/>
      <c r="I13" s="459"/>
      <c r="J13" s="469"/>
      <c r="K13" s="1"/>
    </row>
    <row r="14" spans="1:11" ht="15.75" customHeight="1">
      <c r="A14" s="728" t="s">
        <v>1853</v>
      </c>
      <c r="B14" s="726"/>
      <c r="C14" s="710"/>
      <c r="D14" s="710"/>
      <c r="E14" s="729" t="s">
        <v>82</v>
      </c>
      <c r="F14" s="702"/>
      <c r="G14" s="270">
        <f>'NS WRK'!I94</f>
        <v>0</v>
      </c>
      <c r="H14" s="727">
        <v>2</v>
      </c>
      <c r="I14" s="459"/>
      <c r="J14" s="469"/>
      <c r="K14" s="1"/>
    </row>
    <row r="15" spans="1:11" ht="15.75" customHeight="1">
      <c r="A15" s="459"/>
      <c r="B15" s="725"/>
      <c r="C15" s="702"/>
      <c r="D15" s="702"/>
      <c r="E15" s="702"/>
      <c r="F15" s="702"/>
      <c r="G15" s="459"/>
      <c r="H15" s="459"/>
      <c r="I15" s="459"/>
      <c r="J15" s="469"/>
      <c r="K15" s="1"/>
    </row>
    <row r="16" spans="1:11" ht="16.5" customHeight="1">
      <c r="A16" s="460" t="s">
        <v>2043</v>
      </c>
      <c r="B16" s="725"/>
      <c r="C16" s="702"/>
      <c r="D16" s="702"/>
      <c r="E16" s="702"/>
      <c r="F16" s="702"/>
      <c r="G16" s="459"/>
      <c r="H16" s="459"/>
      <c r="I16" s="459"/>
      <c r="J16" s="469"/>
      <c r="K16" s="1"/>
    </row>
    <row r="17" spans="1:11" ht="16.5" customHeight="1">
      <c r="A17" s="459"/>
      <c r="B17" s="725"/>
      <c r="C17" s="702"/>
      <c r="D17" s="702"/>
      <c r="E17" s="702"/>
      <c r="F17" s="702"/>
      <c r="G17" s="459"/>
      <c r="H17" s="459"/>
      <c r="I17" s="459"/>
      <c r="J17" s="469"/>
      <c r="K17" s="1"/>
    </row>
    <row r="18" spans="1:11" ht="15.75" customHeight="1">
      <c r="A18" s="455" t="s">
        <v>2044</v>
      </c>
      <c r="B18" s="726"/>
      <c r="C18" s="730"/>
      <c r="D18" s="710"/>
      <c r="E18" s="731" t="s">
        <v>2045</v>
      </c>
      <c r="F18" s="712">
        <v>6238</v>
      </c>
      <c r="G18" s="270">
        <f>MINA(0.15*C18,525)</f>
        <v>0</v>
      </c>
      <c r="H18" s="727">
        <v>3</v>
      </c>
      <c r="I18" s="459"/>
      <c r="J18" s="469"/>
      <c r="K18" s="1"/>
    </row>
    <row r="19" spans="1:11" ht="15.75" customHeight="1">
      <c r="A19" s="457" t="s">
        <v>2046</v>
      </c>
      <c r="B19" s="732"/>
      <c r="C19" s="711"/>
      <c r="D19" s="711"/>
      <c r="E19" s="711"/>
      <c r="F19" s="702"/>
      <c r="G19" s="270">
        <f>G14+G18</f>
        <v>0</v>
      </c>
      <c r="H19" s="727">
        <v>4</v>
      </c>
      <c r="I19" s="459"/>
      <c r="J19" s="469"/>
      <c r="K19" s="1"/>
    </row>
    <row r="20" spans="1:11" ht="15.75" customHeight="1">
      <c r="A20" s="459"/>
      <c r="B20" s="725"/>
      <c r="C20" s="702"/>
      <c r="D20" s="702"/>
      <c r="E20" s="702"/>
      <c r="F20" s="702"/>
      <c r="G20" s="459"/>
      <c r="H20" s="459"/>
      <c r="I20" s="459"/>
      <c r="J20" s="469"/>
      <c r="K20" s="1"/>
    </row>
    <row r="21" spans="1:11" ht="15.75" customHeight="1">
      <c r="A21" s="455" t="s">
        <v>2047</v>
      </c>
      <c r="B21" s="726"/>
      <c r="C21" s="710"/>
      <c r="D21" s="710"/>
      <c r="E21" s="710"/>
      <c r="F21" s="702"/>
      <c r="G21" s="270">
        <f>'T1 GEN-2-3-4'!K111</f>
        <v>0</v>
      </c>
      <c r="H21" s="727">
        <v>5</v>
      </c>
      <c r="I21" s="459"/>
      <c r="J21" s="469"/>
      <c r="K21" s="1"/>
    </row>
    <row r="22" spans="1:11" ht="15.75" customHeight="1">
      <c r="A22" s="459" t="s">
        <v>2048</v>
      </c>
      <c r="B22" s="725"/>
      <c r="C22" s="702"/>
      <c r="D22" s="702"/>
      <c r="E22" s="702"/>
      <c r="F22" s="702"/>
      <c r="G22" s="459"/>
      <c r="H22" s="459"/>
      <c r="I22" s="459"/>
      <c r="J22" s="469"/>
      <c r="K22" s="1"/>
    </row>
    <row r="23" spans="1:11" ht="15.75" customHeight="1">
      <c r="A23" s="455"/>
      <c r="B23" s="726"/>
      <c r="C23" s="710"/>
      <c r="D23" s="710"/>
      <c r="E23" s="710"/>
      <c r="F23" s="710"/>
      <c r="G23" s="733" t="s">
        <v>2039</v>
      </c>
      <c r="H23" s="459"/>
      <c r="I23" s="270">
        <f>MINA(G19,G21)</f>
        <v>0</v>
      </c>
      <c r="J23" s="727">
        <v>6</v>
      </c>
      <c r="K23" s="1"/>
    </row>
    <row r="24" spans="1:11" ht="15.75" customHeight="1">
      <c r="A24" s="459"/>
      <c r="B24" s="725"/>
      <c r="C24" s="702"/>
      <c r="D24" s="702"/>
      <c r="E24" s="702"/>
      <c r="F24" s="702"/>
      <c r="G24" s="459"/>
      <c r="H24" s="459"/>
      <c r="I24" s="459"/>
      <c r="J24" s="469"/>
      <c r="K24" s="1"/>
    </row>
    <row r="25" spans="1:11" ht="15.75" customHeight="1">
      <c r="A25" s="734" t="s">
        <v>2049</v>
      </c>
      <c r="B25" s="725"/>
      <c r="C25" s="702"/>
      <c r="D25" s="702"/>
      <c r="E25" s="702"/>
      <c r="F25" s="702"/>
      <c r="G25" s="459"/>
      <c r="H25" s="459"/>
      <c r="I25" s="459"/>
      <c r="J25" s="469"/>
      <c r="K25" s="1"/>
    </row>
    <row r="26" spans="1:11" ht="15.75" customHeight="1">
      <c r="A26" s="735" t="s">
        <v>717</v>
      </c>
      <c r="B26" s="725"/>
      <c r="C26" s="702"/>
      <c r="D26" s="702"/>
      <c r="E26" s="702"/>
      <c r="F26" s="702"/>
      <c r="G26" s="459"/>
      <c r="H26" s="459"/>
      <c r="I26" s="459"/>
      <c r="J26" s="469"/>
      <c r="K26" s="1"/>
    </row>
    <row r="27" spans="1:11" ht="15.75" customHeight="1">
      <c r="A27" s="735"/>
      <c r="B27" s="725"/>
      <c r="C27" s="702"/>
      <c r="D27" s="702"/>
      <c r="E27" s="702"/>
      <c r="F27" s="702"/>
      <c r="G27" s="459"/>
      <c r="H27" s="459"/>
      <c r="I27" s="459"/>
      <c r="J27" s="469"/>
      <c r="K27" s="1"/>
    </row>
    <row r="28" spans="1:11" ht="15.75" customHeight="1">
      <c r="A28" s="735"/>
      <c r="B28" s="725"/>
      <c r="C28" s="702"/>
      <c r="D28" s="702"/>
      <c r="E28" s="702"/>
      <c r="F28" s="702"/>
      <c r="G28" s="459"/>
      <c r="H28" s="459"/>
      <c r="I28" s="459"/>
      <c r="J28" s="469"/>
      <c r="K28" s="1"/>
    </row>
    <row r="29" spans="1:11" ht="15.75" customHeight="1">
      <c r="A29" s="736" t="s">
        <v>718</v>
      </c>
      <c r="B29" s="726"/>
      <c r="C29" s="710"/>
      <c r="D29" s="710"/>
      <c r="E29" s="710"/>
      <c r="F29" s="710"/>
      <c r="G29" s="455"/>
      <c r="H29" s="459"/>
      <c r="I29" s="270">
        <f>I23</f>
        <v>0</v>
      </c>
      <c r="J29" s="727">
        <v>6</v>
      </c>
      <c r="K29" s="1"/>
    </row>
    <row r="30" spans="1:11" ht="30" customHeight="1">
      <c r="A30" s="737" t="s">
        <v>719</v>
      </c>
      <c r="B30" s="725"/>
      <c r="C30" s="702"/>
      <c r="D30" s="702"/>
      <c r="E30" s="702"/>
      <c r="F30" s="702"/>
      <c r="G30" s="459"/>
      <c r="H30" s="459"/>
      <c r="I30" s="459"/>
      <c r="J30" s="469"/>
      <c r="K30" s="1"/>
    </row>
    <row r="31" spans="1:11" ht="15.75" customHeight="1">
      <c r="A31" s="736" t="s">
        <v>720</v>
      </c>
      <c r="B31" s="726"/>
      <c r="C31" s="710"/>
      <c r="D31" s="710"/>
      <c r="E31" s="710"/>
      <c r="F31" s="738">
        <v>6220</v>
      </c>
      <c r="G31" s="730"/>
      <c r="H31" s="727">
        <v>7</v>
      </c>
      <c r="I31" s="459"/>
      <c r="J31" s="469"/>
      <c r="K31" s="1"/>
    </row>
    <row r="32" spans="1:11" ht="15.75" customHeight="1">
      <c r="A32" s="739" t="s">
        <v>721</v>
      </c>
      <c r="B32" s="732"/>
      <c r="C32" s="711"/>
      <c r="D32" s="711"/>
      <c r="E32" s="711"/>
      <c r="F32" s="709"/>
      <c r="G32" s="730"/>
      <c r="H32" s="727">
        <v>8</v>
      </c>
      <c r="I32" s="459"/>
      <c r="J32" s="469"/>
      <c r="K32" s="1"/>
    </row>
    <row r="33" spans="1:11" ht="15.75" customHeight="1">
      <c r="A33" s="739" t="s">
        <v>722</v>
      </c>
      <c r="B33" s="732"/>
      <c r="C33" s="711"/>
      <c r="D33" s="711"/>
      <c r="E33" s="711"/>
      <c r="F33" s="709"/>
      <c r="G33" s="270">
        <f>G31+G32</f>
        <v>0</v>
      </c>
      <c r="H33" s="727">
        <v>9</v>
      </c>
      <c r="I33" s="459"/>
      <c r="J33" s="469"/>
      <c r="K33" s="1"/>
    </row>
    <row r="34" spans="1:11" ht="15.75" customHeight="1">
      <c r="A34" s="735"/>
      <c r="B34" s="725"/>
      <c r="C34" s="702"/>
      <c r="D34" s="702"/>
      <c r="E34" s="702"/>
      <c r="F34" s="702"/>
      <c r="G34" s="459"/>
      <c r="H34" s="459"/>
      <c r="I34" s="459"/>
      <c r="J34" s="469"/>
      <c r="K34" s="1"/>
    </row>
    <row r="35" spans="1:11" ht="15.75" customHeight="1">
      <c r="A35" s="736" t="s">
        <v>2047</v>
      </c>
      <c r="B35" s="726"/>
      <c r="C35" s="710"/>
      <c r="D35" s="710"/>
      <c r="E35" s="710"/>
      <c r="F35" s="702"/>
      <c r="G35" s="270">
        <f>'T1 GEN-2-3-4'!K111</f>
        <v>0</v>
      </c>
      <c r="H35" s="727">
        <v>10</v>
      </c>
      <c r="I35" s="459"/>
      <c r="J35" s="469"/>
      <c r="K35" s="1"/>
    </row>
    <row r="36" spans="1:11" ht="15.75" customHeight="1">
      <c r="A36" s="739" t="s">
        <v>1753</v>
      </c>
      <c r="B36" s="732"/>
      <c r="C36" s="711"/>
      <c r="D36" s="711"/>
      <c r="E36" s="711"/>
      <c r="F36" s="702"/>
      <c r="G36" s="270">
        <f>I29</f>
        <v>0</v>
      </c>
      <c r="H36" s="727">
        <v>11</v>
      </c>
      <c r="I36" s="459"/>
      <c r="J36" s="469"/>
      <c r="K36" s="1"/>
    </row>
    <row r="37" spans="1:11" ht="15.75" customHeight="1">
      <c r="A37" s="739" t="s">
        <v>723</v>
      </c>
      <c r="B37" s="732"/>
      <c r="C37" s="711"/>
      <c r="D37" s="711"/>
      <c r="E37" s="711"/>
      <c r="F37" s="702"/>
      <c r="G37" s="270">
        <f>G35-G36</f>
        <v>0</v>
      </c>
      <c r="H37" s="727">
        <v>12</v>
      </c>
      <c r="I37" s="459"/>
      <c r="J37" s="469"/>
      <c r="K37" s="1"/>
    </row>
    <row r="38" spans="1:11" ht="15.75" customHeight="1">
      <c r="A38" s="740"/>
      <c r="B38" s="741"/>
      <c r="C38" s="709"/>
      <c r="D38" s="709"/>
      <c r="E38" s="709"/>
      <c r="F38" s="702"/>
      <c r="G38" s="459"/>
      <c r="H38" s="727"/>
      <c r="I38" s="459"/>
      <c r="J38" s="469"/>
      <c r="K38" s="1"/>
    </row>
    <row r="39" spans="1:11" ht="15.75" customHeight="1">
      <c r="A39" s="740" t="s">
        <v>724</v>
      </c>
      <c r="B39" s="741"/>
      <c r="C39" s="709"/>
      <c r="D39" s="709"/>
      <c r="E39" s="709"/>
      <c r="F39" s="702"/>
      <c r="G39" s="454" t="s">
        <v>719</v>
      </c>
      <c r="H39" s="727"/>
      <c r="I39" s="270">
        <f>MINA(9000,MINA(G33,G37))</f>
        <v>0</v>
      </c>
      <c r="J39" s="727">
        <v>13</v>
      </c>
      <c r="K39" s="1"/>
    </row>
    <row r="40" spans="1:11" ht="15.75" customHeight="1">
      <c r="A40" s="740"/>
      <c r="B40" s="741"/>
      <c r="C40" s="709"/>
      <c r="D40" s="709"/>
      <c r="E40" s="709"/>
      <c r="F40" s="702"/>
      <c r="G40" s="459"/>
      <c r="H40" s="727"/>
      <c r="I40" s="459"/>
      <c r="J40" s="469"/>
      <c r="K40" s="1"/>
    </row>
    <row r="41" spans="1:11" ht="15.75" customHeight="1">
      <c r="A41" s="742" t="s">
        <v>725</v>
      </c>
      <c r="B41" s="743"/>
      <c r="C41" s="708"/>
      <c r="D41" s="708"/>
      <c r="E41" s="708"/>
      <c r="F41" s="708"/>
      <c r="G41" s="461"/>
      <c r="H41" s="744"/>
      <c r="I41" s="459"/>
      <c r="J41" s="469"/>
      <c r="K41" s="1"/>
    </row>
    <row r="42" spans="1:11" ht="15.75" customHeight="1">
      <c r="A42" s="745" t="s">
        <v>726</v>
      </c>
      <c r="B42" s="726"/>
      <c r="C42" s="710"/>
      <c r="D42" s="710"/>
      <c r="E42" s="710"/>
      <c r="F42" s="738">
        <v>6225</v>
      </c>
      <c r="G42" s="730"/>
      <c r="H42" s="746">
        <v>14</v>
      </c>
      <c r="I42" s="459"/>
      <c r="J42" s="469"/>
      <c r="K42" s="1"/>
    </row>
    <row r="43" spans="1:11" ht="15.75" customHeight="1">
      <c r="A43" s="747" t="s">
        <v>727</v>
      </c>
      <c r="B43" s="732"/>
      <c r="C43" s="711"/>
      <c r="D43" s="711"/>
      <c r="E43" s="711"/>
      <c r="F43" s="738">
        <v>6226</v>
      </c>
      <c r="G43" s="730"/>
      <c r="H43" s="746">
        <v>15</v>
      </c>
      <c r="I43" s="459"/>
      <c r="J43" s="469"/>
      <c r="K43" s="1"/>
    </row>
    <row r="44" spans="1:11" ht="15.75" customHeight="1">
      <c r="A44" s="747" t="s">
        <v>728</v>
      </c>
      <c r="B44" s="732"/>
      <c r="C44" s="711"/>
      <c r="D44" s="711"/>
      <c r="E44" s="711"/>
      <c r="F44" s="748">
        <v>6227</v>
      </c>
      <c r="G44" s="730"/>
      <c r="H44" s="746">
        <v>16</v>
      </c>
      <c r="I44" s="459"/>
      <c r="J44" s="469"/>
      <c r="K44" s="1"/>
    </row>
    <row r="45" spans="1:11" ht="7.5" customHeight="1">
      <c r="A45" s="747"/>
      <c r="B45" s="732"/>
      <c r="C45" s="711"/>
      <c r="D45" s="711"/>
      <c r="E45" s="711"/>
      <c r="F45" s="711"/>
      <c r="G45" s="457"/>
      <c r="H45" s="749"/>
      <c r="I45" s="459"/>
      <c r="J45" s="469"/>
      <c r="K45" s="1"/>
    </row>
    <row r="46" spans="1:11" ht="15.75" customHeight="1">
      <c r="A46" s="750"/>
      <c r="B46" s="725"/>
      <c r="C46" s="702"/>
      <c r="D46" s="702"/>
      <c r="E46" s="702"/>
      <c r="F46" s="702"/>
      <c r="G46" s="459"/>
      <c r="H46" s="459"/>
      <c r="I46" s="459"/>
      <c r="J46" s="469"/>
      <c r="K46" s="1"/>
    </row>
    <row r="47" spans="1:11" ht="16.5" customHeight="1">
      <c r="A47" s="737" t="s">
        <v>729</v>
      </c>
      <c r="B47" s="725"/>
      <c r="C47" s="702"/>
      <c r="D47" s="702"/>
      <c r="E47" s="702"/>
      <c r="F47" s="702"/>
      <c r="G47" s="459"/>
      <c r="H47" s="459"/>
      <c r="I47" s="459"/>
      <c r="J47" s="469"/>
      <c r="K47" s="1"/>
    </row>
    <row r="48" spans="1:11" ht="23.25">
      <c r="A48" s="751" t="s">
        <v>603</v>
      </c>
      <c r="B48" s="725"/>
      <c r="C48" s="752" t="s">
        <v>730</v>
      </c>
      <c r="D48" s="702"/>
      <c r="E48" s="753" t="s">
        <v>731</v>
      </c>
      <c r="F48" s="702"/>
      <c r="G48" s="459"/>
      <c r="H48" s="459"/>
      <c r="I48" s="459"/>
      <c r="J48" s="469"/>
      <c r="K48" s="1"/>
    </row>
    <row r="49" spans="1:11" ht="15.75" customHeight="1">
      <c r="A49" s="736" t="s">
        <v>732</v>
      </c>
      <c r="B49" s="725"/>
      <c r="C49" s="270">
        <f>'T1 GEN-2-3-4'!K84</f>
        <v>0</v>
      </c>
      <c r="D49" s="702"/>
      <c r="E49" s="270">
        <f>'T1 GEN-1'!U30</f>
        <v>0</v>
      </c>
      <c r="F49" s="702"/>
      <c r="G49" s="270">
        <f>C49+E49</f>
        <v>0</v>
      </c>
      <c r="H49" s="727">
        <v>17</v>
      </c>
      <c r="I49" s="459"/>
      <c r="J49" s="469"/>
      <c r="K49" s="1"/>
    </row>
    <row r="50" spans="1:11" ht="15.75" customHeight="1">
      <c r="A50" s="751" t="s">
        <v>733</v>
      </c>
      <c r="B50" s="725"/>
      <c r="C50" s="702"/>
      <c r="D50" s="702"/>
      <c r="E50" s="702"/>
      <c r="F50" s="702"/>
      <c r="G50" s="459"/>
      <c r="H50" s="459"/>
      <c r="I50" s="459"/>
      <c r="J50" s="469"/>
      <c r="K50" s="1"/>
    </row>
    <row r="51" spans="1:11" ht="15.75" customHeight="1">
      <c r="A51" s="736" t="s">
        <v>734</v>
      </c>
      <c r="B51" s="725"/>
      <c r="C51" s="730"/>
      <c r="D51" s="702"/>
      <c r="E51" s="730"/>
      <c r="F51" s="702"/>
      <c r="G51" s="459"/>
      <c r="H51" s="459"/>
      <c r="I51" s="459"/>
      <c r="J51" s="469"/>
      <c r="K51" s="1"/>
    </row>
    <row r="52" spans="1:11" ht="15.75" customHeight="1">
      <c r="A52" s="739" t="s">
        <v>926</v>
      </c>
      <c r="B52" s="738">
        <v>6233</v>
      </c>
      <c r="C52" s="730"/>
      <c r="D52" s="738">
        <v>6234</v>
      </c>
      <c r="E52" s="730"/>
      <c r="F52" s="702"/>
      <c r="G52" s="459"/>
      <c r="H52" s="459"/>
      <c r="I52" s="459"/>
      <c r="J52" s="469"/>
      <c r="K52" s="1"/>
    </row>
    <row r="53" spans="1:11" ht="15.75" customHeight="1">
      <c r="A53" s="754" t="s">
        <v>927</v>
      </c>
      <c r="B53" s="738">
        <v>6236</v>
      </c>
      <c r="C53" s="270">
        <f>MINA(2000,C51+C52)</f>
        <v>0</v>
      </c>
      <c r="D53" s="738">
        <v>6237</v>
      </c>
      <c r="E53" s="270">
        <f>MINA(2000,E51+E52)</f>
        <v>0</v>
      </c>
      <c r="F53" s="702"/>
      <c r="G53" s="270">
        <f>C53+E53</f>
        <v>0</v>
      </c>
      <c r="H53" s="727">
        <v>18</v>
      </c>
      <c r="I53" s="459"/>
      <c r="J53" s="469"/>
      <c r="K53" s="1"/>
    </row>
    <row r="54" spans="1:11" ht="15.75" customHeight="1">
      <c r="A54" s="736" t="s">
        <v>1899</v>
      </c>
      <c r="B54" s="726"/>
      <c r="C54" s="710"/>
      <c r="D54" s="710"/>
      <c r="E54" s="710"/>
      <c r="F54" s="702"/>
      <c r="G54" s="755"/>
      <c r="H54" s="727">
        <v>19</v>
      </c>
      <c r="I54" s="459"/>
      <c r="J54" s="469"/>
      <c r="K54" s="1"/>
    </row>
    <row r="55" spans="1:11" ht="15.75" customHeight="1">
      <c r="A55" s="739" t="s">
        <v>1900</v>
      </c>
      <c r="B55" s="732"/>
      <c r="C55" s="711"/>
      <c r="D55" s="711"/>
      <c r="E55" s="756" t="s">
        <v>1901</v>
      </c>
      <c r="F55" s="702"/>
      <c r="G55" s="267">
        <f>G53*G54</f>
        <v>0</v>
      </c>
      <c r="H55" s="727"/>
      <c r="I55" s="270">
        <f>G55</f>
        <v>0</v>
      </c>
      <c r="J55" s="727">
        <v>20</v>
      </c>
      <c r="K55" s="1"/>
    </row>
    <row r="56" spans="1:11" ht="15.75" customHeight="1">
      <c r="A56" s="750"/>
      <c r="B56" s="725"/>
      <c r="C56" s="702"/>
      <c r="D56" s="702"/>
      <c r="E56" s="702"/>
      <c r="F56" s="702"/>
      <c r="G56" s="459"/>
      <c r="H56" s="727"/>
      <c r="I56" s="459"/>
      <c r="J56" s="469"/>
      <c r="K56" s="1"/>
    </row>
    <row r="57" spans="1:11" ht="15.75" customHeight="1">
      <c r="A57" s="736" t="s">
        <v>1358</v>
      </c>
      <c r="B57" s="726"/>
      <c r="C57" s="710"/>
      <c r="D57" s="710"/>
      <c r="E57" s="710"/>
      <c r="F57" s="710"/>
      <c r="G57" s="733" t="s">
        <v>1359</v>
      </c>
      <c r="H57" s="727"/>
      <c r="I57" s="270">
        <f>I29+I39+I55</f>
        <v>0</v>
      </c>
      <c r="J57" s="727">
        <v>21</v>
      </c>
      <c r="K57" s="1"/>
    </row>
    <row r="58" spans="1:11" ht="15.75" customHeight="1">
      <c r="A58" s="740"/>
      <c r="B58" s="741"/>
      <c r="C58" s="709"/>
      <c r="D58" s="709"/>
      <c r="E58" s="709"/>
      <c r="F58" s="709"/>
      <c r="G58" s="757"/>
      <c r="H58" s="727"/>
      <c r="I58" s="459"/>
      <c r="J58" s="727"/>
      <c r="K58" s="1"/>
    </row>
    <row r="59" spans="1:11" ht="16.5" customHeight="1">
      <c r="A59" s="750"/>
      <c r="B59" s="725"/>
      <c r="C59" s="702"/>
      <c r="D59" s="702"/>
      <c r="E59" s="702"/>
      <c r="F59" s="702"/>
      <c r="G59" s="459"/>
      <c r="H59" s="727"/>
      <c r="I59" s="459"/>
      <c r="J59" s="469"/>
      <c r="K59" s="1"/>
    </row>
  </sheetData>
  <sheetProtection password="EC35" sheet="1" objects="1" scenarios="1"/>
  <printOptions horizontalCentered="1"/>
  <pageMargins left="0" right="0" top="0" bottom="0" header="0.511811023622047" footer="0.02"/>
  <pageSetup fitToHeight="8" fitToWidth="1" horizontalDpi="600" verticalDpi="600" orientation="landscape" r:id="rId4"/>
  <headerFooter alignWithMargins="0">
    <oddFooter>&amp;L5003-TC
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13" transitionEvaluation="1">
    <pageSetUpPr fitToPage="1"/>
  </sheetPr>
  <dimension ref="A1:K32"/>
  <sheetViews>
    <sheetView showGridLines="0" showRowColHeaders="0" zoomScale="74" zoomScaleNormal="74" workbookViewId="0" topLeftCell="B1">
      <selection activeCell="B1" sqref="B1"/>
    </sheetView>
  </sheetViews>
  <sheetFormatPr defaultColWidth="9.77734375" defaultRowHeight="15"/>
  <cols>
    <col min="1" max="1" width="1.5625" style="0" customWidth="1"/>
    <col min="2" max="2" width="11.5546875" style="0" customWidth="1"/>
    <col min="3" max="3" width="25.21484375" style="0" customWidth="1"/>
    <col min="4" max="4" width="12.3359375" style="0" customWidth="1"/>
    <col min="5" max="5" width="4.77734375" style="0" customWidth="1"/>
    <col min="6" max="6" width="13.77734375" style="0" customWidth="1"/>
    <col min="7" max="7" width="5.77734375" style="0" customWidth="1"/>
    <col min="8" max="8" width="13.77734375" style="0" customWidth="1"/>
    <col min="9" max="9" width="4.77734375" style="0" customWidth="1"/>
    <col min="10" max="10" width="13.77734375" style="0" customWidth="1"/>
    <col min="11" max="11" width="4.77734375" style="0" customWidth="1"/>
  </cols>
  <sheetData>
    <row r="1" spans="1:10" ht="15">
      <c r="A1" s="321"/>
      <c r="B1" s="321"/>
      <c r="C1" s="321"/>
      <c r="D1" s="321"/>
      <c r="E1" s="321"/>
      <c r="F1" s="321"/>
      <c r="G1" s="321"/>
      <c r="H1" s="321"/>
      <c r="I1" s="321"/>
      <c r="J1" s="321"/>
    </row>
    <row r="2" spans="1:11" ht="21.75">
      <c r="A2" s="370"/>
      <c r="B2" s="373"/>
      <c r="C2" s="371"/>
      <c r="D2" s="395"/>
      <c r="E2" s="401"/>
      <c r="F2" s="401" t="s">
        <v>324</v>
      </c>
      <c r="G2" s="371"/>
      <c r="H2" s="371"/>
      <c r="I2" s="371"/>
      <c r="J2" s="402"/>
      <c r="K2" s="402" t="s">
        <v>1360</v>
      </c>
    </row>
    <row r="3" spans="1:11" ht="21.75">
      <c r="A3" s="370"/>
      <c r="B3" s="371"/>
      <c r="C3" s="371"/>
      <c r="D3" s="371"/>
      <c r="E3" s="401"/>
      <c r="F3" s="401" t="s">
        <v>325</v>
      </c>
      <c r="G3" s="371"/>
      <c r="H3" s="371"/>
      <c r="I3" s="371"/>
      <c r="J3" s="400"/>
      <c r="K3" s="400" t="s">
        <v>658</v>
      </c>
    </row>
    <row r="4" spans="1:11" ht="20.25" customHeight="1">
      <c r="A4" s="370"/>
      <c r="B4" s="371"/>
      <c r="C4" s="371"/>
      <c r="D4" s="371"/>
      <c r="E4" s="371"/>
      <c r="F4" s="371"/>
      <c r="G4" s="371"/>
      <c r="H4" s="371"/>
      <c r="I4" s="371"/>
      <c r="J4" s="371"/>
      <c r="K4" s="371"/>
    </row>
    <row r="5" spans="1:11" ht="15">
      <c r="A5" s="370"/>
      <c r="B5" s="371" t="s">
        <v>1742</v>
      </c>
      <c r="C5" s="371"/>
      <c r="D5" s="371"/>
      <c r="E5" s="371"/>
      <c r="F5" s="371"/>
      <c r="G5" s="371"/>
      <c r="H5" s="371"/>
      <c r="I5" s="371"/>
      <c r="J5" s="371"/>
      <c r="K5" s="371"/>
    </row>
    <row r="6" spans="1:11" ht="15">
      <c r="A6" s="370"/>
      <c r="B6" s="370" t="s">
        <v>326</v>
      </c>
      <c r="C6" s="371"/>
      <c r="D6" s="371"/>
      <c r="E6" s="371"/>
      <c r="F6" s="371"/>
      <c r="G6" s="371"/>
      <c r="H6" s="371"/>
      <c r="I6" s="371"/>
      <c r="J6" s="371"/>
      <c r="K6" s="371"/>
    </row>
    <row r="7" spans="1:11" ht="15">
      <c r="A7" s="370"/>
      <c r="B7" s="370"/>
      <c r="C7" s="371"/>
      <c r="D7" s="371"/>
      <c r="E7" s="371"/>
      <c r="F7" s="371"/>
      <c r="G7" s="371"/>
      <c r="H7" s="371"/>
      <c r="I7" s="371"/>
      <c r="J7" s="371"/>
      <c r="K7" s="371"/>
    </row>
    <row r="8" spans="1:11" ht="15.75">
      <c r="A8" s="370"/>
      <c r="B8" s="413" t="s">
        <v>1426</v>
      </c>
      <c r="C8" s="371"/>
      <c r="D8" s="371"/>
      <c r="E8" s="371"/>
      <c r="F8" s="371"/>
      <c r="G8" s="371"/>
      <c r="H8" s="371"/>
      <c r="I8" s="371"/>
      <c r="J8" s="371"/>
      <c r="K8" s="371"/>
    </row>
    <row r="9" spans="1:11" ht="15.75">
      <c r="A9" s="370"/>
      <c r="B9" s="413" t="s">
        <v>1065</v>
      </c>
      <c r="C9" s="371"/>
      <c r="D9" s="371"/>
      <c r="E9" s="371"/>
      <c r="F9" s="371"/>
      <c r="G9" s="371"/>
      <c r="H9" s="371"/>
      <c r="I9" s="371"/>
      <c r="J9" s="371"/>
      <c r="K9" s="371"/>
    </row>
    <row r="10" spans="1:11" ht="15.75">
      <c r="A10" s="370"/>
      <c r="B10" s="413"/>
      <c r="C10" s="371"/>
      <c r="D10" s="371"/>
      <c r="E10" s="371"/>
      <c r="F10" s="371"/>
      <c r="G10" s="371"/>
      <c r="H10" s="371"/>
      <c r="I10" s="371"/>
      <c r="J10" s="371"/>
      <c r="K10" s="371"/>
    </row>
    <row r="11" spans="1:11" ht="15">
      <c r="A11" s="370"/>
      <c r="B11" s="414" t="s">
        <v>1066</v>
      </c>
      <c r="C11" s="371"/>
      <c r="D11" s="371"/>
      <c r="E11" s="371"/>
      <c r="F11" s="371"/>
      <c r="G11" s="371"/>
      <c r="H11" s="371"/>
      <c r="I11" s="371"/>
      <c r="J11" s="371"/>
      <c r="K11" s="371"/>
    </row>
    <row r="12" spans="1:11" ht="15">
      <c r="A12" s="370"/>
      <c r="B12" s="414" t="s">
        <v>1192</v>
      </c>
      <c r="C12" s="371"/>
      <c r="D12" s="371"/>
      <c r="E12" s="371"/>
      <c r="F12" s="371"/>
      <c r="G12" s="371"/>
      <c r="H12" s="371"/>
      <c r="I12" s="371"/>
      <c r="J12" s="371"/>
      <c r="K12" s="371"/>
    </row>
    <row r="13" spans="1:11" ht="15">
      <c r="A13" s="370"/>
      <c r="B13" s="414"/>
      <c r="C13" s="371"/>
      <c r="D13" s="371"/>
      <c r="E13" s="371"/>
      <c r="F13" s="371"/>
      <c r="G13" s="371"/>
      <c r="H13" s="371"/>
      <c r="I13" s="371"/>
      <c r="J13" s="371"/>
      <c r="K13" s="371"/>
    </row>
    <row r="14" spans="1:11" ht="15.75">
      <c r="A14" s="370"/>
      <c r="B14" s="413" t="s">
        <v>1193</v>
      </c>
      <c r="C14" s="371"/>
      <c r="D14" s="371"/>
      <c r="E14" s="371"/>
      <c r="F14" s="371"/>
      <c r="G14" s="371"/>
      <c r="H14" s="371"/>
      <c r="I14" s="371"/>
      <c r="J14" s="371"/>
      <c r="K14" s="371"/>
    </row>
    <row r="15" spans="1:11" ht="15.75">
      <c r="A15" s="370"/>
      <c r="B15" s="415" t="s">
        <v>1427</v>
      </c>
      <c r="C15" s="374"/>
      <c r="D15" s="374"/>
      <c r="E15" s="374"/>
      <c r="F15" s="374"/>
      <c r="G15" s="374"/>
      <c r="H15" s="381" t="s">
        <v>1428</v>
      </c>
      <c r="I15" s="118" t="s">
        <v>1743</v>
      </c>
      <c r="J15" s="278"/>
      <c r="K15" s="391" t="s">
        <v>661</v>
      </c>
    </row>
    <row r="16" spans="1:11" ht="15.75">
      <c r="A16" s="370"/>
      <c r="B16" s="413" t="s">
        <v>238</v>
      </c>
      <c r="C16" s="371"/>
      <c r="D16" s="371"/>
      <c r="E16" s="371"/>
      <c r="F16" s="371"/>
      <c r="G16" s="371"/>
      <c r="H16" s="371"/>
      <c r="I16" s="371"/>
      <c r="J16" s="371"/>
      <c r="K16" s="371"/>
    </row>
    <row r="17" spans="1:11" ht="15.75">
      <c r="A17" s="370"/>
      <c r="B17" s="415" t="s">
        <v>1429</v>
      </c>
      <c r="C17" s="374"/>
      <c r="D17" s="374"/>
      <c r="E17" s="374"/>
      <c r="F17" s="374"/>
      <c r="G17" s="374"/>
      <c r="H17" s="381" t="s">
        <v>1077</v>
      </c>
      <c r="I17" s="118" t="s">
        <v>1737</v>
      </c>
      <c r="J17" s="278"/>
      <c r="K17" s="391" t="s">
        <v>302</v>
      </c>
    </row>
    <row r="18" spans="1:11" ht="15.75">
      <c r="A18" s="370"/>
      <c r="B18" s="413" t="s">
        <v>239</v>
      </c>
      <c r="C18" s="371"/>
      <c r="D18" s="371"/>
      <c r="E18" s="371"/>
      <c r="F18" s="371"/>
      <c r="G18" s="371"/>
      <c r="H18" s="371"/>
      <c r="I18" s="371"/>
      <c r="J18" s="371"/>
      <c r="K18" s="371"/>
    </row>
    <row r="19" spans="1:11" ht="15.75">
      <c r="A19" s="370"/>
      <c r="B19" s="415" t="s">
        <v>1430</v>
      </c>
      <c r="C19" s="374"/>
      <c r="D19" s="374"/>
      <c r="E19" s="374"/>
      <c r="F19" s="374"/>
      <c r="G19" s="374"/>
      <c r="H19" s="374"/>
      <c r="I19" s="118" t="s">
        <v>1738</v>
      </c>
      <c r="J19" s="278"/>
      <c r="K19" s="391" t="s">
        <v>303</v>
      </c>
    </row>
    <row r="20" spans="1:11" ht="15.75">
      <c r="A20" s="370"/>
      <c r="B20" s="413" t="s">
        <v>1194</v>
      </c>
      <c r="C20" s="371"/>
      <c r="D20" s="371"/>
      <c r="E20" s="371"/>
      <c r="F20" s="371"/>
      <c r="G20" s="371"/>
      <c r="H20" s="371"/>
      <c r="I20" s="371"/>
      <c r="J20" s="371"/>
      <c r="K20" s="371"/>
    </row>
    <row r="21" spans="1:11" ht="15.75">
      <c r="A21" s="370"/>
      <c r="B21" s="415" t="s">
        <v>1195</v>
      </c>
      <c r="C21" s="374"/>
      <c r="D21" s="374"/>
      <c r="E21" s="374"/>
      <c r="F21" s="374"/>
      <c r="G21" s="374"/>
      <c r="H21" s="374"/>
      <c r="I21" s="118" t="s">
        <v>1739</v>
      </c>
      <c r="J21" s="278"/>
      <c r="K21" s="391" t="s">
        <v>304</v>
      </c>
    </row>
    <row r="22" spans="1:11" ht="15.75">
      <c r="A22" s="370"/>
      <c r="B22" s="416" t="s">
        <v>240</v>
      </c>
      <c r="C22" s="377"/>
      <c r="D22" s="377"/>
      <c r="E22" s="377"/>
      <c r="F22" s="377"/>
      <c r="G22" s="377"/>
      <c r="H22" s="377"/>
      <c r="I22" s="371"/>
      <c r="J22" s="162">
        <f>SUM(J15:J21)</f>
        <v>0</v>
      </c>
      <c r="K22" s="391" t="s">
        <v>305</v>
      </c>
    </row>
    <row r="23" spans="1:11" ht="15">
      <c r="A23" s="370"/>
      <c r="B23" s="414" t="s">
        <v>1734</v>
      </c>
      <c r="C23" s="371"/>
      <c r="D23" s="371"/>
      <c r="E23" s="371"/>
      <c r="F23" s="371"/>
      <c r="G23" s="371"/>
      <c r="H23" s="371"/>
      <c r="I23" s="371"/>
      <c r="J23" s="371"/>
      <c r="K23" s="371"/>
    </row>
    <row r="24" spans="1:11" ht="15.75">
      <c r="A24" s="370"/>
      <c r="B24" s="415" t="s">
        <v>1431</v>
      </c>
      <c r="C24" s="374"/>
      <c r="D24" s="374"/>
      <c r="E24" s="374"/>
      <c r="F24" s="374"/>
      <c r="G24" s="371"/>
      <c r="H24" s="278"/>
      <c r="I24" s="391" t="s">
        <v>306</v>
      </c>
      <c r="J24" s="371"/>
      <c r="K24" s="371"/>
    </row>
    <row r="25" spans="1:11" ht="15">
      <c r="A25" s="370"/>
      <c r="B25" s="414" t="s">
        <v>1735</v>
      </c>
      <c r="C25" s="371"/>
      <c r="D25" s="371"/>
      <c r="E25" s="371"/>
      <c r="F25" s="371"/>
      <c r="G25" s="371"/>
      <c r="H25" s="371"/>
      <c r="I25" s="371"/>
      <c r="J25" s="371"/>
      <c r="K25" s="371"/>
    </row>
    <row r="26" spans="1:11" ht="15.75">
      <c r="A26" s="370"/>
      <c r="B26" s="415" t="s">
        <v>1432</v>
      </c>
      <c r="C26" s="374"/>
      <c r="D26" s="374"/>
      <c r="E26" s="374"/>
      <c r="F26" s="374"/>
      <c r="G26" s="371"/>
      <c r="H26" s="278"/>
      <c r="I26" s="391" t="s">
        <v>1402</v>
      </c>
      <c r="J26" s="371"/>
      <c r="K26" s="371"/>
    </row>
    <row r="27" spans="1:11" ht="15">
      <c r="A27" s="370"/>
      <c r="B27" s="414" t="s">
        <v>1736</v>
      </c>
      <c r="C27" s="371"/>
      <c r="D27" s="371"/>
      <c r="E27" s="371"/>
      <c r="F27" s="371"/>
      <c r="G27" s="371"/>
      <c r="H27" s="371"/>
      <c r="I27" s="371"/>
      <c r="J27" s="371"/>
      <c r="K27" s="371"/>
    </row>
    <row r="28" spans="1:11" ht="15.75">
      <c r="A28" s="370"/>
      <c r="B28" s="415" t="s">
        <v>300</v>
      </c>
      <c r="C28" s="374"/>
      <c r="D28" s="374"/>
      <c r="E28" s="374"/>
      <c r="F28" s="374"/>
      <c r="G28" s="118" t="s">
        <v>1740</v>
      </c>
      <c r="H28" s="163">
        <f>MAXA(0,H24-H26)</f>
        <v>0</v>
      </c>
      <c r="I28" s="371"/>
      <c r="J28" s="163">
        <f>H28</f>
        <v>0</v>
      </c>
      <c r="K28" s="391" t="s">
        <v>307</v>
      </c>
    </row>
    <row r="29" spans="1:11" ht="15.75">
      <c r="A29" s="370"/>
      <c r="B29" s="414" t="s">
        <v>241</v>
      </c>
      <c r="C29" s="371"/>
      <c r="D29" s="371"/>
      <c r="E29" s="371"/>
      <c r="F29" s="371"/>
      <c r="G29" s="371"/>
      <c r="H29" s="379" t="s">
        <v>1741</v>
      </c>
      <c r="I29" s="371"/>
      <c r="J29" s="371"/>
      <c r="K29" s="371"/>
    </row>
    <row r="30" spans="1:11" ht="15.75">
      <c r="A30" s="370"/>
      <c r="B30" s="415" t="s">
        <v>1433</v>
      </c>
      <c r="C30" s="374"/>
      <c r="D30" s="374"/>
      <c r="E30" s="374"/>
      <c r="F30" s="374"/>
      <c r="G30" s="374"/>
      <c r="H30" s="388" t="s">
        <v>1951</v>
      </c>
      <c r="I30" s="371"/>
      <c r="J30" s="163">
        <f>MAXA(0,J22-J28)</f>
        <v>0</v>
      </c>
      <c r="K30" s="391" t="s">
        <v>887</v>
      </c>
    </row>
    <row r="31" spans="1:11" ht="15">
      <c r="A31" s="370"/>
      <c r="B31" s="414"/>
      <c r="C31" s="371"/>
      <c r="D31" s="371"/>
      <c r="E31" s="371"/>
      <c r="F31" s="371"/>
      <c r="G31" s="371"/>
      <c r="H31" s="371"/>
      <c r="I31" s="371"/>
      <c r="J31" s="371"/>
      <c r="K31" s="371"/>
    </row>
    <row r="32" spans="1:10" ht="15">
      <c r="A32" s="412"/>
      <c r="B32" s="321"/>
      <c r="C32" s="321"/>
      <c r="D32" s="321"/>
      <c r="E32" s="321"/>
      <c r="F32" s="321"/>
      <c r="G32" s="321"/>
      <c r="H32" s="321"/>
      <c r="I32" s="321"/>
      <c r="J32" s="321"/>
    </row>
  </sheetData>
  <sheetProtection password="EC35" sheet="1" objects="1" scenarios="1"/>
  <printOptions horizontalCentered="1"/>
  <pageMargins left="0.25" right="0.25" top="0.5" bottom="0.25" header="0.511811023622047" footer="0.15"/>
  <pageSetup fitToHeight="8" fitToWidth="1" horizontalDpi="600" verticalDpi="600" orientation="landscape" r:id="rId2"/>
  <headerFooter alignWithMargins="0">
    <oddFooter>&amp;L5010-S2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13" transitionEvaluation="1">
    <pageSetUpPr fitToPage="1"/>
  </sheetPr>
  <dimension ref="A1:J65"/>
  <sheetViews>
    <sheetView showGridLines="0" showRowColHeaders="0" zoomScale="72" zoomScaleNormal="72" workbookViewId="0" topLeftCell="A1">
      <selection activeCell="B1" sqref="B1"/>
    </sheetView>
  </sheetViews>
  <sheetFormatPr defaultColWidth="9.77734375" defaultRowHeight="15"/>
  <cols>
    <col min="1" max="1" width="40.88671875" style="0" customWidth="1"/>
    <col min="2" max="2" width="4.77734375" style="0" customWidth="1"/>
    <col min="3" max="3" width="12.77734375" style="0" customWidth="1"/>
    <col min="4" max="4" width="4.77734375" style="0" customWidth="1"/>
    <col min="5" max="5" width="12.77734375" style="0" customWidth="1"/>
    <col min="6" max="6" width="4.77734375" style="0" customWidth="1"/>
    <col min="7" max="7" width="12.77734375" style="0" customWidth="1"/>
    <col min="8" max="8" width="4.77734375" style="0" customWidth="1"/>
    <col min="9" max="9" width="12.77734375" style="0" customWidth="1"/>
    <col min="10" max="10" width="4.77734375" style="0" customWidth="1"/>
  </cols>
  <sheetData>
    <row r="1" spans="1:10" ht="15">
      <c r="A1" s="370"/>
      <c r="B1" s="370"/>
      <c r="C1" s="370"/>
      <c r="D1" s="370"/>
      <c r="E1" s="370"/>
      <c r="F1" s="370"/>
      <c r="G1" s="370"/>
      <c r="H1" s="370"/>
      <c r="I1" s="370"/>
      <c r="J1" s="370"/>
    </row>
    <row r="2" spans="1:10" ht="20.25">
      <c r="A2" s="370"/>
      <c r="B2" s="370"/>
      <c r="C2" s="370"/>
      <c r="D2" s="370"/>
      <c r="E2" s="370"/>
      <c r="F2" s="370"/>
      <c r="G2" s="370"/>
      <c r="H2" s="370"/>
      <c r="I2" s="370"/>
      <c r="J2" s="398" t="s">
        <v>1434</v>
      </c>
    </row>
    <row r="3" spans="1:10" ht="23.25">
      <c r="A3" s="372"/>
      <c r="B3" s="403"/>
      <c r="C3" s="404"/>
      <c r="D3" s="396" t="s">
        <v>15</v>
      </c>
      <c r="E3" s="404"/>
      <c r="F3" s="395"/>
      <c r="G3" s="370"/>
      <c r="H3" s="395"/>
      <c r="I3" s="395"/>
      <c r="J3" s="400" t="s">
        <v>658</v>
      </c>
    </row>
    <row r="4" spans="1:10" ht="15">
      <c r="A4" s="371"/>
      <c r="B4" s="390"/>
      <c r="C4" s="371"/>
      <c r="D4" s="371"/>
      <c r="E4" s="371"/>
      <c r="F4" s="371"/>
      <c r="G4" s="371"/>
      <c r="H4" s="371"/>
      <c r="I4" s="371"/>
      <c r="J4" s="400"/>
    </row>
    <row r="5" spans="1:10" ht="15">
      <c r="A5" s="371"/>
      <c r="B5" s="371"/>
      <c r="C5" s="371"/>
      <c r="D5" s="371"/>
      <c r="E5" s="371"/>
      <c r="F5" s="371"/>
      <c r="G5" s="371"/>
      <c r="H5" s="371"/>
      <c r="I5" s="371"/>
      <c r="J5" s="371"/>
    </row>
    <row r="6" spans="1:10" ht="15.75">
      <c r="A6" s="371" t="s">
        <v>1435</v>
      </c>
      <c r="B6" s="371"/>
      <c r="C6" s="371"/>
      <c r="D6" s="371"/>
      <c r="E6" s="371"/>
      <c r="F6" s="371"/>
      <c r="G6" s="371"/>
      <c r="H6" s="371"/>
      <c r="I6" s="371"/>
      <c r="J6" s="371"/>
    </row>
    <row r="7" spans="1:10" ht="15">
      <c r="A7" s="371" t="s">
        <v>1436</v>
      </c>
      <c r="B7" s="371"/>
      <c r="C7" s="371"/>
      <c r="D7" s="371"/>
      <c r="E7" s="371"/>
      <c r="F7" s="371"/>
      <c r="G7" s="371"/>
      <c r="H7" s="371"/>
      <c r="I7" s="371"/>
      <c r="J7" s="371"/>
    </row>
    <row r="8" spans="1:10" ht="15">
      <c r="A8" s="371" t="s">
        <v>1964</v>
      </c>
      <c r="B8" s="371"/>
      <c r="C8" s="371"/>
      <c r="D8" s="371"/>
      <c r="E8" s="371"/>
      <c r="F8" s="371"/>
      <c r="G8" s="371"/>
      <c r="H8" s="371"/>
      <c r="I8" s="371"/>
      <c r="J8" s="371"/>
    </row>
    <row r="9" spans="1:10" ht="15">
      <c r="A9" s="371" t="s">
        <v>1684</v>
      </c>
      <c r="B9" s="371"/>
      <c r="C9" s="371"/>
      <c r="D9" s="371"/>
      <c r="E9" s="371"/>
      <c r="F9" s="371"/>
      <c r="G9" s="371"/>
      <c r="H9" s="371"/>
      <c r="I9" s="371"/>
      <c r="J9" s="371"/>
    </row>
    <row r="10" spans="1:10" ht="15">
      <c r="A10" s="371"/>
      <c r="B10" s="371"/>
      <c r="C10" s="371"/>
      <c r="D10" s="371"/>
      <c r="E10" s="371"/>
      <c r="F10" s="371"/>
      <c r="G10" s="371"/>
      <c r="H10" s="371"/>
      <c r="I10" s="371"/>
      <c r="J10" s="371"/>
    </row>
    <row r="11" spans="1:10" ht="15">
      <c r="A11" s="371" t="s">
        <v>1437</v>
      </c>
      <c r="B11" s="371"/>
      <c r="C11" s="371"/>
      <c r="D11" s="371"/>
      <c r="E11" s="371"/>
      <c r="F11" s="371"/>
      <c r="G11" s="371"/>
      <c r="H11" s="371"/>
      <c r="I11" s="371"/>
      <c r="J11" s="371"/>
    </row>
    <row r="12" spans="1:10" ht="15">
      <c r="A12" s="371" t="s">
        <v>537</v>
      </c>
      <c r="B12" s="371"/>
      <c r="C12" s="371"/>
      <c r="D12" s="371"/>
      <c r="E12" s="371"/>
      <c r="F12" s="371"/>
      <c r="G12" s="371"/>
      <c r="H12" s="371"/>
      <c r="I12" s="371"/>
      <c r="J12" s="371"/>
    </row>
    <row r="13" spans="1:10" ht="15">
      <c r="A13" s="371"/>
      <c r="B13" s="371"/>
      <c r="C13" s="371"/>
      <c r="D13" s="371"/>
      <c r="E13" s="371"/>
      <c r="F13" s="371"/>
      <c r="G13" s="371"/>
      <c r="H13" s="371"/>
      <c r="I13" s="371"/>
      <c r="J13" s="371"/>
    </row>
    <row r="14" spans="1:10" ht="20.25">
      <c r="A14" s="372" t="s">
        <v>1438</v>
      </c>
      <c r="B14" s="371"/>
      <c r="C14" s="371"/>
      <c r="D14" s="371"/>
      <c r="E14" s="371"/>
      <c r="F14" s="371"/>
      <c r="G14" s="371"/>
      <c r="H14" s="371"/>
      <c r="I14" s="371"/>
      <c r="J14" s="371"/>
    </row>
    <row r="15" spans="1:10" ht="14.25" customHeight="1">
      <c r="A15" s="371"/>
      <c r="B15" s="371"/>
      <c r="C15" s="371"/>
      <c r="D15" s="371"/>
      <c r="E15" s="371"/>
      <c r="F15" s="371"/>
      <c r="G15" s="371"/>
      <c r="H15" s="371"/>
      <c r="I15" s="371"/>
      <c r="J15" s="371"/>
    </row>
    <row r="16" spans="1:10" ht="15">
      <c r="A16" s="371"/>
      <c r="B16" s="371"/>
      <c r="C16" s="371"/>
      <c r="D16" s="371"/>
      <c r="E16" s="371"/>
      <c r="F16" s="371"/>
      <c r="G16" s="371"/>
      <c r="H16" s="371"/>
      <c r="I16" s="371"/>
      <c r="J16" s="371"/>
    </row>
    <row r="17" spans="1:10" ht="15.75">
      <c r="A17" s="405" t="s">
        <v>1588</v>
      </c>
      <c r="B17" s="405"/>
      <c r="C17" s="405"/>
      <c r="D17" s="405"/>
      <c r="E17" s="405"/>
      <c r="F17" s="405"/>
      <c r="G17" s="405"/>
      <c r="H17" s="371"/>
      <c r="I17" s="158"/>
      <c r="J17" s="411">
        <v>1</v>
      </c>
    </row>
    <row r="18" spans="1:10" ht="15.75">
      <c r="A18" s="371"/>
      <c r="B18" s="371"/>
      <c r="C18" s="371"/>
      <c r="D18" s="371"/>
      <c r="E18" s="371"/>
      <c r="F18" s="371"/>
      <c r="G18" s="371"/>
      <c r="H18" s="371"/>
      <c r="I18" s="371"/>
      <c r="J18" s="376"/>
    </row>
    <row r="19" spans="1:10" ht="15.75">
      <c r="A19" s="405" t="s">
        <v>1589</v>
      </c>
      <c r="B19" s="405"/>
      <c r="C19" s="405"/>
      <c r="D19" s="405"/>
      <c r="E19" s="405"/>
      <c r="F19" s="119" t="s">
        <v>538</v>
      </c>
      <c r="G19" s="158"/>
      <c r="H19" s="411">
        <v>2</v>
      </c>
      <c r="I19" s="371"/>
      <c r="J19" s="371"/>
    </row>
    <row r="20" spans="1:10" ht="15">
      <c r="A20" s="371" t="s">
        <v>1590</v>
      </c>
      <c r="B20" s="371"/>
      <c r="C20" s="371"/>
      <c r="D20" s="371"/>
      <c r="E20" s="371"/>
      <c r="F20" s="371"/>
      <c r="G20" s="371"/>
      <c r="H20" s="371"/>
      <c r="I20" s="371"/>
      <c r="J20" s="371"/>
    </row>
    <row r="21" spans="1:10" ht="15">
      <c r="A21" s="371" t="s">
        <v>1591</v>
      </c>
      <c r="B21" s="371"/>
      <c r="C21" s="371"/>
      <c r="D21" s="371"/>
      <c r="E21" s="371"/>
      <c r="F21" s="371"/>
      <c r="G21" s="371"/>
      <c r="H21" s="371"/>
      <c r="I21" s="371"/>
      <c r="J21" s="371"/>
    </row>
    <row r="22" spans="1:10" ht="15">
      <c r="A22" s="371" t="s">
        <v>419</v>
      </c>
      <c r="B22" s="371"/>
      <c r="C22" s="371"/>
      <c r="D22" s="371"/>
      <c r="E22" s="371"/>
      <c r="F22" s="371"/>
      <c r="G22" s="371"/>
      <c r="H22" s="371"/>
      <c r="I22" s="371"/>
      <c r="J22" s="371"/>
    </row>
    <row r="23" spans="1:10" ht="15.75">
      <c r="A23" s="405" t="s">
        <v>420</v>
      </c>
      <c r="B23" s="405"/>
      <c r="C23" s="444"/>
      <c r="D23" s="405"/>
      <c r="E23" s="405" t="s">
        <v>175</v>
      </c>
      <c r="F23" s="119" t="s">
        <v>539</v>
      </c>
      <c r="G23" s="163">
        <f>60*MINA(C23+0,12)</f>
        <v>0</v>
      </c>
      <c r="H23" s="411">
        <v>3</v>
      </c>
      <c r="I23" s="371"/>
      <c r="J23" s="371"/>
    </row>
    <row r="24" spans="1:10" ht="15.75">
      <c r="A24" s="405" t="s">
        <v>421</v>
      </c>
      <c r="B24" s="405"/>
      <c r="C24" s="445"/>
      <c r="D24" s="405"/>
      <c r="E24" s="405" t="s">
        <v>176</v>
      </c>
      <c r="F24" s="119" t="s">
        <v>540</v>
      </c>
      <c r="G24" s="162">
        <f>200*MINA(C24+0,12)</f>
        <v>0</v>
      </c>
      <c r="H24" s="411">
        <v>4</v>
      </c>
      <c r="I24" s="371"/>
      <c r="J24" s="371"/>
    </row>
    <row r="25" spans="1:10" ht="15.75">
      <c r="A25" s="417" t="s">
        <v>541</v>
      </c>
      <c r="B25" s="405"/>
      <c r="C25" s="405"/>
      <c r="D25" s="405"/>
      <c r="E25" s="405"/>
      <c r="F25" s="371"/>
      <c r="G25" s="162">
        <f>G19+G23+G24</f>
        <v>0</v>
      </c>
      <c r="H25" s="371"/>
      <c r="I25" s="163">
        <f>G25</f>
        <v>0</v>
      </c>
      <c r="J25" s="411">
        <v>5</v>
      </c>
    </row>
    <row r="26" spans="1:10" ht="15.75">
      <c r="A26" s="417" t="s">
        <v>542</v>
      </c>
      <c r="B26" s="405"/>
      <c r="C26" s="405"/>
      <c r="D26" s="405"/>
      <c r="E26" s="405"/>
      <c r="F26" s="405"/>
      <c r="G26" s="408" t="s">
        <v>543</v>
      </c>
      <c r="H26" s="371"/>
      <c r="I26" s="162">
        <f>I17+I25</f>
        <v>0</v>
      </c>
      <c r="J26" s="411">
        <v>6</v>
      </c>
    </row>
    <row r="27" spans="1:10" ht="15">
      <c r="A27" s="371"/>
      <c r="B27" s="371"/>
      <c r="C27" s="371"/>
      <c r="D27" s="371"/>
      <c r="E27" s="371"/>
      <c r="F27" s="371"/>
      <c r="G27" s="371"/>
      <c r="H27" s="371"/>
      <c r="I27" s="371"/>
      <c r="J27" s="371"/>
    </row>
    <row r="28" spans="1:10" ht="15.75">
      <c r="A28" s="405" t="s">
        <v>1439</v>
      </c>
      <c r="B28" s="405"/>
      <c r="C28" s="405"/>
      <c r="D28" s="405"/>
      <c r="E28" s="405"/>
      <c r="F28" s="371"/>
      <c r="G28" s="163">
        <f>NS428!H8</f>
        <v>0</v>
      </c>
      <c r="H28" s="411">
        <v>7</v>
      </c>
      <c r="I28" s="371"/>
      <c r="J28" s="371"/>
    </row>
    <row r="29" spans="1:10" ht="15.75">
      <c r="A29" s="405" t="s">
        <v>1440</v>
      </c>
      <c r="B29" s="405"/>
      <c r="C29" s="405"/>
      <c r="D29" s="405"/>
      <c r="E29" s="405"/>
      <c r="F29" s="371"/>
      <c r="G29" s="162">
        <f>SUM(NS428!H28:H43)</f>
        <v>7231</v>
      </c>
      <c r="H29" s="411">
        <v>8</v>
      </c>
      <c r="I29" s="371"/>
      <c r="J29" s="371"/>
    </row>
    <row r="30" spans="1:10" ht="15.75">
      <c r="A30" s="417" t="s">
        <v>544</v>
      </c>
      <c r="B30" s="405"/>
      <c r="C30" s="405"/>
      <c r="D30" s="405"/>
      <c r="E30" s="405"/>
      <c r="F30" s="371"/>
      <c r="G30" s="162">
        <f>MAXA(0,G28-G29)</f>
        <v>0</v>
      </c>
      <c r="H30" s="411">
        <v>9</v>
      </c>
      <c r="I30" s="371"/>
      <c r="J30" s="371"/>
    </row>
    <row r="31" spans="1:10" ht="15">
      <c r="A31" s="371" t="s">
        <v>1826</v>
      </c>
      <c r="B31" s="371"/>
      <c r="C31" s="371"/>
      <c r="D31" s="371"/>
      <c r="E31" s="371"/>
      <c r="F31" s="371"/>
      <c r="G31" s="371"/>
      <c r="H31" s="371"/>
      <c r="I31" s="371"/>
      <c r="J31" s="371"/>
    </row>
    <row r="32" spans="1:10" ht="15.75">
      <c r="A32" s="405" t="s">
        <v>426</v>
      </c>
      <c r="B32" s="405"/>
      <c r="C32" s="405"/>
      <c r="D32" s="405"/>
      <c r="E32" s="405"/>
      <c r="F32" s="371"/>
      <c r="G32" s="163">
        <f>MINA(I17+0,G30)</f>
        <v>0</v>
      </c>
      <c r="H32" s="371"/>
      <c r="I32" s="163">
        <f>G32</f>
        <v>0</v>
      </c>
      <c r="J32" s="411">
        <v>10</v>
      </c>
    </row>
    <row r="33" spans="1:10" ht="15.75">
      <c r="A33" s="417" t="s">
        <v>427</v>
      </c>
      <c r="B33" s="405"/>
      <c r="C33" s="405"/>
      <c r="D33" s="405"/>
      <c r="E33" s="405"/>
      <c r="F33" s="371"/>
      <c r="G33" s="162">
        <f>G30-I32</f>
        <v>0</v>
      </c>
      <c r="H33" s="411">
        <v>11</v>
      </c>
      <c r="I33" s="371"/>
      <c r="J33" s="371"/>
    </row>
    <row r="34" spans="1:10" ht="15">
      <c r="A34" s="418" t="s">
        <v>1827</v>
      </c>
      <c r="B34" s="371"/>
      <c r="C34" s="371"/>
      <c r="D34" s="371"/>
      <c r="E34" s="371"/>
      <c r="F34" s="371"/>
      <c r="G34" s="371"/>
      <c r="H34" s="371"/>
      <c r="I34" s="371"/>
      <c r="J34" s="371"/>
    </row>
    <row r="35" spans="1:10" ht="15.75">
      <c r="A35" s="405" t="s">
        <v>428</v>
      </c>
      <c r="B35" s="405"/>
      <c r="C35" s="405"/>
      <c r="D35" s="405"/>
      <c r="E35" s="405"/>
      <c r="F35" s="405"/>
      <c r="G35" s="374"/>
      <c r="H35" s="371"/>
      <c r="I35" s="163">
        <f>MINA(I25,G33)</f>
        <v>0</v>
      </c>
      <c r="J35" s="411">
        <v>12</v>
      </c>
    </row>
    <row r="36" spans="1:10" ht="15.75">
      <c r="A36" s="371" t="s">
        <v>1441</v>
      </c>
      <c r="B36" s="371"/>
      <c r="C36" s="371"/>
      <c r="D36" s="371"/>
      <c r="E36" s="379"/>
      <c r="F36" s="371"/>
      <c r="G36" s="379" t="s">
        <v>1442</v>
      </c>
      <c r="H36" s="376"/>
      <c r="I36" s="371"/>
      <c r="J36" s="371"/>
    </row>
    <row r="37" spans="1:10" ht="15.75">
      <c r="A37" s="405" t="s">
        <v>1443</v>
      </c>
      <c r="B37" s="405"/>
      <c r="C37" s="405"/>
      <c r="D37" s="405"/>
      <c r="E37" s="405"/>
      <c r="F37" s="405"/>
      <c r="G37" s="410" t="s">
        <v>1444</v>
      </c>
      <c r="H37" s="376"/>
      <c r="I37" s="163">
        <f>I32+I35</f>
        <v>0</v>
      </c>
      <c r="J37" s="411">
        <v>13</v>
      </c>
    </row>
    <row r="38" spans="1:10" ht="15.75">
      <c r="A38" s="375"/>
      <c r="B38" s="375"/>
      <c r="C38" s="375"/>
      <c r="D38" s="375"/>
      <c r="E38" s="375"/>
      <c r="F38" s="375"/>
      <c r="G38" s="409"/>
      <c r="H38" s="376"/>
      <c r="I38" s="371"/>
      <c r="J38" s="411"/>
    </row>
    <row r="39" spans="1:10" ht="15.75">
      <c r="A39" s="375"/>
      <c r="B39" s="375"/>
      <c r="C39" s="375"/>
      <c r="D39" s="375"/>
      <c r="E39" s="375"/>
      <c r="F39" s="375"/>
      <c r="G39" s="409"/>
      <c r="H39" s="376"/>
      <c r="I39" s="371"/>
      <c r="J39" s="411"/>
    </row>
    <row r="40" spans="1:10" ht="20.25">
      <c r="A40" s="407" t="s">
        <v>66</v>
      </c>
      <c r="B40" s="375"/>
      <c r="C40" s="375"/>
      <c r="D40" s="375"/>
      <c r="E40" s="375"/>
      <c r="F40" s="375"/>
      <c r="G40" s="409"/>
      <c r="H40" s="376"/>
      <c r="I40" s="371"/>
      <c r="J40" s="411"/>
    </row>
    <row r="41" spans="1:10" ht="15.75">
      <c r="A41" s="375"/>
      <c r="B41" s="375"/>
      <c r="C41" s="375"/>
      <c r="D41" s="375"/>
      <c r="E41" s="375"/>
      <c r="F41" s="375"/>
      <c r="G41" s="409"/>
      <c r="H41" s="376"/>
      <c r="I41" s="371"/>
      <c r="J41" s="411"/>
    </row>
    <row r="42" spans="1:10" ht="15.75">
      <c r="A42" s="374" t="s">
        <v>1685</v>
      </c>
      <c r="B42" s="374"/>
      <c r="C42" s="374"/>
      <c r="D42" s="374"/>
      <c r="E42" s="374"/>
      <c r="F42" s="374"/>
      <c r="G42" s="388"/>
      <c r="H42" s="376"/>
      <c r="I42" s="166">
        <f>MINA(5000,I25)</f>
        <v>0</v>
      </c>
      <c r="J42" s="411">
        <v>14</v>
      </c>
    </row>
    <row r="43" spans="1:10" ht="15.75">
      <c r="A43" s="377" t="s">
        <v>67</v>
      </c>
      <c r="B43" s="377"/>
      <c r="C43" s="377"/>
      <c r="D43" s="377"/>
      <c r="E43" s="377"/>
      <c r="F43" s="377"/>
      <c r="G43" s="419"/>
      <c r="H43" s="376"/>
      <c r="I43" s="167">
        <f>I35</f>
        <v>0</v>
      </c>
      <c r="J43" s="411">
        <v>15</v>
      </c>
    </row>
    <row r="44" spans="1:10" ht="15.75">
      <c r="A44" s="377" t="s">
        <v>1471</v>
      </c>
      <c r="B44" s="377"/>
      <c r="C44" s="377"/>
      <c r="D44" s="377"/>
      <c r="E44" s="377"/>
      <c r="F44" s="377"/>
      <c r="G44" s="419" t="s">
        <v>1470</v>
      </c>
      <c r="H44" s="376"/>
      <c r="I44" s="167">
        <f>MAXA(0,I42-I43)</f>
        <v>0</v>
      </c>
      <c r="J44" s="411">
        <v>16</v>
      </c>
    </row>
    <row r="45" spans="1:10" ht="15.75">
      <c r="A45" s="375"/>
      <c r="B45" s="375"/>
      <c r="C45" s="375"/>
      <c r="D45" s="375"/>
      <c r="E45" s="375"/>
      <c r="F45" s="375"/>
      <c r="G45" s="409"/>
      <c r="H45" s="376"/>
      <c r="I45" s="371"/>
      <c r="J45" s="411"/>
    </row>
    <row r="46" spans="1:10" ht="15.75">
      <c r="A46" s="375" t="s">
        <v>1310</v>
      </c>
      <c r="B46" s="375"/>
      <c r="C46" s="375"/>
      <c r="D46" s="375"/>
      <c r="E46" s="375"/>
      <c r="F46" s="375"/>
      <c r="G46" s="409"/>
      <c r="H46" s="376"/>
      <c r="I46" s="371"/>
      <c r="J46" s="411"/>
    </row>
    <row r="47" spans="1:10" ht="15.75">
      <c r="A47" s="375" t="s">
        <v>1940</v>
      </c>
      <c r="B47" s="375"/>
      <c r="C47" s="375"/>
      <c r="D47" s="375"/>
      <c r="E47" s="375"/>
      <c r="F47" s="375"/>
      <c r="G47" s="409"/>
      <c r="H47" s="376"/>
      <c r="I47" s="371"/>
      <c r="J47" s="411"/>
    </row>
    <row r="48" spans="1:10" ht="15.75">
      <c r="A48" s="375" t="s">
        <v>1311</v>
      </c>
      <c r="B48" s="375"/>
      <c r="C48" s="375"/>
      <c r="D48" s="375"/>
      <c r="E48" s="375"/>
      <c r="F48" s="375"/>
      <c r="G48" s="409"/>
      <c r="H48" s="376"/>
      <c r="I48" s="371"/>
      <c r="J48" s="411"/>
    </row>
    <row r="49" spans="1:10" ht="15.75">
      <c r="A49" s="375" t="s">
        <v>1312</v>
      </c>
      <c r="B49" s="375"/>
      <c r="C49" s="375"/>
      <c r="D49" s="375"/>
      <c r="E49" s="375"/>
      <c r="F49" s="375"/>
      <c r="G49" s="409"/>
      <c r="H49" s="376"/>
      <c r="I49" s="371"/>
      <c r="J49" s="411"/>
    </row>
    <row r="50" spans="1:10" ht="15.75">
      <c r="A50" s="375" t="s">
        <v>1751</v>
      </c>
      <c r="B50" s="375"/>
      <c r="C50" s="375"/>
      <c r="D50" s="375"/>
      <c r="E50" s="375"/>
      <c r="F50" s="375"/>
      <c r="G50" s="409"/>
      <c r="H50" s="376"/>
      <c r="I50" s="371"/>
      <c r="J50" s="411"/>
    </row>
    <row r="51" spans="1:10" ht="15.75">
      <c r="A51" s="375" t="s">
        <v>1173</v>
      </c>
      <c r="B51" s="375"/>
      <c r="C51" s="375"/>
      <c r="D51" s="375"/>
      <c r="E51" s="375"/>
      <c r="F51" s="375"/>
      <c r="G51" s="409"/>
      <c r="H51" s="376"/>
      <c r="I51" s="371"/>
      <c r="J51" s="411"/>
    </row>
    <row r="52" spans="1:10" ht="15.75">
      <c r="A52" s="375"/>
      <c r="B52" s="375"/>
      <c r="C52" s="375"/>
      <c r="D52" s="375"/>
      <c r="E52" s="375"/>
      <c r="F52" s="375"/>
      <c r="G52" s="409"/>
      <c r="H52" s="376"/>
      <c r="I52" s="371"/>
      <c r="J52" s="411"/>
    </row>
    <row r="53" spans="1:10" s="120" customFormat="1" ht="20.25">
      <c r="A53" s="407" t="s">
        <v>1752</v>
      </c>
      <c r="B53" s="406"/>
      <c r="C53" s="406"/>
      <c r="D53" s="406"/>
      <c r="E53" s="406"/>
      <c r="F53" s="406"/>
      <c r="G53" s="409"/>
      <c r="H53" s="376"/>
      <c r="I53" s="376"/>
      <c r="J53" s="411"/>
    </row>
    <row r="54" spans="1:10" ht="15.75">
      <c r="A54" s="375"/>
      <c r="B54" s="375"/>
      <c r="C54" s="375"/>
      <c r="D54" s="375"/>
      <c r="E54" s="375"/>
      <c r="F54" s="375"/>
      <c r="G54" s="409"/>
      <c r="H54" s="376"/>
      <c r="I54" s="371"/>
      <c r="J54" s="411"/>
    </row>
    <row r="55" spans="1:10" ht="15.75">
      <c r="A55" s="374" t="s">
        <v>1753</v>
      </c>
      <c r="B55" s="374"/>
      <c r="C55" s="374"/>
      <c r="D55" s="374"/>
      <c r="E55" s="374"/>
      <c r="F55" s="374"/>
      <c r="G55" s="388"/>
      <c r="H55" s="376"/>
      <c r="I55" s="166">
        <f>I26</f>
        <v>0</v>
      </c>
      <c r="J55" s="411">
        <v>17</v>
      </c>
    </row>
    <row r="56" spans="1:10" ht="15.75">
      <c r="A56" s="377" t="s">
        <v>327</v>
      </c>
      <c r="B56" s="377"/>
      <c r="C56" s="377"/>
      <c r="D56" s="377"/>
      <c r="E56" s="377"/>
      <c r="F56" s="377"/>
      <c r="G56" s="419"/>
      <c r="H56" s="376"/>
      <c r="I56" s="167">
        <f>I37</f>
        <v>0</v>
      </c>
      <c r="J56" s="411">
        <v>18</v>
      </c>
    </row>
    <row r="57" spans="1:10" ht="15.75">
      <c r="A57" s="377" t="s">
        <v>328</v>
      </c>
      <c r="B57" s="377"/>
      <c r="C57" s="377"/>
      <c r="D57" s="377"/>
      <c r="E57" s="377"/>
      <c r="F57" s="377"/>
      <c r="G57" s="419"/>
      <c r="H57" s="376"/>
      <c r="I57" s="167">
        <f>I55-I56</f>
        <v>0</v>
      </c>
      <c r="J57" s="411">
        <v>19</v>
      </c>
    </row>
    <row r="58" spans="1:10" ht="15.75">
      <c r="A58" s="375"/>
      <c r="B58" s="375"/>
      <c r="C58" s="375"/>
      <c r="D58" s="375"/>
      <c r="E58" s="375"/>
      <c r="F58" s="375"/>
      <c r="G58" s="409"/>
      <c r="H58" s="376"/>
      <c r="I58" s="371"/>
      <c r="J58" s="411"/>
    </row>
    <row r="59" spans="1:10" ht="15.75">
      <c r="A59" s="375" t="s">
        <v>1846</v>
      </c>
      <c r="B59" s="375"/>
      <c r="C59" s="375"/>
      <c r="D59" s="375"/>
      <c r="E59" s="375"/>
      <c r="F59" s="375"/>
      <c r="G59" s="409"/>
      <c r="H59" s="376"/>
      <c r="I59" s="371"/>
      <c r="J59" s="411"/>
    </row>
    <row r="60" spans="1:10" ht="15.75">
      <c r="A60" s="375" t="s">
        <v>162</v>
      </c>
      <c r="B60" s="375"/>
      <c r="C60" s="375"/>
      <c r="D60" s="375"/>
      <c r="E60" s="375"/>
      <c r="F60" s="375"/>
      <c r="G60" s="409"/>
      <c r="H60" s="376"/>
      <c r="I60" s="371"/>
      <c r="J60" s="411"/>
    </row>
    <row r="61" spans="1:10" ht="15.75">
      <c r="A61" s="374" t="s">
        <v>163</v>
      </c>
      <c r="B61" s="374"/>
      <c r="C61" s="374"/>
      <c r="D61" s="374"/>
      <c r="E61" s="374"/>
      <c r="F61" s="374"/>
      <c r="G61" s="388"/>
      <c r="H61" s="119" t="s">
        <v>164</v>
      </c>
      <c r="I61" s="158"/>
      <c r="J61" s="411">
        <v>20</v>
      </c>
    </row>
    <row r="62" spans="1:10" ht="15.75">
      <c r="A62" s="371"/>
      <c r="B62" s="371"/>
      <c r="C62" s="371"/>
      <c r="D62" s="371"/>
      <c r="E62" s="371"/>
      <c r="F62" s="371"/>
      <c r="G62" s="371"/>
      <c r="H62" s="376"/>
      <c r="I62" s="371"/>
      <c r="J62" s="371"/>
    </row>
    <row r="63" spans="1:10" ht="15.75">
      <c r="A63" s="374" t="s">
        <v>1965</v>
      </c>
      <c r="B63" s="374"/>
      <c r="C63" s="374"/>
      <c r="D63" s="374"/>
      <c r="E63" s="381"/>
      <c r="F63" s="374"/>
      <c r="G63" s="388"/>
      <c r="H63" s="376"/>
      <c r="I63" s="166">
        <f>I57-I61</f>
        <v>0</v>
      </c>
      <c r="J63" s="411">
        <v>21</v>
      </c>
    </row>
    <row r="64" spans="1:10" ht="15">
      <c r="A64" s="371"/>
      <c r="B64" s="371"/>
      <c r="C64" s="371"/>
      <c r="D64" s="371"/>
      <c r="E64" s="371"/>
      <c r="F64" s="371"/>
      <c r="G64" s="371"/>
      <c r="H64" s="371"/>
      <c r="I64" s="371"/>
      <c r="J64" s="371" t="s">
        <v>335</v>
      </c>
    </row>
    <row r="65" ht="15">
      <c r="A65" s="97"/>
    </row>
  </sheetData>
  <sheetProtection password="EC35" sheet="1" objects="1" scenarios="1"/>
  <printOptions horizontalCentered="1"/>
  <pageMargins left="0.5118110236220472" right="0.5118110236220472" top="0.5118110236220472" bottom="0.5118110236220472" header="0.5118110236220472" footer="0.5118110236220472"/>
  <pageSetup fitToHeight="6" fitToWidth="1" horizontalDpi="600" verticalDpi="600" orientation="landscape" scale="45" r:id="rId2"/>
  <headerFooter alignWithMargins="0">
    <oddFooter>&amp;L5010-S11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 transitionEvaluation="1"/>
  <dimension ref="A1:K108"/>
  <sheetViews>
    <sheetView showGridLines="0" showRowColHeaders="0" zoomScale="72" zoomScaleNormal="72" workbookViewId="0" topLeftCell="A1">
      <selection activeCell="B1" sqref="B1"/>
    </sheetView>
  </sheetViews>
  <sheetFormatPr defaultColWidth="9.77734375" defaultRowHeight="15"/>
  <cols>
    <col min="1" max="1" width="2.99609375" style="0" customWidth="1"/>
    <col min="2" max="2" width="33.99609375" style="0" customWidth="1"/>
    <col min="3" max="3" width="4.77734375" style="0" customWidth="1"/>
    <col min="4" max="4" width="11.77734375" style="0" customWidth="1"/>
    <col min="5" max="5" width="4.77734375" style="0" customWidth="1"/>
    <col min="6" max="6" width="11.77734375" style="0" customWidth="1"/>
    <col min="7" max="7" width="4.77734375" style="0" customWidth="1"/>
    <col min="8" max="8" width="11.77734375" style="0" customWidth="1"/>
    <col min="9" max="9" width="4.77734375" style="0" customWidth="1"/>
    <col min="10" max="10" width="11.77734375" style="0" customWidth="1"/>
    <col min="11" max="11" width="3.77734375" style="0" customWidth="1"/>
  </cols>
  <sheetData>
    <row r="1" spans="1:11" ht="24.75" customHeight="1">
      <c r="A1" s="426"/>
      <c r="B1" s="234" t="s">
        <v>390</v>
      </c>
      <c r="C1" s="298"/>
      <c r="D1" s="299" t="s">
        <v>547</v>
      </c>
      <c r="E1" s="176"/>
      <c r="F1" s="168"/>
      <c r="G1" s="176"/>
      <c r="H1" s="125"/>
      <c r="I1" s="176"/>
      <c r="J1" s="299" t="s">
        <v>546</v>
      </c>
      <c r="K1" s="176"/>
    </row>
    <row r="2" spans="1:11" ht="15.75" customHeight="1">
      <c r="A2" s="426"/>
      <c r="B2" s="149"/>
      <c r="C2" s="176"/>
      <c r="D2" s="168"/>
      <c r="E2" s="176"/>
      <c r="F2" s="168"/>
      <c r="G2" s="176"/>
      <c r="H2" s="125"/>
      <c r="I2" s="176"/>
      <c r="J2" s="168"/>
      <c r="K2" s="176"/>
    </row>
    <row r="3" spans="1:11" ht="15.75" customHeight="1">
      <c r="A3" s="426"/>
      <c r="B3" s="149" t="s">
        <v>1050</v>
      </c>
      <c r="C3" s="125"/>
      <c r="D3" s="176"/>
      <c r="E3" s="125"/>
      <c r="F3" s="125"/>
      <c r="G3" s="125"/>
      <c r="H3" s="125"/>
      <c r="I3" s="125"/>
      <c r="J3" s="125"/>
      <c r="K3" s="125"/>
    </row>
    <row r="4" spans="1:11" ht="15.75" customHeight="1">
      <c r="A4" s="426"/>
      <c r="B4" s="149" t="s">
        <v>1985</v>
      </c>
      <c r="C4" s="125"/>
      <c r="D4" s="176"/>
      <c r="E4" s="125"/>
      <c r="F4" s="125"/>
      <c r="G4" s="125"/>
      <c r="H4" s="125"/>
      <c r="I4" s="125"/>
      <c r="J4" s="125"/>
      <c r="K4" s="125"/>
    </row>
    <row r="5" spans="1:11" ht="15.75" customHeight="1">
      <c r="A5" s="426"/>
      <c r="B5" s="125"/>
      <c r="C5" s="125"/>
      <c r="D5" s="176"/>
      <c r="E5" s="125"/>
      <c r="F5" s="125"/>
      <c r="G5" s="125"/>
      <c r="H5" s="125"/>
      <c r="I5" s="125"/>
      <c r="J5" s="125"/>
      <c r="K5" s="125"/>
    </row>
    <row r="6" spans="1:11" ht="15.75" customHeight="1">
      <c r="A6" s="426"/>
      <c r="B6" s="287" t="s">
        <v>1586</v>
      </c>
      <c r="C6" s="287"/>
      <c r="D6" s="287"/>
      <c r="E6" s="287"/>
      <c r="F6" s="287"/>
      <c r="G6" s="125"/>
      <c r="H6" s="163">
        <f>'T1 GEN-2-3-4'!K99</f>
        <v>0</v>
      </c>
      <c r="I6" s="272">
        <v>1</v>
      </c>
      <c r="J6" s="125"/>
      <c r="K6" s="149"/>
    </row>
    <row r="7" spans="1:11" ht="21.75" customHeight="1">
      <c r="A7" s="426"/>
      <c r="B7" s="186" t="s">
        <v>1587</v>
      </c>
      <c r="C7" s="186"/>
      <c r="D7" s="186"/>
      <c r="E7" s="186"/>
      <c r="F7" s="186"/>
      <c r="G7" s="153"/>
      <c r="H7" s="186"/>
      <c r="I7" s="153"/>
      <c r="J7" s="186"/>
      <c r="K7" s="149"/>
    </row>
    <row r="8" spans="1:11" ht="15.75" customHeight="1">
      <c r="A8" s="426"/>
      <c r="B8" s="186" t="s">
        <v>1852</v>
      </c>
      <c r="C8" s="186"/>
      <c r="D8" s="300"/>
      <c r="E8" s="300"/>
      <c r="F8" s="300"/>
      <c r="G8" s="308"/>
      <c r="H8" s="300" t="s">
        <v>1178</v>
      </c>
      <c r="I8" s="308"/>
      <c r="J8" s="300"/>
      <c r="K8" s="149"/>
    </row>
    <row r="9" spans="1:11" ht="15.75" customHeight="1">
      <c r="A9" s="426"/>
      <c r="B9" s="153"/>
      <c r="C9" s="186"/>
      <c r="D9" s="300"/>
      <c r="E9" s="186"/>
      <c r="F9" s="300" t="s">
        <v>1176</v>
      </c>
      <c r="G9" s="308"/>
      <c r="H9" s="300" t="s">
        <v>1179</v>
      </c>
      <c r="I9" s="308"/>
      <c r="J9" s="300" t="s">
        <v>1181</v>
      </c>
      <c r="K9" s="149"/>
    </row>
    <row r="10" spans="1:11" ht="15.75" customHeight="1">
      <c r="A10" s="426"/>
      <c r="B10" s="122" t="s">
        <v>1174</v>
      </c>
      <c r="C10" s="186"/>
      <c r="D10" s="301" t="s">
        <v>1175</v>
      </c>
      <c r="E10" s="186"/>
      <c r="F10" s="305" t="s">
        <v>1177</v>
      </c>
      <c r="G10" s="186"/>
      <c r="H10" s="301" t="s">
        <v>1180</v>
      </c>
      <c r="I10" s="186"/>
      <c r="J10" s="301" t="s">
        <v>1180</v>
      </c>
      <c r="K10" s="153"/>
    </row>
    <row r="11" spans="1:11" ht="15.75" customHeight="1">
      <c r="A11" s="426"/>
      <c r="B11" s="186"/>
      <c r="C11" s="186"/>
      <c r="D11" s="186"/>
      <c r="E11" s="186"/>
      <c r="F11" s="306"/>
      <c r="G11" s="186"/>
      <c r="H11" s="186"/>
      <c r="I11" s="153"/>
      <c r="J11" s="306"/>
      <c r="K11" s="314"/>
    </row>
    <row r="12" spans="1:11" ht="15.75" customHeight="1">
      <c r="A12" s="426"/>
      <c r="B12" s="201" t="s">
        <v>1182</v>
      </c>
      <c r="C12" s="186"/>
      <c r="D12" s="163">
        <f>IF(NOT(H6&gt;30754),H6,0)</f>
        <v>0</v>
      </c>
      <c r="E12" s="302" t="s">
        <v>302</v>
      </c>
      <c r="F12" s="163">
        <f>IF($H$6&gt;30754,IF(NOT($H$6&gt;61509),$H$6,0),0)</f>
        <v>0</v>
      </c>
      <c r="G12" s="302" t="s">
        <v>302</v>
      </c>
      <c r="H12" s="163">
        <f>IF($H$6&gt;61509,IF(NOT($H$6&gt;100000),$H$6,0),0)</f>
        <v>0</v>
      </c>
      <c r="I12" s="302" t="s">
        <v>302</v>
      </c>
      <c r="J12" s="163">
        <f>IF(H6&gt;100000,H6,0)</f>
        <v>0</v>
      </c>
      <c r="K12" s="302" t="s">
        <v>302</v>
      </c>
    </row>
    <row r="13" spans="1:11" ht="15.75" customHeight="1">
      <c r="A13" s="426"/>
      <c r="B13" s="201" t="s">
        <v>1393</v>
      </c>
      <c r="C13" s="186"/>
      <c r="D13" s="162">
        <v>0</v>
      </c>
      <c r="E13" s="303" t="s">
        <v>303</v>
      </c>
      <c r="F13" s="162">
        <v>30754</v>
      </c>
      <c r="G13" s="303" t="s">
        <v>303</v>
      </c>
      <c r="H13" s="162">
        <v>61509</v>
      </c>
      <c r="I13" s="303" t="s">
        <v>303</v>
      </c>
      <c r="J13" s="162">
        <v>100000</v>
      </c>
      <c r="K13" s="303" t="s">
        <v>303</v>
      </c>
    </row>
    <row r="14" spans="1:11" ht="30.75" customHeight="1">
      <c r="A14" s="426"/>
      <c r="B14" s="288" t="s">
        <v>650</v>
      </c>
      <c r="C14" s="186"/>
      <c r="D14" s="162">
        <f>MAXA(0,D12-D13)</f>
        <v>0</v>
      </c>
      <c r="E14" s="302" t="s">
        <v>304</v>
      </c>
      <c r="F14" s="162">
        <f>MAXA(0,F12-F13)</f>
        <v>0</v>
      </c>
      <c r="G14" s="302" t="s">
        <v>304</v>
      </c>
      <c r="H14" s="162">
        <f>MAXA(0,H12-H13)</f>
        <v>0</v>
      </c>
      <c r="I14" s="302" t="s">
        <v>304</v>
      </c>
      <c r="J14" s="162">
        <f>MAXA(0,J12-J13)</f>
        <v>0</v>
      </c>
      <c r="K14" s="302" t="s">
        <v>304</v>
      </c>
    </row>
    <row r="15" spans="1:11" ht="15.75" customHeight="1">
      <c r="A15" s="426"/>
      <c r="B15" s="201" t="s">
        <v>1183</v>
      </c>
      <c r="C15" s="186"/>
      <c r="D15" s="162">
        <v>0.16</v>
      </c>
      <c r="E15" s="302" t="s">
        <v>305</v>
      </c>
      <c r="F15" s="162">
        <v>0.22</v>
      </c>
      <c r="G15" s="302" t="s">
        <v>305</v>
      </c>
      <c r="H15" s="162">
        <v>0.26</v>
      </c>
      <c r="I15" s="302" t="s">
        <v>305</v>
      </c>
      <c r="J15" s="162">
        <v>0.29</v>
      </c>
      <c r="K15" s="302" t="s">
        <v>305</v>
      </c>
    </row>
    <row r="16" spans="1:11" ht="30.75" customHeight="1">
      <c r="A16" s="426"/>
      <c r="B16" s="288" t="s">
        <v>1184</v>
      </c>
      <c r="C16" s="186"/>
      <c r="D16" s="162">
        <f>D14*D15</f>
        <v>0</v>
      </c>
      <c r="E16" s="302" t="s">
        <v>306</v>
      </c>
      <c r="F16" s="162">
        <f>F14*F15</f>
        <v>0</v>
      </c>
      <c r="G16" s="302" t="s">
        <v>306</v>
      </c>
      <c r="H16" s="162">
        <f>H14*H15</f>
        <v>0</v>
      </c>
      <c r="I16" s="302" t="s">
        <v>306</v>
      </c>
      <c r="J16" s="162">
        <f>J14*J15</f>
        <v>0</v>
      </c>
      <c r="K16" s="302" t="s">
        <v>306</v>
      </c>
    </row>
    <row r="17" spans="1:11" ht="15">
      <c r="A17" s="426"/>
      <c r="B17" s="201" t="s">
        <v>648</v>
      </c>
      <c r="C17" s="186"/>
      <c r="D17" s="162">
        <v>0</v>
      </c>
      <c r="E17" s="302" t="s">
        <v>1402</v>
      </c>
      <c r="F17" s="162">
        <v>4921</v>
      </c>
      <c r="G17" s="302" t="s">
        <v>1402</v>
      </c>
      <c r="H17" s="162">
        <v>11687</v>
      </c>
      <c r="I17" s="302" t="s">
        <v>1402</v>
      </c>
      <c r="J17" s="162">
        <v>21694</v>
      </c>
      <c r="K17" s="302" t="s">
        <v>1402</v>
      </c>
    </row>
    <row r="18" spans="1:11" ht="28.5" customHeight="1">
      <c r="A18" s="426"/>
      <c r="B18" s="289" t="s">
        <v>649</v>
      </c>
      <c r="C18" s="155"/>
      <c r="D18" s="162">
        <f>IF(OR(H6&lt;30754,H6=30754),(D16+D17),0)</f>
        <v>0</v>
      </c>
      <c r="E18" s="302" t="s">
        <v>307</v>
      </c>
      <c r="F18" s="162" t="b">
        <f>IF($H$6&gt;30754,IF(NOT($H$6&gt;61509),(F16+F17),0))</f>
        <v>0</v>
      </c>
      <c r="G18" s="302" t="s">
        <v>307</v>
      </c>
      <c r="H18" s="162" t="b">
        <f>IF($H$6&gt;61509,IF(NOT($H$6&gt;100000),(H16+H17),0))</f>
        <v>0</v>
      </c>
      <c r="I18" s="302" t="s">
        <v>307</v>
      </c>
      <c r="J18" s="162">
        <f>IF(H6&gt;100000,J16+J17,0)</f>
        <v>0</v>
      </c>
      <c r="K18" s="302" t="s">
        <v>307</v>
      </c>
    </row>
    <row r="19" spans="1:11" ht="15.75">
      <c r="A19" s="426"/>
      <c r="B19" s="186"/>
      <c r="C19" s="186"/>
      <c r="D19" s="186"/>
      <c r="E19" s="186"/>
      <c r="F19" s="186"/>
      <c r="G19" s="153"/>
      <c r="H19" s="155"/>
      <c r="I19" s="153"/>
      <c r="J19" s="306"/>
      <c r="K19" s="314"/>
    </row>
    <row r="20" spans="1:11" ht="15.75">
      <c r="A20" s="426"/>
      <c r="B20" s="125"/>
      <c r="C20" s="125"/>
      <c r="D20" s="125"/>
      <c r="E20" s="125"/>
      <c r="F20" s="125"/>
      <c r="G20" s="149"/>
      <c r="H20" s="125"/>
      <c r="I20" s="149"/>
      <c r="J20" s="177"/>
      <c r="K20" s="149"/>
    </row>
    <row r="21" spans="1:11" ht="18">
      <c r="A21" s="426"/>
      <c r="B21" s="137" t="s">
        <v>651</v>
      </c>
      <c r="C21" s="125"/>
      <c r="D21" s="125"/>
      <c r="E21" s="125"/>
      <c r="F21" s="125"/>
      <c r="G21" s="149"/>
      <c r="H21" s="125"/>
      <c r="I21" s="149"/>
      <c r="J21" s="177"/>
      <c r="K21" s="149"/>
    </row>
    <row r="22" spans="1:11" ht="15.75">
      <c r="A22" s="426"/>
      <c r="B22" s="125"/>
      <c r="C22" s="125"/>
      <c r="D22" s="125"/>
      <c r="E22" s="125"/>
      <c r="F22" s="125"/>
      <c r="G22" s="149"/>
      <c r="H22" s="125"/>
      <c r="I22" s="149"/>
      <c r="J22" s="177"/>
      <c r="K22" s="149"/>
    </row>
    <row r="23" spans="1:11" ht="18">
      <c r="A23" s="426"/>
      <c r="B23" s="122" t="s">
        <v>804</v>
      </c>
      <c r="C23" s="122"/>
      <c r="D23" s="122"/>
      <c r="E23" s="122"/>
      <c r="F23" s="150" t="s">
        <v>652</v>
      </c>
      <c r="G23" s="3">
        <v>300</v>
      </c>
      <c r="H23" s="163">
        <v>7412</v>
      </c>
      <c r="I23" s="160"/>
      <c r="J23" s="177"/>
      <c r="K23" s="137"/>
    </row>
    <row r="24" spans="1:11" ht="18">
      <c r="A24" s="426"/>
      <c r="B24" s="123" t="s">
        <v>653</v>
      </c>
      <c r="C24" s="122"/>
      <c r="D24" s="122"/>
      <c r="E24" s="122"/>
      <c r="F24" s="122"/>
      <c r="G24" s="3">
        <v>301</v>
      </c>
      <c r="H24" s="162">
        <f>IF(DATE('T1 GEN-1'!$T$13,'T1 GEN-1'!$U$13,'T1 GEN-1'!$W$13)&lt;DATE(1937,1,1),'FED WRK'!P19,0)</f>
        <v>0</v>
      </c>
      <c r="I24" s="160"/>
      <c r="J24" s="177"/>
      <c r="K24" s="137"/>
    </row>
    <row r="25" spans="1:11" ht="18">
      <c r="A25" s="426"/>
      <c r="B25" s="130" t="s">
        <v>654</v>
      </c>
      <c r="C25" s="125"/>
      <c r="D25" s="125"/>
      <c r="E25" s="125"/>
      <c r="F25" s="125"/>
      <c r="G25" s="153"/>
      <c r="H25" s="151"/>
      <c r="I25" s="137"/>
      <c r="J25" s="177"/>
      <c r="K25" s="137"/>
    </row>
    <row r="26" spans="1:11" ht="18">
      <c r="A26" s="426"/>
      <c r="B26" s="122" t="s">
        <v>805</v>
      </c>
      <c r="C26" s="122"/>
      <c r="D26" s="122"/>
      <c r="E26" s="122"/>
      <c r="F26" s="166">
        <f>IF('T1 GEN-1'!S28="",0,6923)</f>
        <v>0</v>
      </c>
      <c r="G26" s="155"/>
      <c r="H26" s="155"/>
      <c r="I26" s="137"/>
      <c r="J26" s="137"/>
      <c r="K26" s="137"/>
    </row>
    <row r="27" spans="1:11" ht="18">
      <c r="A27" s="426"/>
      <c r="B27" s="123" t="s">
        <v>655</v>
      </c>
      <c r="C27" s="123"/>
      <c r="D27" s="123"/>
      <c r="E27" s="123"/>
      <c r="F27" s="162">
        <f>'T1 GEN-1'!U30</f>
        <v>0</v>
      </c>
      <c r="G27" s="155"/>
      <c r="H27" s="155"/>
      <c r="I27" s="137"/>
      <c r="J27" s="137"/>
      <c r="K27" s="137"/>
    </row>
    <row r="28" spans="1:11" ht="18">
      <c r="A28" s="426"/>
      <c r="B28" s="123" t="s">
        <v>1445</v>
      </c>
      <c r="C28" s="122"/>
      <c r="D28" s="122"/>
      <c r="E28" s="122"/>
      <c r="F28" s="162">
        <f>MINA(6293,IF(F27&gt;F26,0,(F26-F27)))</f>
        <v>0</v>
      </c>
      <c r="G28" s="3">
        <v>303</v>
      </c>
      <c r="H28" s="162">
        <f>F28</f>
        <v>0</v>
      </c>
      <c r="I28" s="160"/>
      <c r="J28" s="137"/>
      <c r="K28" s="137"/>
    </row>
    <row r="29" spans="1:11" ht="18">
      <c r="A29" s="426"/>
      <c r="B29" s="123" t="s">
        <v>1772</v>
      </c>
      <c r="C29" s="123"/>
      <c r="D29" s="123"/>
      <c r="E29" s="123"/>
      <c r="F29" s="141" t="s">
        <v>1773</v>
      </c>
      <c r="G29" s="3">
        <v>305</v>
      </c>
      <c r="H29" s="614">
        <f>IF(QUAL!G10,'FED WRK'!P29,0)</f>
        <v>0</v>
      </c>
      <c r="I29" s="160"/>
      <c r="J29" s="137"/>
      <c r="K29" s="137"/>
    </row>
    <row r="30" spans="1:11" ht="18">
      <c r="A30" s="426"/>
      <c r="B30" s="123" t="s">
        <v>1990</v>
      </c>
      <c r="C30" s="122"/>
      <c r="D30" s="122"/>
      <c r="E30" s="122"/>
      <c r="F30" s="123"/>
      <c r="G30" s="3">
        <v>306</v>
      </c>
      <c r="H30" s="162">
        <f>IF(QUAL!G13,'FED WRK'!P53,0)</f>
        <v>0</v>
      </c>
      <c r="I30" s="160"/>
      <c r="J30" s="137"/>
      <c r="K30" s="137"/>
    </row>
    <row r="31" spans="1:11" ht="18">
      <c r="A31" s="426"/>
      <c r="B31" s="130" t="s">
        <v>1991</v>
      </c>
      <c r="C31" s="125"/>
      <c r="D31" s="125"/>
      <c r="E31" s="125"/>
      <c r="F31" s="130"/>
      <c r="G31" s="160"/>
      <c r="H31" s="309"/>
      <c r="I31" s="137"/>
      <c r="J31" s="137"/>
      <c r="K31" s="137"/>
    </row>
    <row r="32" spans="1:11" ht="18">
      <c r="A32" s="426"/>
      <c r="B32" s="122" t="s">
        <v>1992</v>
      </c>
      <c r="C32" s="122"/>
      <c r="D32" s="122"/>
      <c r="E32" s="122"/>
      <c r="F32" s="164" t="s">
        <v>1993</v>
      </c>
      <c r="G32" s="3">
        <v>308</v>
      </c>
      <c r="H32" s="311">
        <f>MIN('T2204'!I21,'T2204'!I22)</f>
        <v>0</v>
      </c>
      <c r="I32" s="160"/>
      <c r="J32" s="137"/>
      <c r="K32" s="137"/>
    </row>
    <row r="33" spans="1:11" ht="18">
      <c r="A33" s="426"/>
      <c r="B33" s="123" t="s">
        <v>1994</v>
      </c>
      <c r="C33" s="123"/>
      <c r="D33" s="123"/>
      <c r="E33" s="123"/>
      <c r="F33" s="125"/>
      <c r="G33" s="3">
        <v>310</v>
      </c>
      <c r="H33" s="162">
        <f>Sch8!I29</f>
        <v>0</v>
      </c>
      <c r="I33" s="160"/>
      <c r="J33" s="137"/>
      <c r="K33" s="137"/>
    </row>
    <row r="34" spans="1:11" ht="18">
      <c r="A34" s="426"/>
      <c r="B34" s="123" t="s">
        <v>1995</v>
      </c>
      <c r="C34" s="122"/>
      <c r="D34" s="122"/>
      <c r="E34" s="122"/>
      <c r="F34" s="680" t="s">
        <v>645</v>
      </c>
      <c r="G34" s="3">
        <v>312</v>
      </c>
      <c r="H34" s="162">
        <f>MIN('T2204'!I50,'T2204'!I53,'T2204'!I54)</f>
        <v>0</v>
      </c>
      <c r="I34" s="160"/>
      <c r="J34" s="137"/>
      <c r="K34" s="137"/>
    </row>
    <row r="35" spans="1:11" ht="18">
      <c r="A35" s="426"/>
      <c r="B35" s="123" t="s">
        <v>643</v>
      </c>
      <c r="C35" s="122"/>
      <c r="D35" s="122"/>
      <c r="E35" s="122"/>
      <c r="F35" s="141" t="s">
        <v>644</v>
      </c>
      <c r="G35" s="3">
        <v>314</v>
      </c>
      <c r="H35" s="162">
        <f>'FED WRK'!G81</f>
        <v>0</v>
      </c>
      <c r="I35" s="160"/>
      <c r="J35" s="137"/>
      <c r="K35" s="137"/>
    </row>
    <row r="36" spans="1:11" ht="18">
      <c r="A36" s="426"/>
      <c r="B36" s="123" t="s">
        <v>646</v>
      </c>
      <c r="C36" s="122"/>
      <c r="D36" s="122"/>
      <c r="E36" s="122"/>
      <c r="F36" s="123"/>
      <c r="G36" s="3">
        <v>315</v>
      </c>
      <c r="H36" s="614">
        <f>IF(QUAL!G16,'FED WRK'!G101,0)</f>
        <v>0</v>
      </c>
      <c r="I36" s="160"/>
      <c r="J36" s="137"/>
      <c r="K36" s="137"/>
    </row>
    <row r="37" spans="1:11" ht="18">
      <c r="A37" s="426"/>
      <c r="B37" s="123" t="s">
        <v>647</v>
      </c>
      <c r="C37" s="122"/>
      <c r="D37" s="122"/>
      <c r="E37" s="122"/>
      <c r="F37" s="123"/>
      <c r="G37" s="3">
        <v>316</v>
      </c>
      <c r="H37" s="614">
        <f>IF(QUAL!G19,'FED WRK'!G123,0)</f>
        <v>0</v>
      </c>
      <c r="I37" s="160"/>
      <c r="J37" s="137"/>
      <c r="K37" s="137"/>
    </row>
    <row r="38" spans="1:11" ht="18">
      <c r="A38" s="426"/>
      <c r="B38" s="123" t="s">
        <v>1941</v>
      </c>
      <c r="C38" s="122"/>
      <c r="D38" s="122"/>
      <c r="E38" s="122"/>
      <c r="F38" s="123"/>
      <c r="G38" s="3">
        <v>318</v>
      </c>
      <c r="H38" s="614">
        <f>IF(QUAL!G22,'FED WRK'!P77,0)</f>
        <v>0</v>
      </c>
      <c r="I38" s="160"/>
      <c r="J38" s="137"/>
      <c r="K38" s="137"/>
    </row>
    <row r="39" spans="1:11" ht="18">
      <c r="A39" s="426"/>
      <c r="B39" s="123" t="s">
        <v>1395</v>
      </c>
      <c r="C39" s="122"/>
      <c r="D39" s="122"/>
      <c r="E39" s="122"/>
      <c r="F39" s="123"/>
      <c r="G39" s="3">
        <v>319</v>
      </c>
      <c r="H39" s="147"/>
      <c r="I39" s="160"/>
      <c r="J39" s="137"/>
      <c r="K39" s="137"/>
    </row>
    <row r="40" spans="1:11" ht="18">
      <c r="A40" s="426"/>
      <c r="B40" s="123" t="s">
        <v>374</v>
      </c>
      <c r="C40" s="122"/>
      <c r="D40" s="122"/>
      <c r="E40" s="122"/>
      <c r="F40" s="123"/>
      <c r="G40" s="3">
        <v>323</v>
      </c>
      <c r="H40" s="162">
        <f>Sch11!I43</f>
        <v>0</v>
      </c>
      <c r="I40" s="160"/>
      <c r="J40" s="137"/>
      <c r="K40" s="137"/>
    </row>
    <row r="41" spans="1:11" ht="18">
      <c r="A41" s="426"/>
      <c r="B41" s="123" t="s">
        <v>1942</v>
      </c>
      <c r="C41" s="122"/>
      <c r="D41" s="122"/>
      <c r="E41" s="122"/>
      <c r="F41" s="123"/>
      <c r="G41" s="3">
        <v>324</v>
      </c>
      <c r="H41" s="147"/>
      <c r="I41" s="160"/>
      <c r="J41" s="137"/>
      <c r="K41" s="137"/>
    </row>
    <row r="42" spans="1:11" ht="18">
      <c r="A42" s="426"/>
      <c r="B42" s="280" t="s">
        <v>1943</v>
      </c>
      <c r="C42" s="122"/>
      <c r="D42" s="122"/>
      <c r="E42" s="122"/>
      <c r="F42" s="123"/>
      <c r="G42" s="3">
        <v>326</v>
      </c>
      <c r="H42" s="162">
        <f>Sch2!I28</f>
        <v>0</v>
      </c>
      <c r="I42" s="160"/>
      <c r="J42" s="137"/>
      <c r="K42" s="137"/>
    </row>
    <row r="43" spans="1:11" ht="18">
      <c r="A43" s="426"/>
      <c r="B43" s="130"/>
      <c r="C43" s="125"/>
      <c r="D43" s="125"/>
      <c r="E43" s="125"/>
      <c r="F43" s="125"/>
      <c r="G43" s="160"/>
      <c r="H43" s="137"/>
      <c r="I43" s="137"/>
      <c r="J43" s="137"/>
      <c r="K43" s="137"/>
    </row>
    <row r="44" spans="1:11" ht="18">
      <c r="A44" s="426"/>
      <c r="B44" s="122" t="s">
        <v>974</v>
      </c>
      <c r="C44" s="122"/>
      <c r="D44" s="122"/>
      <c r="E44" s="3">
        <v>330</v>
      </c>
      <c r="F44" s="147"/>
      <c r="G44" s="160"/>
      <c r="H44" s="137"/>
      <c r="I44" s="137"/>
      <c r="J44" s="137"/>
      <c r="K44" s="137"/>
    </row>
    <row r="45" spans="1:11" ht="18">
      <c r="A45" s="426"/>
      <c r="B45" s="123" t="s">
        <v>460</v>
      </c>
      <c r="C45" s="122"/>
      <c r="D45" s="122"/>
      <c r="E45" s="125"/>
      <c r="F45" s="162">
        <f>MINA(0.03*'T1 GEN-2-3-4'!K84,1678)</f>
        <v>0</v>
      </c>
      <c r="G45" s="160"/>
      <c r="H45" s="137"/>
      <c r="I45" s="137"/>
      <c r="J45" s="137"/>
      <c r="K45" s="137"/>
    </row>
    <row r="46" spans="1:11" ht="18">
      <c r="A46" s="426"/>
      <c r="B46" s="123"/>
      <c r="C46" s="122"/>
      <c r="D46" s="122" t="s">
        <v>375</v>
      </c>
      <c r="E46" s="125"/>
      <c r="F46" s="162">
        <f>F44-F45</f>
        <v>0</v>
      </c>
      <c r="G46" s="160"/>
      <c r="H46" s="137"/>
      <c r="I46" s="137"/>
      <c r="J46" s="137"/>
      <c r="K46" s="137"/>
    </row>
    <row r="47" spans="1:11" ht="18">
      <c r="A47" s="426"/>
      <c r="B47" s="123" t="s">
        <v>1982</v>
      </c>
      <c r="C47" s="122"/>
      <c r="D47" s="122"/>
      <c r="E47" s="3">
        <v>331</v>
      </c>
      <c r="F47" s="147"/>
      <c r="G47" s="160"/>
      <c r="H47" s="137"/>
      <c r="I47" s="137"/>
      <c r="J47" s="137"/>
      <c r="K47" s="137"/>
    </row>
    <row r="48" spans="1:11" ht="18">
      <c r="A48" s="426"/>
      <c r="B48" s="123" t="s">
        <v>1983</v>
      </c>
      <c r="C48" s="122"/>
      <c r="D48" s="122"/>
      <c r="E48" s="125"/>
      <c r="F48" s="162">
        <f>MAXA(0,F46-F47)</f>
        <v>0</v>
      </c>
      <c r="G48" s="3">
        <v>332</v>
      </c>
      <c r="H48" s="162">
        <f>F48</f>
        <v>0</v>
      </c>
      <c r="I48" s="160"/>
      <c r="J48" s="137"/>
      <c r="K48" s="137"/>
    </row>
    <row r="49" spans="1:11" ht="29.25" customHeight="1">
      <c r="A49" s="426"/>
      <c r="B49" s="123"/>
      <c r="C49" s="122"/>
      <c r="D49" s="122"/>
      <c r="E49" s="122"/>
      <c r="F49" s="164" t="s">
        <v>1984</v>
      </c>
      <c r="G49" s="3">
        <v>335</v>
      </c>
      <c r="H49" s="162">
        <f>H23+H24+SUM(H28:H42)+H48</f>
        <v>7412</v>
      </c>
      <c r="I49" s="137"/>
      <c r="J49" s="137"/>
      <c r="K49" s="137"/>
    </row>
    <row r="50" spans="1:11" ht="25.5" customHeight="1">
      <c r="A50" s="426"/>
      <c r="B50" s="123"/>
      <c r="C50" s="122"/>
      <c r="D50" s="122"/>
      <c r="E50" s="122"/>
      <c r="F50" s="164"/>
      <c r="G50" s="309"/>
      <c r="H50" s="286" t="s">
        <v>912</v>
      </c>
      <c r="I50" s="3">
        <v>338</v>
      </c>
      <c r="J50" s="163">
        <f>0.16*H49</f>
        <v>1185.92</v>
      </c>
      <c r="K50" s="160"/>
    </row>
    <row r="51" spans="1:11" ht="18">
      <c r="A51" s="426"/>
      <c r="B51" s="123" t="s">
        <v>913</v>
      </c>
      <c r="C51" s="122"/>
      <c r="D51" s="122"/>
      <c r="E51" s="122"/>
      <c r="F51" s="164"/>
      <c r="G51" s="309"/>
      <c r="H51" s="309"/>
      <c r="I51" s="3">
        <v>349</v>
      </c>
      <c r="J51" s="162">
        <f>Sch9!I29</f>
        <v>0</v>
      </c>
      <c r="K51" s="137"/>
    </row>
    <row r="52" spans="1:11" ht="18">
      <c r="A52" s="426"/>
      <c r="B52" s="125"/>
      <c r="C52" s="125"/>
      <c r="D52" s="125"/>
      <c r="E52" s="125"/>
      <c r="F52" s="125"/>
      <c r="G52" s="137"/>
      <c r="H52" s="140" t="s">
        <v>914</v>
      </c>
      <c r="I52" s="3">
        <v>350</v>
      </c>
      <c r="J52" s="162">
        <f>J50+J51</f>
        <v>1185.92</v>
      </c>
      <c r="K52" s="137"/>
    </row>
    <row r="53" spans="1:11" ht="18">
      <c r="A53" s="426"/>
      <c r="B53" s="125"/>
      <c r="C53" s="125"/>
      <c r="D53" s="125"/>
      <c r="E53" s="125"/>
      <c r="F53" s="125"/>
      <c r="G53" s="137"/>
      <c r="H53" s="137"/>
      <c r="I53" s="137"/>
      <c r="J53" s="140" t="s">
        <v>915</v>
      </c>
      <c r="K53" s="160"/>
    </row>
    <row r="54" spans="1:11" ht="18">
      <c r="A54" s="426"/>
      <c r="B54" s="125"/>
      <c r="C54" s="125"/>
      <c r="D54" s="125"/>
      <c r="E54" s="125"/>
      <c r="F54" s="125"/>
      <c r="G54" s="137"/>
      <c r="H54" s="137"/>
      <c r="I54" s="137"/>
      <c r="J54" s="137"/>
      <c r="K54" s="177" t="s">
        <v>1004</v>
      </c>
    </row>
    <row r="55" spans="1:11" ht="15.75">
      <c r="A55" s="426"/>
      <c r="B55" s="125"/>
      <c r="C55" s="125"/>
      <c r="D55" s="125"/>
      <c r="E55" s="125"/>
      <c r="F55" s="125"/>
      <c r="G55" s="149"/>
      <c r="H55" s="125"/>
      <c r="I55" s="149"/>
      <c r="J55" s="177"/>
      <c r="K55" s="149"/>
    </row>
    <row r="56" spans="1:11" ht="15.75">
      <c r="A56" s="426"/>
      <c r="B56" s="125"/>
      <c r="C56" s="125"/>
      <c r="D56" s="125"/>
      <c r="E56" s="125"/>
      <c r="F56" s="125"/>
      <c r="G56" s="149"/>
      <c r="H56" s="125"/>
      <c r="I56" s="149"/>
      <c r="J56" s="125"/>
      <c r="K56" s="149"/>
    </row>
    <row r="57" spans="1:11" ht="15.75">
      <c r="A57" s="426"/>
      <c r="B57" s="125"/>
      <c r="C57" s="125"/>
      <c r="D57" s="125"/>
      <c r="E57" s="125"/>
      <c r="F57" s="125"/>
      <c r="G57" s="149"/>
      <c r="H57" s="125"/>
      <c r="I57" s="149"/>
      <c r="J57" s="125"/>
      <c r="K57" s="149"/>
    </row>
    <row r="58" spans="1:11" ht="15.75">
      <c r="A58" s="426"/>
      <c r="B58" s="122" t="s">
        <v>1793</v>
      </c>
      <c r="C58" s="122"/>
      <c r="D58" s="122"/>
      <c r="E58" s="122"/>
      <c r="F58" s="122"/>
      <c r="G58" s="150"/>
      <c r="H58" s="122"/>
      <c r="I58" s="149"/>
      <c r="J58" s="163">
        <f>MAXA(D18,F18,H18,J18)</f>
        <v>0</v>
      </c>
      <c r="K58" s="160">
        <v>9</v>
      </c>
    </row>
    <row r="59" spans="1:11" ht="15.75">
      <c r="A59" s="426"/>
      <c r="B59" s="123" t="s">
        <v>1794</v>
      </c>
      <c r="C59" s="133"/>
      <c r="D59" s="122"/>
      <c r="E59" s="122"/>
      <c r="F59" s="122"/>
      <c r="G59" s="150"/>
      <c r="H59" s="122"/>
      <c r="I59" s="3">
        <v>424</v>
      </c>
      <c r="J59" s="147"/>
      <c r="K59" s="160">
        <v>10</v>
      </c>
    </row>
    <row r="60" spans="1:11" ht="15.75">
      <c r="A60" s="426"/>
      <c r="B60" s="123"/>
      <c r="C60" s="123"/>
      <c r="D60" s="123"/>
      <c r="E60" s="123"/>
      <c r="F60" s="123"/>
      <c r="G60" s="149"/>
      <c r="H60" s="126" t="s">
        <v>1795</v>
      </c>
      <c r="I60" s="149"/>
      <c r="J60" s="162">
        <f>J58+J59</f>
        <v>0</v>
      </c>
      <c r="K60" s="160">
        <v>11</v>
      </c>
    </row>
    <row r="61" spans="1:11" ht="24" customHeight="1">
      <c r="A61" s="426"/>
      <c r="B61" s="123" t="s">
        <v>1006</v>
      </c>
      <c r="C61" s="123"/>
      <c r="D61" s="123"/>
      <c r="E61" s="123"/>
      <c r="F61" s="123"/>
      <c r="G61" s="169" t="s">
        <v>1007</v>
      </c>
      <c r="H61" s="163">
        <f>J52</f>
        <v>1185.92</v>
      </c>
      <c r="I61" s="160"/>
      <c r="J61" s="125"/>
      <c r="K61" s="149"/>
    </row>
    <row r="62" spans="1:11" ht="27.75" customHeight="1">
      <c r="A62" s="426"/>
      <c r="B62" s="123" t="s">
        <v>1988</v>
      </c>
      <c r="C62" s="123"/>
      <c r="D62" s="123"/>
      <c r="E62" s="123"/>
      <c r="F62" s="123"/>
      <c r="G62" s="3">
        <v>425</v>
      </c>
      <c r="H62" s="162">
        <f>0.133333*'T1 GEN-2-3-4'!I21</f>
        <v>0</v>
      </c>
      <c r="I62" s="160"/>
      <c r="J62" s="125"/>
      <c r="K62" s="149"/>
    </row>
    <row r="63" spans="1:11" ht="15.75" customHeight="1">
      <c r="A63" s="426"/>
      <c r="B63" s="123" t="s">
        <v>1008</v>
      </c>
      <c r="C63" s="123"/>
      <c r="D63" s="123"/>
      <c r="E63" s="123"/>
      <c r="F63" s="123"/>
      <c r="G63" s="310" t="s">
        <v>1009</v>
      </c>
      <c r="H63" s="147"/>
      <c r="I63" s="160"/>
      <c r="J63" s="125"/>
      <c r="K63" s="149"/>
    </row>
    <row r="64" spans="1:11" ht="15.75" customHeight="1">
      <c r="A64" s="426"/>
      <c r="B64" s="123" t="s">
        <v>1010</v>
      </c>
      <c r="C64" s="123"/>
      <c r="D64" s="123"/>
      <c r="E64" s="123"/>
      <c r="F64" s="123"/>
      <c r="G64" s="3">
        <v>427</v>
      </c>
      <c r="H64" s="147"/>
      <c r="I64" s="160"/>
      <c r="J64" s="125"/>
      <c r="K64" s="149"/>
    </row>
    <row r="65" spans="1:11" ht="15.75">
      <c r="A65" s="426"/>
      <c r="B65" s="123"/>
      <c r="C65" s="123"/>
      <c r="D65" s="123"/>
      <c r="E65" s="123"/>
      <c r="F65" s="141" t="s">
        <v>1011</v>
      </c>
      <c r="G65" s="149"/>
      <c r="H65" s="162">
        <f>SUM(H61:H64)</f>
        <v>1185.92</v>
      </c>
      <c r="I65" s="149"/>
      <c r="J65" s="163">
        <f>H65</f>
        <v>1185.92</v>
      </c>
      <c r="K65" s="160">
        <v>12</v>
      </c>
    </row>
    <row r="66" spans="1:11" ht="22.5" customHeight="1">
      <c r="A66" s="426"/>
      <c r="B66" s="123"/>
      <c r="C66" s="123"/>
      <c r="D66" s="148"/>
      <c r="E66" s="123"/>
      <c r="F66" s="123"/>
      <c r="G66" s="150"/>
      <c r="H66" s="281" t="s">
        <v>1012</v>
      </c>
      <c r="I66" s="160">
        <v>429</v>
      </c>
      <c r="J66" s="162">
        <f>MAXA(+J60-J65,0)</f>
        <v>0</v>
      </c>
      <c r="K66" s="160">
        <v>13</v>
      </c>
    </row>
    <row r="67" spans="1:11" ht="33.75" customHeight="1">
      <c r="A67" s="426"/>
      <c r="B67" s="130" t="s">
        <v>1013</v>
      </c>
      <c r="C67" s="130"/>
      <c r="D67" s="130"/>
      <c r="E67" s="130"/>
      <c r="F67" s="130"/>
      <c r="G67" s="153"/>
      <c r="H67" s="186"/>
      <c r="I67" s="153"/>
      <c r="J67" s="125"/>
      <c r="K67" s="149"/>
    </row>
    <row r="68" spans="1:11" ht="15.75">
      <c r="A68" s="426"/>
      <c r="B68" s="122"/>
      <c r="C68" s="122" t="s">
        <v>1014</v>
      </c>
      <c r="D68" s="143"/>
      <c r="E68" s="122"/>
      <c r="F68" s="122"/>
      <c r="G68" s="150"/>
      <c r="H68" s="281"/>
      <c r="I68" s="149"/>
      <c r="J68" s="166">
        <f>J95</f>
        <v>0</v>
      </c>
      <c r="K68" s="160">
        <v>14</v>
      </c>
    </row>
    <row r="69" spans="1:11" ht="26.25" customHeight="1">
      <c r="A69" s="426"/>
      <c r="B69" s="122"/>
      <c r="C69" s="122"/>
      <c r="D69" s="143"/>
      <c r="E69" s="122"/>
      <c r="F69" s="122"/>
      <c r="G69" s="150"/>
      <c r="H69" s="281" t="s">
        <v>1016</v>
      </c>
      <c r="I69" s="169" t="s">
        <v>1015</v>
      </c>
      <c r="J69" s="167">
        <f>MAXA(0,(J66-J68))</f>
        <v>0</v>
      </c>
      <c r="K69" s="160">
        <v>15</v>
      </c>
    </row>
    <row r="70" spans="1:11" ht="15.75">
      <c r="A70" s="426"/>
      <c r="B70" s="130"/>
      <c r="C70" s="130"/>
      <c r="D70" s="156"/>
      <c r="E70" s="130"/>
      <c r="F70" s="130"/>
      <c r="G70" s="149"/>
      <c r="H70" s="125"/>
      <c r="I70" s="149"/>
      <c r="J70" s="125"/>
      <c r="K70" s="160"/>
    </row>
    <row r="71" spans="1:11" ht="15.75">
      <c r="A71" s="426"/>
      <c r="B71" s="186" t="s">
        <v>1233</v>
      </c>
      <c r="C71" s="186"/>
      <c r="D71" s="155"/>
      <c r="E71" s="186"/>
      <c r="F71" s="186"/>
      <c r="G71" s="149"/>
      <c r="H71" s="125"/>
      <c r="I71" s="149"/>
      <c r="J71" s="125"/>
      <c r="K71" s="160"/>
    </row>
    <row r="72" spans="1:11" ht="15.75">
      <c r="A72" s="426"/>
      <c r="B72" s="122" t="s">
        <v>1234</v>
      </c>
      <c r="C72" s="122"/>
      <c r="D72" s="143"/>
      <c r="E72" s="3">
        <v>409</v>
      </c>
      <c r="F72" s="163">
        <f>'FED WRK'!P86</f>
        <v>0</v>
      </c>
      <c r="G72" s="149"/>
      <c r="H72" s="125"/>
      <c r="I72" s="149"/>
      <c r="J72" s="125"/>
      <c r="K72" s="160"/>
    </row>
    <row r="73" spans="1:11" ht="15.75">
      <c r="A73" s="426"/>
      <c r="B73" s="122" t="s">
        <v>1235</v>
      </c>
      <c r="C73" s="122"/>
      <c r="D73" s="143"/>
      <c r="E73" s="122"/>
      <c r="F73" s="122"/>
      <c r="G73" s="3">
        <v>410</v>
      </c>
      <c r="H73" s="163">
        <f>'FED WRK'!P88</f>
        <v>0</v>
      </c>
      <c r="I73" s="149"/>
      <c r="J73" s="125"/>
      <c r="K73" s="160"/>
    </row>
    <row r="74" spans="1:11" ht="15.75">
      <c r="A74" s="426"/>
      <c r="B74" s="122" t="s">
        <v>1236</v>
      </c>
      <c r="C74" s="122"/>
      <c r="D74" s="143"/>
      <c r="E74" s="122"/>
      <c r="F74" s="122"/>
      <c r="G74" s="3">
        <v>412</v>
      </c>
      <c r="H74" s="147"/>
      <c r="I74" s="149"/>
      <c r="J74" s="125"/>
      <c r="K74" s="160"/>
    </row>
    <row r="75" spans="1:11" ht="15.75">
      <c r="A75" s="426"/>
      <c r="B75" s="130" t="s">
        <v>574</v>
      </c>
      <c r="C75" s="130"/>
      <c r="D75" s="156"/>
      <c r="E75" s="130"/>
      <c r="F75" s="130"/>
      <c r="G75" s="149"/>
      <c r="H75" s="125"/>
      <c r="I75" s="149"/>
      <c r="J75" s="125"/>
      <c r="K75" s="160"/>
    </row>
    <row r="76" spans="1:11" ht="15.75">
      <c r="A76" s="426"/>
      <c r="B76" s="143" t="s">
        <v>575</v>
      </c>
      <c r="C76" s="3">
        <v>413</v>
      </c>
      <c r="D76" s="158"/>
      <c r="E76" s="122"/>
      <c r="F76" s="143" t="s">
        <v>377</v>
      </c>
      <c r="G76" s="3">
        <v>414</v>
      </c>
      <c r="H76" s="158"/>
      <c r="I76" s="149"/>
      <c r="J76" s="125"/>
      <c r="K76" s="149"/>
    </row>
    <row r="77" spans="1:11" ht="15.75">
      <c r="A77" s="426"/>
      <c r="B77" s="143"/>
      <c r="C77" s="122"/>
      <c r="D77" s="143"/>
      <c r="E77" s="122"/>
      <c r="F77" s="143" t="s">
        <v>577</v>
      </c>
      <c r="G77" s="169" t="s">
        <v>576</v>
      </c>
      <c r="H77" s="162">
        <f>SUM(H73:H76)</f>
        <v>0</v>
      </c>
      <c r="I77" s="169"/>
      <c r="J77" s="163">
        <f>H77</f>
        <v>0</v>
      </c>
      <c r="K77" s="169" t="s">
        <v>513</v>
      </c>
    </row>
    <row r="78" spans="1:11" ht="15.75">
      <c r="A78" s="426"/>
      <c r="B78" s="155"/>
      <c r="C78" s="186"/>
      <c r="D78" s="155"/>
      <c r="E78" s="186"/>
      <c r="F78" s="155"/>
      <c r="G78" s="153"/>
      <c r="H78" s="155" t="s">
        <v>2</v>
      </c>
      <c r="I78" s="149"/>
      <c r="J78" s="125"/>
      <c r="K78" s="149"/>
    </row>
    <row r="79" spans="1:11" ht="15.75">
      <c r="A79" s="426"/>
      <c r="B79" s="143"/>
      <c r="C79" s="122"/>
      <c r="D79" s="143"/>
      <c r="E79" s="122"/>
      <c r="F79" s="143"/>
      <c r="G79" s="150"/>
      <c r="H79" s="143" t="s">
        <v>578</v>
      </c>
      <c r="I79" s="169" t="s">
        <v>579</v>
      </c>
      <c r="J79" s="163">
        <f>MAXA(0,(J69-J77))</f>
        <v>0</v>
      </c>
      <c r="K79" s="169" t="s">
        <v>515</v>
      </c>
    </row>
    <row r="80" spans="1:11" ht="15.75">
      <c r="A80" s="426"/>
      <c r="B80" s="290" t="s">
        <v>583</v>
      </c>
      <c r="C80" s="122"/>
      <c r="D80" s="143"/>
      <c r="E80" s="122"/>
      <c r="F80" s="143"/>
      <c r="G80" s="150"/>
      <c r="H80" s="281"/>
      <c r="I80" s="169" t="s">
        <v>580</v>
      </c>
      <c r="J80" s="147"/>
      <c r="K80" s="169" t="s">
        <v>516</v>
      </c>
    </row>
    <row r="81" spans="1:11" ht="15.75">
      <c r="A81" s="426"/>
      <c r="B81" s="156"/>
      <c r="C81" s="130"/>
      <c r="D81" s="156"/>
      <c r="E81" s="130"/>
      <c r="F81" s="307" t="s">
        <v>585</v>
      </c>
      <c r="G81" s="149"/>
      <c r="H81" s="125"/>
      <c r="I81" s="149"/>
      <c r="J81" s="125"/>
      <c r="K81" s="149"/>
    </row>
    <row r="82" spans="1:11" ht="15.75">
      <c r="A82" s="426"/>
      <c r="B82" s="155"/>
      <c r="C82" s="186"/>
      <c r="D82" s="155"/>
      <c r="E82" s="186"/>
      <c r="F82" s="155"/>
      <c r="G82" s="149"/>
      <c r="H82" s="126" t="s">
        <v>584</v>
      </c>
      <c r="I82" s="169" t="s">
        <v>582</v>
      </c>
      <c r="J82" s="166">
        <f>J79+J80</f>
        <v>0</v>
      </c>
      <c r="K82" s="169" t="s">
        <v>581</v>
      </c>
    </row>
    <row r="83" spans="1:11" ht="15.75">
      <c r="A83" s="426"/>
      <c r="B83" s="155"/>
      <c r="C83" s="186"/>
      <c r="D83" s="155"/>
      <c r="E83" s="186"/>
      <c r="F83" s="155"/>
      <c r="G83" s="149"/>
      <c r="H83" s="126"/>
      <c r="I83" s="169"/>
      <c r="J83" s="125"/>
      <c r="K83" s="169"/>
    </row>
    <row r="84" spans="1:11" ht="15.75">
      <c r="A84" s="426"/>
      <c r="B84" s="155"/>
      <c r="C84" s="186"/>
      <c r="D84" s="155"/>
      <c r="E84" s="186"/>
      <c r="F84" s="155"/>
      <c r="G84" s="149"/>
      <c r="H84" s="126"/>
      <c r="I84" s="169"/>
      <c r="J84" s="125"/>
      <c r="K84" s="169"/>
    </row>
    <row r="85" spans="1:11" ht="15.75">
      <c r="A85" s="426"/>
      <c r="B85" s="155"/>
      <c r="C85" s="186"/>
      <c r="D85" s="155"/>
      <c r="E85" s="186"/>
      <c r="F85" s="155"/>
      <c r="G85" s="149"/>
      <c r="H85" s="126"/>
      <c r="I85" s="169"/>
      <c r="J85" s="125"/>
      <c r="K85" s="169"/>
    </row>
    <row r="86" spans="1:11" ht="15.75">
      <c r="A86" s="426"/>
      <c r="B86" s="155"/>
      <c r="C86" s="186"/>
      <c r="D86" s="155"/>
      <c r="E86" s="186"/>
      <c r="F86" s="155"/>
      <c r="G86" s="149"/>
      <c r="H86" s="126"/>
      <c r="I86" s="169"/>
      <c r="J86" s="125"/>
      <c r="K86" s="169"/>
    </row>
    <row r="87" spans="1:11" ht="15.75">
      <c r="A87" s="427"/>
      <c r="B87" s="291" t="s">
        <v>2074</v>
      </c>
      <c r="C87" s="130"/>
      <c r="D87" s="156"/>
      <c r="E87" s="130"/>
      <c r="F87" s="156"/>
      <c r="G87" s="151"/>
      <c r="H87" s="156"/>
      <c r="I87" s="312"/>
      <c r="J87" s="130"/>
      <c r="K87" s="315"/>
    </row>
    <row r="88" spans="1:11" ht="15.75">
      <c r="A88" s="427"/>
      <c r="B88" s="292"/>
      <c r="C88" s="186"/>
      <c r="D88" s="155"/>
      <c r="E88" s="186"/>
      <c r="F88" s="155"/>
      <c r="G88" s="153"/>
      <c r="H88" s="155"/>
      <c r="I88" s="313"/>
      <c r="J88" s="186"/>
      <c r="K88" s="316"/>
    </row>
    <row r="89" spans="1:11" ht="15.75">
      <c r="A89" s="427"/>
      <c r="B89" s="293" t="s">
        <v>2073</v>
      </c>
      <c r="C89" s="186"/>
      <c r="D89" s="155"/>
      <c r="E89" s="186"/>
      <c r="F89" s="155"/>
      <c r="G89" s="153"/>
      <c r="H89" s="155"/>
      <c r="I89" s="313"/>
      <c r="J89" s="186"/>
      <c r="K89" s="316"/>
    </row>
    <row r="90" spans="1:11" ht="15.75">
      <c r="A90" s="427"/>
      <c r="B90" s="294"/>
      <c r="C90" s="186"/>
      <c r="D90" s="155"/>
      <c r="E90" s="186"/>
      <c r="F90" s="155"/>
      <c r="G90" s="153"/>
      <c r="H90" s="186"/>
      <c r="I90" s="153"/>
      <c r="J90" s="186"/>
      <c r="K90" s="317"/>
    </row>
    <row r="91" spans="1:11" ht="15.75">
      <c r="A91" s="427"/>
      <c r="B91" s="190" t="s">
        <v>1989</v>
      </c>
      <c r="C91" s="122"/>
      <c r="D91" s="122"/>
      <c r="E91" s="122"/>
      <c r="F91" s="122"/>
      <c r="G91" s="150"/>
      <c r="H91" s="150"/>
      <c r="I91" s="91">
        <v>431</v>
      </c>
      <c r="J91" s="699">
        <f>MISC!L55</f>
        <v>0</v>
      </c>
      <c r="K91" s="317" t="s">
        <v>586</v>
      </c>
    </row>
    <row r="92" spans="1:11" ht="15.75">
      <c r="A92" s="427"/>
      <c r="B92" s="231"/>
      <c r="C92" s="130"/>
      <c r="D92" s="130"/>
      <c r="E92" s="130"/>
      <c r="F92" s="130"/>
      <c r="G92" s="151"/>
      <c r="H92" s="130"/>
      <c r="I92" s="153"/>
      <c r="J92" s="186"/>
      <c r="K92" s="317"/>
    </row>
    <row r="93" spans="1:11" ht="15.75">
      <c r="A93" s="427"/>
      <c r="B93" s="295" t="s">
        <v>2082</v>
      </c>
      <c r="C93" s="91">
        <v>433</v>
      </c>
      <c r="D93" s="598">
        <f>MISC!L56</f>
        <v>0</v>
      </c>
      <c r="E93" s="304" t="s">
        <v>53</v>
      </c>
      <c r="F93" s="159" t="s">
        <v>2077</v>
      </c>
      <c r="G93" s="188"/>
      <c r="H93" s="598">
        <f>J66+H62+H63-'T1 GEN-2-3-4'!I116</f>
        <v>0</v>
      </c>
      <c r="I93" s="314"/>
      <c r="J93" s="598">
        <f>IF(D93="",0,IF(D94&lt;D93,H93,+H93*(D93/D94)))</f>
        <v>0</v>
      </c>
      <c r="K93" s="317" t="s">
        <v>2076</v>
      </c>
    </row>
    <row r="94" spans="1:11" ht="15.75">
      <c r="A94" s="427"/>
      <c r="B94" s="296" t="s">
        <v>2075</v>
      </c>
      <c r="C94" s="130"/>
      <c r="D94" s="147"/>
      <c r="E94" s="130"/>
      <c r="F94" s="130"/>
      <c r="G94" s="153"/>
      <c r="H94" s="186"/>
      <c r="I94" s="153"/>
      <c r="J94" s="186"/>
      <c r="K94" s="317"/>
    </row>
    <row r="95" spans="1:11" ht="15.75">
      <c r="A95" s="427"/>
      <c r="B95" s="185"/>
      <c r="C95" s="186"/>
      <c r="D95" s="186"/>
      <c r="E95" s="186"/>
      <c r="F95" s="472"/>
      <c r="G95" s="473"/>
      <c r="H95" s="472"/>
      <c r="I95" s="474" t="s">
        <v>1</v>
      </c>
      <c r="J95" s="158"/>
      <c r="K95" s="317"/>
    </row>
    <row r="96" spans="1:11" ht="15.75">
      <c r="A96" s="427"/>
      <c r="B96" s="297" t="s">
        <v>1096</v>
      </c>
      <c r="C96" s="186"/>
      <c r="D96" s="186"/>
      <c r="E96" s="186"/>
      <c r="F96" s="186"/>
      <c r="G96" s="153"/>
      <c r="H96" s="186"/>
      <c r="I96" s="153"/>
      <c r="J96" s="186"/>
      <c r="K96" s="317"/>
    </row>
    <row r="97" spans="1:11" ht="15.75">
      <c r="A97" s="427"/>
      <c r="B97" s="297" t="s">
        <v>1755</v>
      </c>
      <c r="C97" s="186"/>
      <c r="D97" s="186"/>
      <c r="E97" s="186"/>
      <c r="F97" s="186"/>
      <c r="G97" s="153"/>
      <c r="H97" s="186"/>
      <c r="I97" s="153"/>
      <c r="J97" s="186"/>
      <c r="K97" s="317"/>
    </row>
    <row r="98" spans="1:11" ht="15.75">
      <c r="A98" s="427"/>
      <c r="B98" s="297" t="s">
        <v>1756</v>
      </c>
      <c r="C98" s="186"/>
      <c r="D98" s="186"/>
      <c r="E98" s="186"/>
      <c r="F98" s="186"/>
      <c r="G98" s="153"/>
      <c r="H98" s="186"/>
      <c r="I98" s="153"/>
      <c r="J98" s="186"/>
      <c r="K98" s="317"/>
    </row>
    <row r="99" spans="1:11" ht="15.75">
      <c r="A99" s="427"/>
      <c r="B99" s="297" t="s">
        <v>1757</v>
      </c>
      <c r="C99" s="186"/>
      <c r="D99" s="186"/>
      <c r="E99" s="186"/>
      <c r="F99" s="186"/>
      <c r="G99" s="153"/>
      <c r="H99" s="186"/>
      <c r="I99" s="153"/>
      <c r="J99" s="186"/>
      <c r="K99" s="317"/>
    </row>
    <row r="100" spans="1:11" ht="15.75">
      <c r="A100" s="427"/>
      <c r="B100" s="297" t="s">
        <v>735</v>
      </c>
      <c r="C100" s="186"/>
      <c r="D100" s="186"/>
      <c r="E100" s="186"/>
      <c r="F100" s="186"/>
      <c r="G100" s="153"/>
      <c r="H100" s="186"/>
      <c r="I100" s="153"/>
      <c r="J100" s="186"/>
      <c r="K100" s="317"/>
    </row>
    <row r="101" spans="1:11" ht="15.75">
      <c r="A101" s="427"/>
      <c r="B101" s="297" t="s">
        <v>2080</v>
      </c>
      <c r="C101" s="186"/>
      <c r="D101" s="186"/>
      <c r="E101" s="186"/>
      <c r="F101" s="186"/>
      <c r="G101" s="153"/>
      <c r="H101" s="186"/>
      <c r="I101" s="153"/>
      <c r="J101" s="186"/>
      <c r="K101" s="317"/>
    </row>
    <row r="102" spans="1:11" ht="15.75">
      <c r="A102" s="427"/>
      <c r="B102" s="297" t="s">
        <v>736</v>
      </c>
      <c r="C102" s="186"/>
      <c r="D102" s="186"/>
      <c r="E102" s="186"/>
      <c r="F102" s="186"/>
      <c r="G102" s="153"/>
      <c r="H102" s="186"/>
      <c r="I102" s="153"/>
      <c r="J102" s="186"/>
      <c r="K102" s="317"/>
    </row>
    <row r="103" spans="1:11" ht="15.75">
      <c r="A103" s="427"/>
      <c r="B103" s="297" t="s">
        <v>2081</v>
      </c>
      <c r="C103" s="186"/>
      <c r="D103" s="186"/>
      <c r="E103" s="186"/>
      <c r="F103" s="186"/>
      <c r="G103" s="153"/>
      <c r="H103" s="186"/>
      <c r="I103" s="153"/>
      <c r="J103" s="186"/>
      <c r="K103" s="317"/>
    </row>
    <row r="104" spans="1:11" ht="15.75">
      <c r="A104" s="427"/>
      <c r="B104" s="190"/>
      <c r="C104" s="122"/>
      <c r="D104" s="122"/>
      <c r="E104" s="122"/>
      <c r="F104" s="122"/>
      <c r="G104" s="150"/>
      <c r="H104" s="122"/>
      <c r="I104" s="150"/>
      <c r="J104" s="122"/>
      <c r="K104" s="318"/>
    </row>
    <row r="105" spans="1:11" ht="15.75">
      <c r="A105" s="426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 t="s">
        <v>1213</v>
      </c>
    </row>
    <row r="106" spans="1:11" ht="15.75">
      <c r="A106" s="426"/>
      <c r="B106" s="125" t="s">
        <v>1986</v>
      </c>
      <c r="C106" s="149"/>
      <c r="D106" s="149"/>
      <c r="E106" s="149"/>
      <c r="F106" s="149"/>
      <c r="G106" s="149"/>
      <c r="H106" s="149"/>
      <c r="I106" s="149"/>
      <c r="J106" s="177"/>
      <c r="K106" s="149"/>
    </row>
    <row r="107" spans="1:11" ht="15.75">
      <c r="A107" s="426"/>
      <c r="B107" s="149"/>
      <c r="C107" s="149"/>
      <c r="D107" s="149"/>
      <c r="E107" s="149"/>
      <c r="F107" s="149"/>
      <c r="G107" s="149"/>
      <c r="H107" s="149"/>
      <c r="I107" s="149"/>
      <c r="J107" s="149" t="s">
        <v>1364</v>
      </c>
      <c r="K107" s="149"/>
    </row>
    <row r="108" spans="1:11" ht="15.75">
      <c r="A108" s="426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</row>
  </sheetData>
  <sheetProtection password="EC35" sheet="1" objects="1" scenarios="1"/>
  <printOptions horizontalCentered="1"/>
  <pageMargins left="0" right="0" top="0" bottom="0" header="0.511811023622047" footer="0.511811023622047"/>
  <pageSetup fitToHeight="2" horizontalDpi="600" verticalDpi="600" orientation="portrait" scale="70" r:id="rId4"/>
  <rowBreaks count="1" manualBreakCount="1">
    <brk id="54" min="1" max="10" man="1"/>
  </rowBreaks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K33"/>
  <sheetViews>
    <sheetView showGridLines="0" showRowColHeaders="0" zoomScale="75" zoomScaleNormal="75" workbookViewId="0" topLeftCell="A1">
      <selection activeCell="B1" sqref="B1"/>
    </sheetView>
  </sheetViews>
  <sheetFormatPr defaultColWidth="9.77734375" defaultRowHeight="15"/>
  <cols>
    <col min="1" max="1" width="44.21484375" style="0" customWidth="1"/>
    <col min="2" max="2" width="5.77734375" style="0" customWidth="1"/>
    <col min="3" max="3" width="6.77734375" style="0" customWidth="1"/>
    <col min="4" max="4" width="5.77734375" style="0" customWidth="1"/>
    <col min="5" max="5" width="7.77734375" style="0" customWidth="1"/>
    <col min="6" max="6" width="5.77734375" style="0" customWidth="1"/>
    <col min="7" max="7" width="13.77734375" style="0" customWidth="1"/>
    <col min="8" max="8" width="5.77734375" style="0" customWidth="1"/>
    <col min="9" max="9" width="13.77734375" style="0" customWidth="1"/>
    <col min="10" max="10" width="5.77734375" style="0" customWidth="1"/>
  </cols>
  <sheetData>
    <row r="1" spans="1:11" ht="18">
      <c r="A1" s="137" t="s">
        <v>390</v>
      </c>
      <c r="B1" s="137" t="s">
        <v>458</v>
      </c>
      <c r="C1" s="125"/>
      <c r="D1" s="176"/>
      <c r="E1" s="176"/>
      <c r="F1" s="176"/>
      <c r="G1" s="176"/>
      <c r="H1" s="176"/>
      <c r="I1" s="125"/>
      <c r="J1" s="168" t="s">
        <v>459</v>
      </c>
      <c r="K1" s="321"/>
    </row>
    <row r="2" spans="1:11" ht="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321"/>
    </row>
    <row r="3" spans="1:11" ht="1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321"/>
    </row>
    <row r="4" spans="1:11" ht="15">
      <c r="A4" s="125" t="s">
        <v>1537</v>
      </c>
      <c r="B4" s="125"/>
      <c r="C4" s="125"/>
      <c r="D4" s="125"/>
      <c r="E4" s="125"/>
      <c r="F4" s="125"/>
      <c r="G4" s="125"/>
      <c r="H4" s="125"/>
      <c r="I4" s="125"/>
      <c r="J4" s="125"/>
      <c r="K4" s="321"/>
    </row>
    <row r="5" spans="1:11" ht="15">
      <c r="A5" s="125" t="s">
        <v>1602</v>
      </c>
      <c r="B5" s="125"/>
      <c r="C5" s="125"/>
      <c r="D5" s="125"/>
      <c r="E5" s="125"/>
      <c r="F5" s="125"/>
      <c r="G5" s="125"/>
      <c r="H5" s="125"/>
      <c r="I5" s="125"/>
      <c r="J5" s="125"/>
      <c r="K5" s="321"/>
    </row>
    <row r="6" spans="1:11" ht="20.25" customHeight="1">
      <c r="A6" s="125" t="s">
        <v>1603</v>
      </c>
      <c r="B6" s="125"/>
      <c r="C6" s="125"/>
      <c r="D6" s="125"/>
      <c r="E6" s="125"/>
      <c r="F6" s="125"/>
      <c r="G6" s="125"/>
      <c r="H6" s="125"/>
      <c r="I6" s="125"/>
      <c r="J6" s="125"/>
      <c r="K6" s="321"/>
    </row>
    <row r="7" spans="1:11" ht="15.75">
      <c r="A7" s="125" t="s">
        <v>1851</v>
      </c>
      <c r="B7" s="125"/>
      <c r="C7" s="125"/>
      <c r="D7" s="125"/>
      <c r="E7" s="125"/>
      <c r="F7" s="125"/>
      <c r="G7" s="125"/>
      <c r="H7" s="125"/>
      <c r="I7" s="125"/>
      <c r="J7" s="125"/>
      <c r="K7" s="321"/>
    </row>
    <row r="8" spans="1:11" ht="1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321"/>
    </row>
    <row r="9" spans="1:11" ht="15">
      <c r="A9" s="125" t="s">
        <v>16</v>
      </c>
      <c r="B9" s="125"/>
      <c r="C9" s="125"/>
      <c r="D9" s="125"/>
      <c r="E9" s="125"/>
      <c r="F9" s="125"/>
      <c r="G9" s="125"/>
      <c r="H9" s="125"/>
      <c r="I9" s="125"/>
      <c r="J9" s="125"/>
      <c r="K9" s="321"/>
    </row>
    <row r="10" spans="1:11" ht="15">
      <c r="A10" s="186"/>
      <c r="B10" s="186"/>
      <c r="C10" s="186"/>
      <c r="D10" s="186"/>
      <c r="E10" s="186"/>
      <c r="F10" s="186"/>
      <c r="G10" s="125"/>
      <c r="H10" s="125"/>
      <c r="I10" s="125"/>
      <c r="J10" s="125"/>
      <c r="K10" s="321"/>
    </row>
    <row r="11" spans="1:11" ht="15.75" customHeight="1">
      <c r="A11" s="186" t="s">
        <v>461</v>
      </c>
      <c r="B11" s="186"/>
      <c r="C11" s="186"/>
      <c r="D11" s="186"/>
      <c r="E11" s="194"/>
      <c r="F11" s="194"/>
      <c r="G11" s="157"/>
      <c r="H11" s="125"/>
      <c r="I11" s="125"/>
      <c r="J11" s="125"/>
      <c r="K11" s="321"/>
    </row>
    <row r="12" spans="1:11" ht="15.75">
      <c r="A12" s="122" t="s">
        <v>17</v>
      </c>
      <c r="B12" s="122"/>
      <c r="C12" s="122"/>
      <c r="D12" s="122"/>
      <c r="E12" s="122"/>
      <c r="F12" s="122"/>
      <c r="G12" s="164" t="s">
        <v>836</v>
      </c>
      <c r="H12" s="3">
        <v>353</v>
      </c>
      <c r="I12" s="158"/>
      <c r="J12" s="320">
        <v>1</v>
      </c>
      <c r="K12" s="321"/>
    </row>
    <row r="13" spans="1:11" ht="15.75">
      <c r="A13" s="130" t="s">
        <v>238</v>
      </c>
      <c r="B13" s="130"/>
      <c r="C13" s="130"/>
      <c r="D13" s="130"/>
      <c r="E13" s="130"/>
      <c r="F13" s="130"/>
      <c r="G13" s="125"/>
      <c r="H13" s="125"/>
      <c r="I13" s="125"/>
      <c r="J13" s="149"/>
      <c r="K13" s="321"/>
    </row>
    <row r="14" spans="1:11" ht="15.75">
      <c r="A14" s="122" t="s">
        <v>18</v>
      </c>
      <c r="B14" s="122"/>
      <c r="C14" s="122"/>
      <c r="D14" s="122"/>
      <c r="E14" s="122"/>
      <c r="F14" s="122"/>
      <c r="G14" s="164" t="s">
        <v>19</v>
      </c>
      <c r="H14" s="3">
        <v>355</v>
      </c>
      <c r="I14" s="158"/>
      <c r="J14" s="320">
        <v>2</v>
      </c>
      <c r="K14" s="321"/>
    </row>
    <row r="15" spans="1:11" ht="15.75">
      <c r="A15" s="130" t="s">
        <v>239</v>
      </c>
      <c r="B15" s="130"/>
      <c r="C15" s="130"/>
      <c r="D15" s="130"/>
      <c r="E15" s="130"/>
      <c r="F15" s="130"/>
      <c r="G15" s="157"/>
      <c r="H15" s="125"/>
      <c r="I15" s="125"/>
      <c r="J15" s="179"/>
      <c r="K15" s="321"/>
    </row>
    <row r="16" spans="1:11" ht="15.75">
      <c r="A16" s="122" t="s">
        <v>20</v>
      </c>
      <c r="B16" s="122"/>
      <c r="C16" s="122"/>
      <c r="D16" s="122"/>
      <c r="E16" s="122"/>
      <c r="F16" s="122"/>
      <c r="G16" s="122"/>
      <c r="H16" s="3">
        <v>357</v>
      </c>
      <c r="I16" s="158"/>
      <c r="J16" s="320">
        <v>3</v>
      </c>
      <c r="K16" s="321"/>
    </row>
    <row r="17" spans="1:11" ht="15.75">
      <c r="A17" s="130" t="s">
        <v>65</v>
      </c>
      <c r="B17" s="130"/>
      <c r="C17" s="130"/>
      <c r="D17" s="130"/>
      <c r="E17" s="130"/>
      <c r="F17" s="130"/>
      <c r="G17" s="125"/>
      <c r="H17" s="125"/>
      <c r="I17" s="125"/>
      <c r="J17" s="179"/>
      <c r="K17" s="321"/>
    </row>
    <row r="18" spans="1:11" ht="15.75">
      <c r="A18" s="122" t="s">
        <v>1067</v>
      </c>
      <c r="B18" s="122"/>
      <c r="C18" s="122"/>
      <c r="D18" s="122"/>
      <c r="E18" s="122"/>
      <c r="F18" s="122"/>
      <c r="G18" s="122"/>
      <c r="H18" s="3">
        <v>360</v>
      </c>
      <c r="I18" s="158"/>
      <c r="J18" s="320">
        <v>4</v>
      </c>
      <c r="K18" s="321"/>
    </row>
    <row r="19" spans="1:11" ht="15.75">
      <c r="A19" s="130"/>
      <c r="B19" s="130"/>
      <c r="C19" s="130"/>
      <c r="D19" s="130"/>
      <c r="E19" s="130"/>
      <c r="F19" s="130"/>
      <c r="G19" s="125"/>
      <c r="H19" s="125"/>
      <c r="I19" s="125"/>
      <c r="J19" s="320"/>
      <c r="K19" s="321"/>
    </row>
    <row r="20" spans="1:11" ht="15.75">
      <c r="A20" s="122"/>
      <c r="B20" s="122"/>
      <c r="C20" s="122"/>
      <c r="D20" s="122"/>
      <c r="E20" s="122"/>
      <c r="F20" s="122"/>
      <c r="G20" s="122" t="s">
        <v>240</v>
      </c>
      <c r="H20" s="125"/>
      <c r="I20" s="163">
        <f>I12+I14+I16+I18</f>
        <v>0</v>
      </c>
      <c r="J20" s="320">
        <v>5</v>
      </c>
      <c r="K20" s="321"/>
    </row>
    <row r="21" spans="1:11" ht="15.75">
      <c r="A21" s="130"/>
      <c r="B21" s="130"/>
      <c r="C21" s="130"/>
      <c r="D21" s="130"/>
      <c r="E21" s="130"/>
      <c r="F21" s="130"/>
      <c r="G21" s="126"/>
      <c r="H21" s="125"/>
      <c r="I21" s="125"/>
      <c r="J21" s="320"/>
      <c r="K21" s="321"/>
    </row>
    <row r="22" spans="1:11" ht="15.75">
      <c r="A22" s="122" t="s">
        <v>1068</v>
      </c>
      <c r="B22" s="122"/>
      <c r="C22" s="122"/>
      <c r="D22" s="122"/>
      <c r="E22" s="122"/>
      <c r="F22" s="122"/>
      <c r="G22" s="158"/>
      <c r="H22" s="320">
        <v>6</v>
      </c>
      <c r="I22" s="125"/>
      <c r="J22" s="320"/>
      <c r="K22" s="321"/>
    </row>
    <row r="23" spans="1:11" ht="15.75">
      <c r="A23" s="130" t="s">
        <v>1069</v>
      </c>
      <c r="B23" s="130"/>
      <c r="C23" s="130"/>
      <c r="D23" s="130"/>
      <c r="E23" s="130"/>
      <c r="F23" s="130"/>
      <c r="G23" s="126"/>
      <c r="H23" s="127"/>
      <c r="I23" s="125"/>
      <c r="J23" s="320"/>
      <c r="K23" s="321"/>
    </row>
    <row r="24" spans="1:11" ht="15.75">
      <c r="A24" s="122" t="s">
        <v>1070</v>
      </c>
      <c r="B24" s="122"/>
      <c r="C24" s="122"/>
      <c r="D24" s="122"/>
      <c r="E24" s="122"/>
      <c r="F24" s="122"/>
      <c r="G24" s="158"/>
      <c r="H24" s="320">
        <v>7</v>
      </c>
      <c r="I24" s="125"/>
      <c r="J24" s="320"/>
      <c r="K24" s="321"/>
    </row>
    <row r="25" spans="1:11" ht="15.75">
      <c r="A25" s="123"/>
      <c r="B25" s="123"/>
      <c r="C25" s="123"/>
      <c r="D25" s="123"/>
      <c r="E25" s="123"/>
      <c r="F25" s="123"/>
      <c r="G25" s="126"/>
      <c r="H25" s="125"/>
      <c r="I25" s="125"/>
      <c r="J25" s="320"/>
      <c r="K25" s="321"/>
    </row>
    <row r="26" spans="1:11" ht="15.75">
      <c r="A26" s="123"/>
      <c r="B26" s="123"/>
      <c r="C26" s="123"/>
      <c r="D26" s="123"/>
      <c r="E26" s="141" t="s">
        <v>1472</v>
      </c>
      <c r="F26" s="3">
        <v>351</v>
      </c>
      <c r="G26" s="163">
        <f>MAXA(0,(G22-G24))</f>
        <v>0</v>
      </c>
      <c r="H26" s="125"/>
      <c r="I26" s="163">
        <f>+G26</f>
        <v>0</v>
      </c>
      <c r="J26" s="320">
        <v>8</v>
      </c>
      <c r="K26" s="321"/>
    </row>
    <row r="27" spans="1:11" ht="15.75">
      <c r="A27" s="319" t="s">
        <v>1473</v>
      </c>
      <c r="B27" s="307"/>
      <c r="C27" s="130"/>
      <c r="D27" s="130"/>
      <c r="E27" s="130"/>
      <c r="F27" s="130"/>
      <c r="G27" s="155" t="s">
        <v>241</v>
      </c>
      <c r="H27" s="125"/>
      <c r="I27" s="125"/>
      <c r="J27" s="179"/>
      <c r="K27" s="321"/>
    </row>
    <row r="28" spans="1:11" ht="15.75">
      <c r="A28" s="125"/>
      <c r="B28" s="125"/>
      <c r="C28" s="125"/>
      <c r="D28" s="125"/>
      <c r="E28" s="125"/>
      <c r="F28" s="125"/>
      <c r="G28" s="126" t="s">
        <v>333</v>
      </c>
      <c r="H28" s="125"/>
      <c r="I28" s="163">
        <f>MAXA(0,I20-I26)</f>
        <v>0</v>
      </c>
      <c r="J28" s="320">
        <v>9</v>
      </c>
      <c r="K28" s="321"/>
    </row>
    <row r="29" spans="1:11" ht="15.75">
      <c r="A29" s="125"/>
      <c r="B29" s="125"/>
      <c r="C29" s="125"/>
      <c r="D29" s="125"/>
      <c r="E29" s="125"/>
      <c r="F29" s="125"/>
      <c r="G29" s="126"/>
      <c r="H29" s="125"/>
      <c r="I29" s="125"/>
      <c r="J29" s="160"/>
      <c r="K29" s="321"/>
    </row>
    <row r="30" spans="1:11" ht="15.75">
      <c r="A30" s="125" t="s">
        <v>1474</v>
      </c>
      <c r="B30" s="125"/>
      <c r="C30" s="125"/>
      <c r="D30" s="125"/>
      <c r="E30" s="125"/>
      <c r="F30" s="125"/>
      <c r="G30" s="126"/>
      <c r="H30" s="125"/>
      <c r="I30" s="125"/>
      <c r="J30" s="160"/>
      <c r="K30" s="321"/>
    </row>
    <row r="31" spans="1:11" ht="15.75">
      <c r="A31" s="125"/>
      <c r="B31" s="125"/>
      <c r="C31" s="125"/>
      <c r="D31" s="125"/>
      <c r="E31" s="125"/>
      <c r="F31" s="125"/>
      <c r="G31" s="126"/>
      <c r="H31" s="125"/>
      <c r="I31" s="125"/>
      <c r="J31" s="149"/>
      <c r="K31" s="321"/>
    </row>
    <row r="32" spans="1:10" ht="15.75">
      <c r="A32" s="97" t="s">
        <v>334</v>
      </c>
      <c r="B32" s="97"/>
      <c r="C32" s="97"/>
      <c r="D32" s="97"/>
      <c r="E32" s="97"/>
      <c r="F32" s="97"/>
      <c r="G32" s="99"/>
      <c r="H32" s="97"/>
      <c r="I32" s="106"/>
      <c r="J32" s="98"/>
    </row>
    <row r="33" spans="1:10" ht="15">
      <c r="A33" s="97"/>
      <c r="B33" s="97"/>
      <c r="C33" s="97"/>
      <c r="D33" s="97"/>
      <c r="E33" s="97"/>
      <c r="F33" s="97"/>
      <c r="G33" s="97"/>
      <c r="H33" s="97"/>
      <c r="I33" s="97"/>
      <c r="J33" s="97" t="s">
        <v>335</v>
      </c>
    </row>
  </sheetData>
  <sheetProtection password="EC35" sheet="1" objects="1" scenarios="1"/>
  <printOptions horizontalCentered="1"/>
  <pageMargins left="0.5118110236220472" right="0.5118110236220472" top="0.5118110236220472" bottom="0.5118110236220472" header="0.5118110236220472" footer="0.5118110236220472"/>
  <pageSetup fitToHeight="0" fitToWidth="1" horizontalDpi="600" verticalDpi="600" orientation="portrait" scale="63" r:id="rId2"/>
  <rowBreaks count="1" manualBreakCount="1">
    <brk id="63" max="6553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J65"/>
  <sheetViews>
    <sheetView showGridLines="0" showRowColHeaders="0" zoomScale="65" zoomScaleNormal="65" workbookViewId="0" topLeftCell="A1">
      <selection activeCell="B1" sqref="B1"/>
    </sheetView>
  </sheetViews>
  <sheetFormatPr defaultColWidth="9.77734375" defaultRowHeight="15"/>
  <cols>
    <col min="1" max="1" width="3.77734375" style="0" customWidth="1"/>
    <col min="2" max="2" width="12.77734375" style="0" customWidth="1"/>
    <col min="4" max="4" width="24.77734375" style="0" customWidth="1"/>
    <col min="6" max="7" width="13.77734375" style="0" customWidth="1"/>
    <col min="8" max="8" width="15.77734375" style="0" customWidth="1"/>
    <col min="9" max="9" width="14.77734375" style="0" customWidth="1"/>
  </cols>
  <sheetData>
    <row r="1" spans="1:10" ht="20.25">
      <c r="A1" s="173"/>
      <c r="B1" s="121" t="s">
        <v>390</v>
      </c>
      <c r="C1" s="176"/>
      <c r="D1" s="125"/>
      <c r="E1" s="129" t="s">
        <v>462</v>
      </c>
      <c r="F1" s="176"/>
      <c r="G1" s="176"/>
      <c r="H1" s="176"/>
      <c r="I1" s="339" t="s">
        <v>336</v>
      </c>
      <c r="J1" s="1"/>
    </row>
    <row r="2" spans="1:10" ht="15">
      <c r="A2" s="173"/>
      <c r="B2" s="125"/>
      <c r="C2" s="125"/>
      <c r="D2" s="125"/>
      <c r="E2" s="125"/>
      <c r="F2" s="125"/>
      <c r="G2" s="125"/>
      <c r="H2" s="125"/>
      <c r="I2" s="125"/>
      <c r="J2" s="1"/>
    </row>
    <row r="3" spans="1:10" ht="15">
      <c r="A3" s="173"/>
      <c r="B3" s="125" t="s">
        <v>24</v>
      </c>
      <c r="C3" s="125"/>
      <c r="D3" s="125"/>
      <c r="E3" s="125"/>
      <c r="F3" s="125"/>
      <c r="G3" s="125"/>
      <c r="H3" s="125"/>
      <c r="I3" s="125"/>
      <c r="J3" s="1"/>
    </row>
    <row r="4" spans="1:10" ht="15">
      <c r="A4" s="173"/>
      <c r="B4" s="125" t="s">
        <v>1475</v>
      </c>
      <c r="C4" s="125"/>
      <c r="D4" s="125"/>
      <c r="E4" s="125"/>
      <c r="F4" s="125"/>
      <c r="G4" s="125"/>
      <c r="H4" s="125"/>
      <c r="I4" s="125"/>
      <c r="J4" s="1"/>
    </row>
    <row r="5" spans="1:10" ht="15">
      <c r="A5" s="173"/>
      <c r="B5" s="125"/>
      <c r="C5" s="125"/>
      <c r="D5" s="125"/>
      <c r="E5" s="125"/>
      <c r="F5" s="125"/>
      <c r="G5" s="125"/>
      <c r="H5" s="125"/>
      <c r="I5" s="125"/>
      <c r="J5" s="1"/>
    </row>
    <row r="6" spans="1:10" ht="15.75">
      <c r="A6" s="173"/>
      <c r="B6" s="261" t="s">
        <v>1936</v>
      </c>
      <c r="C6" s="130"/>
      <c r="D6" s="130"/>
      <c r="E6" s="329" t="s">
        <v>337</v>
      </c>
      <c r="F6" s="329" t="s">
        <v>338</v>
      </c>
      <c r="G6" s="329" t="s">
        <v>339</v>
      </c>
      <c r="H6" s="329" t="s">
        <v>340</v>
      </c>
      <c r="I6" s="329" t="s">
        <v>341</v>
      </c>
      <c r="J6" s="1"/>
    </row>
    <row r="7" spans="1:10" ht="15">
      <c r="A7" s="173"/>
      <c r="B7" s="185" t="s">
        <v>25</v>
      </c>
      <c r="C7" s="186"/>
      <c r="D7" s="186"/>
      <c r="E7" s="330" t="s">
        <v>342</v>
      </c>
      <c r="F7" s="330" t="s">
        <v>343</v>
      </c>
      <c r="G7" s="330" t="s">
        <v>27</v>
      </c>
      <c r="H7" s="330" t="s">
        <v>344</v>
      </c>
      <c r="I7" s="330" t="s">
        <v>345</v>
      </c>
      <c r="J7" s="1"/>
    </row>
    <row r="8" spans="1:10" ht="15">
      <c r="A8" s="173"/>
      <c r="B8" s="185"/>
      <c r="C8" s="186"/>
      <c r="D8" s="186"/>
      <c r="E8" s="330" t="s">
        <v>346</v>
      </c>
      <c r="F8" s="330" t="s">
        <v>347</v>
      </c>
      <c r="G8" s="330" t="s">
        <v>28</v>
      </c>
      <c r="H8" s="330" t="s">
        <v>26</v>
      </c>
      <c r="I8" s="330" t="s">
        <v>21</v>
      </c>
      <c r="J8" s="1"/>
    </row>
    <row r="9" spans="1:10" ht="15">
      <c r="A9" s="173"/>
      <c r="B9" s="190"/>
      <c r="C9" s="122"/>
      <c r="D9" s="122"/>
      <c r="E9" s="331"/>
      <c r="F9" s="331"/>
      <c r="G9" s="331"/>
      <c r="H9" s="331"/>
      <c r="I9" s="331" t="s">
        <v>1332</v>
      </c>
      <c r="J9" s="1"/>
    </row>
    <row r="10" spans="1:10" ht="15">
      <c r="A10" s="173"/>
      <c r="B10" s="125"/>
      <c r="C10" s="125"/>
      <c r="D10" s="125"/>
      <c r="E10" s="125"/>
      <c r="F10" s="125"/>
      <c r="G10" s="125"/>
      <c r="H10" s="125"/>
      <c r="I10" s="125"/>
      <c r="J10" s="1"/>
    </row>
    <row r="11" spans="1:10" ht="15.75">
      <c r="A11" s="983" t="s">
        <v>1937</v>
      </c>
      <c r="B11" s="149" t="s">
        <v>29</v>
      </c>
      <c r="C11" s="125"/>
      <c r="D11" s="125"/>
      <c r="E11" s="125"/>
      <c r="F11" s="125"/>
      <c r="G11" s="125"/>
      <c r="H11" s="125"/>
      <c r="I11" s="125"/>
      <c r="J11" s="1"/>
    </row>
    <row r="12" spans="1:10" ht="15">
      <c r="A12" s="983"/>
      <c r="B12" s="322" t="s">
        <v>1333</v>
      </c>
      <c r="C12" s="325" t="s">
        <v>1334</v>
      </c>
      <c r="D12" s="239"/>
      <c r="E12" s="186"/>
      <c r="F12" s="186"/>
      <c r="G12" s="186"/>
      <c r="H12" s="186"/>
      <c r="I12" s="125"/>
      <c r="J12" s="1"/>
    </row>
    <row r="13" spans="1:10" ht="15">
      <c r="A13" s="983"/>
      <c r="B13" s="342"/>
      <c r="C13" s="984"/>
      <c r="D13" s="985"/>
      <c r="E13" s="425" t="s">
        <v>545</v>
      </c>
      <c r="F13" s="323"/>
      <c r="G13" s="323"/>
      <c r="H13" s="323"/>
      <c r="I13" s="340">
        <f>F13-G13-H13</f>
        <v>0</v>
      </c>
      <c r="J13" s="1"/>
    </row>
    <row r="14" spans="1:10" ht="15.75">
      <c r="A14" s="983"/>
      <c r="B14" s="130"/>
      <c r="C14" s="130"/>
      <c r="D14" s="156"/>
      <c r="E14" s="239" t="s">
        <v>1335</v>
      </c>
      <c r="F14" s="332"/>
      <c r="G14" s="333"/>
      <c r="H14" s="239" t="s">
        <v>1336</v>
      </c>
      <c r="I14" s="332"/>
      <c r="J14" s="1"/>
    </row>
    <row r="15" spans="1:10" ht="15.75">
      <c r="A15" s="983"/>
      <c r="B15" s="150" t="s">
        <v>1873</v>
      </c>
      <c r="C15" s="122"/>
      <c r="D15" s="122"/>
      <c r="E15" s="186"/>
      <c r="F15" s="130"/>
      <c r="G15" s="186"/>
      <c r="H15" s="186"/>
      <c r="I15" s="125"/>
      <c r="J15" s="1"/>
    </row>
    <row r="16" spans="1:10" ht="15">
      <c r="A16" s="983"/>
      <c r="B16" s="231" t="s">
        <v>1874</v>
      </c>
      <c r="C16" s="130"/>
      <c r="D16" s="239"/>
      <c r="E16" s="185"/>
      <c r="F16" s="186"/>
      <c r="G16" s="186"/>
      <c r="H16" s="186"/>
      <c r="I16" s="125"/>
      <c r="J16" s="1"/>
    </row>
    <row r="17" spans="1:10" ht="15">
      <c r="A17" s="983"/>
      <c r="B17" s="989" t="s">
        <v>545</v>
      </c>
      <c r="C17" s="990"/>
      <c r="D17" s="991"/>
      <c r="E17" s="425" t="s">
        <v>545</v>
      </c>
      <c r="F17" s="323"/>
      <c r="G17" s="323"/>
      <c r="H17" s="323"/>
      <c r="I17" s="340">
        <f>F17-G17-H17</f>
        <v>0</v>
      </c>
      <c r="J17" s="1"/>
    </row>
    <row r="18" spans="1:10" ht="15.75">
      <c r="A18" s="983"/>
      <c r="B18" s="185"/>
      <c r="C18" s="186"/>
      <c r="D18" s="155"/>
      <c r="E18" s="239" t="s">
        <v>1875</v>
      </c>
      <c r="F18" s="332"/>
      <c r="G18" s="333"/>
      <c r="H18" s="239" t="s">
        <v>587</v>
      </c>
      <c r="I18" s="332"/>
      <c r="J18" s="1"/>
    </row>
    <row r="19" spans="1:10" ht="15">
      <c r="A19" s="983"/>
      <c r="B19" s="185" t="s">
        <v>1847</v>
      </c>
      <c r="C19" s="186"/>
      <c r="D19" s="186"/>
      <c r="E19" s="186"/>
      <c r="F19" s="130"/>
      <c r="G19" s="186"/>
      <c r="H19" s="186"/>
      <c r="I19" s="125"/>
      <c r="J19" s="1"/>
    </row>
    <row r="20" spans="1:10" ht="15.75" customHeight="1">
      <c r="A20" s="983"/>
      <c r="B20" s="984"/>
      <c r="C20" s="986"/>
      <c r="D20" s="985"/>
      <c r="E20" s="425" t="s">
        <v>545</v>
      </c>
      <c r="F20" s="323"/>
      <c r="G20" s="323"/>
      <c r="H20" s="323"/>
      <c r="I20" s="340">
        <f>F20-G20-H20</f>
        <v>0</v>
      </c>
      <c r="J20" s="1"/>
    </row>
    <row r="21" spans="1:10" ht="15.75">
      <c r="A21" s="173"/>
      <c r="B21" s="130"/>
      <c r="C21" s="130"/>
      <c r="D21" s="156"/>
      <c r="E21" s="239" t="s">
        <v>588</v>
      </c>
      <c r="F21" s="332"/>
      <c r="G21" s="333"/>
      <c r="H21" s="239" t="s">
        <v>589</v>
      </c>
      <c r="I21" s="332"/>
      <c r="J21" s="1"/>
    </row>
    <row r="22" spans="1:10" ht="28.5" customHeight="1">
      <c r="A22" s="173"/>
      <c r="B22" s="153" t="s">
        <v>590</v>
      </c>
      <c r="C22" s="186"/>
      <c r="D22" s="186"/>
      <c r="E22" s="186"/>
      <c r="F22" s="130"/>
      <c r="G22" s="186"/>
      <c r="H22" s="186"/>
      <c r="I22" s="125"/>
      <c r="J22" s="1"/>
    </row>
    <row r="23" spans="1:10" ht="15.75" customHeight="1">
      <c r="A23" s="173"/>
      <c r="B23" s="122" t="s">
        <v>356</v>
      </c>
      <c r="C23" s="122"/>
      <c r="D23" s="122"/>
      <c r="E23" s="186"/>
      <c r="F23" s="186"/>
      <c r="G23" s="186"/>
      <c r="H23" s="186"/>
      <c r="I23" s="125"/>
      <c r="J23" s="1"/>
    </row>
    <row r="24" spans="1:10" ht="15">
      <c r="A24" s="173"/>
      <c r="B24" s="231" t="s">
        <v>591</v>
      </c>
      <c r="C24" s="326" t="s">
        <v>768</v>
      </c>
      <c r="D24" s="239"/>
      <c r="E24" s="185"/>
      <c r="F24" s="186"/>
      <c r="G24" s="186"/>
      <c r="H24" s="186"/>
      <c r="I24" s="125"/>
      <c r="J24" s="1"/>
    </row>
    <row r="25" spans="1:10" ht="15">
      <c r="A25" s="173"/>
      <c r="B25" s="107"/>
      <c r="C25" s="987"/>
      <c r="D25" s="988"/>
      <c r="E25" s="425" t="s">
        <v>545</v>
      </c>
      <c r="F25" s="323"/>
      <c r="G25" s="323"/>
      <c r="H25" s="323"/>
      <c r="I25" s="340">
        <f>F25-G25-H25</f>
        <v>0</v>
      </c>
      <c r="J25" s="1"/>
    </row>
    <row r="26" spans="1:10" ht="15.75">
      <c r="A26" s="173"/>
      <c r="B26" s="130"/>
      <c r="C26" s="130"/>
      <c r="D26" s="156"/>
      <c r="E26" s="239" t="s">
        <v>769</v>
      </c>
      <c r="F26" s="332"/>
      <c r="G26" s="333"/>
      <c r="H26" s="239" t="s">
        <v>770</v>
      </c>
      <c r="I26" s="332"/>
      <c r="J26" s="1"/>
    </row>
    <row r="27" spans="1:10" ht="15.75">
      <c r="A27" s="173"/>
      <c r="B27" s="150" t="s">
        <v>357</v>
      </c>
      <c r="C27" s="122"/>
      <c r="D27" s="122"/>
      <c r="E27" s="186"/>
      <c r="F27" s="130"/>
      <c r="G27" s="186"/>
      <c r="H27" s="186"/>
      <c r="I27" s="125"/>
      <c r="J27" s="1"/>
    </row>
    <row r="28" spans="1:10" ht="15">
      <c r="A28" s="173"/>
      <c r="B28" s="231" t="s">
        <v>1874</v>
      </c>
      <c r="C28" s="130"/>
      <c r="D28" s="239"/>
      <c r="E28" s="185"/>
      <c r="F28" s="186"/>
      <c r="G28" s="186"/>
      <c r="H28" s="186"/>
      <c r="I28" s="125"/>
      <c r="J28" s="1"/>
    </row>
    <row r="29" spans="1:10" ht="15">
      <c r="A29" s="173"/>
      <c r="B29" s="980" t="s">
        <v>545</v>
      </c>
      <c r="C29" s="981"/>
      <c r="D29" s="982"/>
      <c r="E29" s="425" t="s">
        <v>545</v>
      </c>
      <c r="F29" s="323"/>
      <c r="G29" s="323"/>
      <c r="H29" s="323"/>
      <c r="I29" s="340">
        <f>F29-G29-H29</f>
        <v>0</v>
      </c>
      <c r="J29" s="1"/>
    </row>
    <row r="30" spans="1:10" ht="15.75">
      <c r="A30" s="173"/>
      <c r="B30" s="130"/>
      <c r="C30" s="130"/>
      <c r="D30" s="156"/>
      <c r="E30" s="239" t="s">
        <v>771</v>
      </c>
      <c r="F30" s="332"/>
      <c r="G30" s="333"/>
      <c r="H30" s="239" t="s">
        <v>772</v>
      </c>
      <c r="I30" s="332"/>
      <c r="J30" s="1"/>
    </row>
    <row r="31" spans="1:10" ht="15.75">
      <c r="A31" s="173"/>
      <c r="B31" s="150" t="s">
        <v>358</v>
      </c>
      <c r="C31" s="122"/>
      <c r="D31" s="122"/>
      <c r="E31" s="186"/>
      <c r="F31" s="130"/>
      <c r="G31" s="186"/>
      <c r="H31" s="186"/>
      <c r="I31" s="125"/>
      <c r="J31" s="1"/>
    </row>
    <row r="32" spans="1:10" ht="15">
      <c r="A32" s="173"/>
      <c r="B32" s="324" t="s">
        <v>773</v>
      </c>
      <c r="C32" s="327" t="s">
        <v>774</v>
      </c>
      <c r="D32" s="328" t="s">
        <v>1088</v>
      </c>
      <c r="E32" s="185"/>
      <c r="F32" s="186"/>
      <c r="G32" s="186"/>
      <c r="H32" s="186"/>
      <c r="I32" s="125"/>
      <c r="J32" s="1"/>
    </row>
    <row r="33" spans="1:10" ht="15">
      <c r="A33" s="173"/>
      <c r="B33" s="323"/>
      <c r="C33" s="323"/>
      <c r="D33" s="323"/>
      <c r="E33" s="425" t="s">
        <v>545</v>
      </c>
      <c r="F33" s="323"/>
      <c r="G33" s="323"/>
      <c r="H33" s="323"/>
      <c r="I33" s="340">
        <f>F33-G33-H33</f>
        <v>0</v>
      </c>
      <c r="J33" s="1"/>
    </row>
    <row r="34" spans="1:10" ht="15.75">
      <c r="A34" s="173"/>
      <c r="B34" s="130"/>
      <c r="C34" s="130"/>
      <c r="D34" s="156"/>
      <c r="E34" s="130" t="s">
        <v>1089</v>
      </c>
      <c r="F34" s="332"/>
      <c r="G34" s="333"/>
      <c r="H34" s="239" t="s">
        <v>1090</v>
      </c>
      <c r="I34" s="332"/>
      <c r="J34" s="1"/>
    </row>
    <row r="35" spans="1:10" ht="15.75">
      <c r="A35" s="173"/>
      <c r="B35" s="150" t="s">
        <v>1091</v>
      </c>
      <c r="C35" s="122"/>
      <c r="D35" s="122"/>
      <c r="E35" s="186"/>
      <c r="F35" s="130"/>
      <c r="G35" s="186"/>
      <c r="H35" s="186"/>
      <c r="I35" s="125"/>
      <c r="J35" s="1"/>
    </row>
    <row r="36" spans="1:10" ht="15">
      <c r="A36" s="173"/>
      <c r="B36" s="231" t="s">
        <v>1874</v>
      </c>
      <c r="C36" s="130"/>
      <c r="D36" s="239"/>
      <c r="E36" s="185"/>
      <c r="F36" s="186"/>
      <c r="G36" s="186"/>
      <c r="H36" s="186"/>
      <c r="I36" s="125"/>
      <c r="J36" s="1"/>
    </row>
    <row r="37" spans="1:10" ht="15">
      <c r="A37" s="173"/>
      <c r="B37" s="980" t="s">
        <v>545</v>
      </c>
      <c r="C37" s="981"/>
      <c r="D37" s="982"/>
      <c r="E37" s="425" t="s">
        <v>545</v>
      </c>
      <c r="F37" s="323"/>
      <c r="G37" s="323"/>
      <c r="H37" s="323"/>
      <c r="I37" s="340">
        <f>F37-G37-H37</f>
        <v>0</v>
      </c>
      <c r="J37" s="1"/>
    </row>
    <row r="38" spans="1:10" ht="15.75">
      <c r="A38" s="173"/>
      <c r="B38" s="130"/>
      <c r="C38" s="130"/>
      <c r="D38" s="156"/>
      <c r="E38" s="239" t="s">
        <v>1092</v>
      </c>
      <c r="F38" s="332"/>
      <c r="G38" s="333"/>
      <c r="H38" s="239" t="s">
        <v>1093</v>
      </c>
      <c r="I38" s="332"/>
      <c r="J38" s="1"/>
    </row>
    <row r="39" spans="1:10" ht="15.75">
      <c r="A39" s="173"/>
      <c r="B39" s="153" t="s">
        <v>1094</v>
      </c>
      <c r="C39" s="186"/>
      <c r="D39" s="186"/>
      <c r="E39" s="186"/>
      <c r="F39" s="130"/>
      <c r="G39" s="186"/>
      <c r="H39" s="186"/>
      <c r="I39" s="125"/>
      <c r="J39" s="1"/>
    </row>
    <row r="40" spans="1:10" ht="15">
      <c r="A40" s="173"/>
      <c r="B40" s="980" t="s">
        <v>545</v>
      </c>
      <c r="C40" s="981"/>
      <c r="D40" s="982"/>
      <c r="E40" s="425" t="s">
        <v>545</v>
      </c>
      <c r="F40" s="323"/>
      <c r="G40" s="323"/>
      <c r="H40" s="323"/>
      <c r="I40" s="340">
        <f>F40-G40-H40</f>
        <v>0</v>
      </c>
      <c r="J40" s="1"/>
    </row>
    <row r="41" spans="1:10" ht="15.75">
      <c r="A41" s="173"/>
      <c r="B41" s="130"/>
      <c r="C41" s="130"/>
      <c r="D41" s="156"/>
      <c r="E41" s="130"/>
      <c r="F41" s="130"/>
      <c r="G41" s="156"/>
      <c r="H41" s="334" t="s">
        <v>1095</v>
      </c>
      <c r="I41" s="332"/>
      <c r="J41" s="1"/>
    </row>
    <row r="42" spans="1:10" ht="15.75">
      <c r="A42" s="173"/>
      <c r="B42" s="153" t="s">
        <v>1538</v>
      </c>
      <c r="C42" s="186"/>
      <c r="D42" s="186"/>
      <c r="E42" s="186"/>
      <c r="F42" s="186"/>
      <c r="G42" s="186"/>
      <c r="H42" s="186"/>
      <c r="I42" s="186"/>
      <c r="J42" s="1"/>
    </row>
    <row r="43" spans="1:10" ht="15">
      <c r="A43" s="173"/>
      <c r="B43" s="980" t="s">
        <v>545</v>
      </c>
      <c r="C43" s="981"/>
      <c r="D43" s="982"/>
      <c r="E43" s="425" t="s">
        <v>545</v>
      </c>
      <c r="F43" s="323"/>
      <c r="G43" s="323"/>
      <c r="H43" s="323"/>
      <c r="I43" s="340">
        <f>F43-G43-H43</f>
        <v>0</v>
      </c>
      <c r="J43" s="1"/>
    </row>
    <row r="44" spans="1:10" ht="15.75">
      <c r="A44" s="173"/>
      <c r="B44" s="151" t="s">
        <v>363</v>
      </c>
      <c r="C44" s="130"/>
      <c r="D44" s="156"/>
      <c r="E44" s="130"/>
      <c r="F44" s="130"/>
      <c r="G44" s="156"/>
      <c r="H44" s="156" t="s">
        <v>359</v>
      </c>
      <c r="I44" s="332"/>
      <c r="J44" s="1"/>
    </row>
    <row r="45" spans="1:10" ht="15.75">
      <c r="A45" s="173"/>
      <c r="B45" s="186" t="s">
        <v>360</v>
      </c>
      <c r="C45" s="186"/>
      <c r="D45" s="186"/>
      <c r="E45" s="186"/>
      <c r="F45" s="186"/>
      <c r="G45" s="186"/>
      <c r="H45" s="186" t="s">
        <v>1754</v>
      </c>
      <c r="I45" s="341">
        <f>I43-I44</f>
        <v>0</v>
      </c>
      <c r="J45" s="1"/>
    </row>
    <row r="46" spans="1:10" ht="15">
      <c r="A46" s="173"/>
      <c r="B46" s="186"/>
      <c r="C46" s="186"/>
      <c r="D46" s="186"/>
      <c r="E46" s="186"/>
      <c r="F46" s="186"/>
      <c r="G46" s="186"/>
      <c r="H46" s="186"/>
      <c r="I46" s="125"/>
      <c r="J46" s="1"/>
    </row>
    <row r="47" spans="1:10" ht="15.75">
      <c r="A47" s="173"/>
      <c r="B47" s="122" t="s">
        <v>361</v>
      </c>
      <c r="C47" s="122"/>
      <c r="D47" s="122"/>
      <c r="E47" s="122"/>
      <c r="F47" s="122"/>
      <c r="G47" s="122"/>
      <c r="H47" s="335" t="s">
        <v>362</v>
      </c>
      <c r="I47" s="323"/>
      <c r="J47" s="1"/>
    </row>
    <row r="48" spans="1:10" ht="15">
      <c r="A48" s="173"/>
      <c r="B48" s="130" t="s">
        <v>1801</v>
      </c>
      <c r="C48" s="130"/>
      <c r="D48" s="130"/>
      <c r="E48" s="130"/>
      <c r="F48" s="130"/>
      <c r="G48" s="130"/>
      <c r="H48" s="130"/>
      <c r="I48" s="125"/>
      <c r="J48" s="1"/>
    </row>
    <row r="49" spans="1:10" ht="15.75">
      <c r="A49" s="173"/>
      <c r="B49" s="122" t="s">
        <v>1023</v>
      </c>
      <c r="C49" s="122"/>
      <c r="D49" s="122"/>
      <c r="E49" s="122"/>
      <c r="F49" s="122"/>
      <c r="G49" s="152">
        <v>173</v>
      </c>
      <c r="H49" s="158"/>
      <c r="I49" s="125"/>
      <c r="J49" s="1"/>
    </row>
    <row r="50" spans="1:10" ht="15">
      <c r="A50" s="173"/>
      <c r="B50" s="125"/>
      <c r="C50" s="125"/>
      <c r="D50" s="125"/>
      <c r="E50" s="125"/>
      <c r="F50" s="125"/>
      <c r="G50" s="125"/>
      <c r="H50" s="125"/>
      <c r="I50" s="125"/>
      <c r="J50" s="1"/>
    </row>
    <row r="51" spans="1:10" ht="15.75">
      <c r="A51" s="173"/>
      <c r="B51" s="150" t="s">
        <v>364</v>
      </c>
      <c r="C51" s="122"/>
      <c r="D51" s="122"/>
      <c r="E51" s="122"/>
      <c r="F51" s="122"/>
      <c r="G51" s="122"/>
      <c r="H51" s="152">
        <v>174</v>
      </c>
      <c r="I51" s="341">
        <f>MISC!L64</f>
        <v>0</v>
      </c>
      <c r="J51" s="1"/>
    </row>
    <row r="52" spans="1:10" ht="15.75">
      <c r="A52" s="173"/>
      <c r="B52" s="150" t="s">
        <v>99</v>
      </c>
      <c r="C52" s="122"/>
      <c r="D52" s="122"/>
      <c r="E52" s="122"/>
      <c r="F52" s="122"/>
      <c r="G52" s="122"/>
      <c r="H52" s="146">
        <v>176</v>
      </c>
      <c r="I52" s="341">
        <f>MISC!L65</f>
        <v>0</v>
      </c>
      <c r="J52" s="1"/>
    </row>
    <row r="53" spans="1:10" ht="15.75">
      <c r="A53" s="173"/>
      <c r="B53" s="123" t="s">
        <v>1024</v>
      </c>
      <c r="C53" s="123"/>
      <c r="D53" s="123"/>
      <c r="E53" s="123"/>
      <c r="F53" s="123"/>
      <c r="G53" s="123"/>
      <c r="H53" s="146">
        <v>178</v>
      </c>
      <c r="I53" s="147"/>
      <c r="J53" s="1"/>
    </row>
    <row r="54" spans="1:10" ht="15.75">
      <c r="A54" s="173"/>
      <c r="B54" s="123"/>
      <c r="C54" s="123"/>
      <c r="D54" s="123"/>
      <c r="E54" s="123"/>
      <c r="F54" s="123"/>
      <c r="G54" s="286"/>
      <c r="H54" s="286" t="s">
        <v>1765</v>
      </c>
      <c r="I54" s="162">
        <f>I14+I17+I21+I26+I30+I34+I38+I41+I45-I47+I51+I52-I53</f>
        <v>0</v>
      </c>
      <c r="J54" s="1"/>
    </row>
    <row r="55" spans="1:10" ht="15">
      <c r="A55" s="173"/>
      <c r="B55" s="123" t="s">
        <v>1759</v>
      </c>
      <c r="C55" s="123"/>
      <c r="D55" s="123"/>
      <c r="E55" s="123"/>
      <c r="F55" s="123"/>
      <c r="G55" s="123"/>
      <c r="H55" s="336">
        <v>192</v>
      </c>
      <c r="I55" s="147"/>
      <c r="J55" s="1"/>
    </row>
    <row r="56" spans="1:10" ht="15">
      <c r="A56" s="173"/>
      <c r="B56" s="123" t="s">
        <v>1760</v>
      </c>
      <c r="C56" s="123"/>
      <c r="D56" s="123"/>
      <c r="E56" s="123"/>
      <c r="F56" s="123"/>
      <c r="G56" s="123"/>
      <c r="H56" s="336">
        <v>193</v>
      </c>
      <c r="I56" s="147"/>
      <c r="J56" s="1"/>
    </row>
    <row r="57" spans="1:10" ht="15.75">
      <c r="A57" s="173"/>
      <c r="B57" s="123"/>
      <c r="C57" s="123"/>
      <c r="D57" s="123"/>
      <c r="E57" s="123"/>
      <c r="F57" s="123"/>
      <c r="G57" s="286"/>
      <c r="H57" s="337" t="s">
        <v>1935</v>
      </c>
      <c r="I57" s="162">
        <f>I54+I55+I56</f>
        <v>0</v>
      </c>
      <c r="J57" s="1"/>
    </row>
    <row r="58" spans="1:10" ht="15.75">
      <c r="A58" s="173"/>
      <c r="B58" s="123" t="s">
        <v>1761</v>
      </c>
      <c r="C58" s="123"/>
      <c r="D58" s="123"/>
      <c r="E58" s="123"/>
      <c r="F58" s="123"/>
      <c r="G58" s="123"/>
      <c r="H58" s="146">
        <v>195</v>
      </c>
      <c r="I58" s="147"/>
      <c r="J58" s="1"/>
    </row>
    <row r="59" spans="1:10" ht="15.75">
      <c r="A59" s="173"/>
      <c r="B59" s="123"/>
      <c r="C59" s="123"/>
      <c r="D59" s="123"/>
      <c r="E59" s="123"/>
      <c r="F59" s="123"/>
      <c r="G59" s="286"/>
      <c r="H59" s="286" t="s">
        <v>1762</v>
      </c>
      <c r="I59" s="162">
        <f>I57-I58</f>
        <v>0</v>
      </c>
      <c r="J59" s="1"/>
    </row>
    <row r="60" spans="1:10" ht="15.75">
      <c r="A60" s="173"/>
      <c r="B60" s="151" t="s">
        <v>1763</v>
      </c>
      <c r="C60" s="130"/>
      <c r="D60" s="130"/>
      <c r="E60" s="130"/>
      <c r="F60" s="130"/>
      <c r="G60" s="307"/>
      <c r="H60" s="130"/>
      <c r="I60" s="125"/>
      <c r="J60" s="1"/>
    </row>
    <row r="61" spans="1:10" ht="15.75">
      <c r="A61" s="173"/>
      <c r="B61" s="125" t="s">
        <v>1764</v>
      </c>
      <c r="C61" s="125"/>
      <c r="D61" s="125"/>
      <c r="E61" s="125"/>
      <c r="F61" s="125"/>
      <c r="G61" s="140"/>
      <c r="H61" s="186"/>
      <c r="I61" s="125"/>
      <c r="J61" s="1"/>
    </row>
    <row r="62" spans="1:10" ht="15.75">
      <c r="A62" s="173"/>
      <c r="B62" s="255" t="s">
        <v>1025</v>
      </c>
      <c r="C62" s="255"/>
      <c r="D62" s="255"/>
      <c r="E62" s="255"/>
      <c r="F62" s="255"/>
      <c r="G62" s="258"/>
      <c r="H62" s="338">
        <v>199</v>
      </c>
      <c r="I62" s="163">
        <f>0.5*I59</f>
        <v>0</v>
      </c>
      <c r="J62" s="1"/>
    </row>
    <row r="63" spans="1:10" ht="15.75">
      <c r="A63" s="173"/>
      <c r="B63" s="125"/>
      <c r="C63" s="125"/>
      <c r="D63" s="125"/>
      <c r="E63" s="125"/>
      <c r="F63" s="125"/>
      <c r="G63" s="140"/>
      <c r="H63" s="125"/>
      <c r="I63" s="125"/>
      <c r="J63" s="1"/>
    </row>
    <row r="64" spans="1:10" ht="15.75">
      <c r="A64" s="173"/>
      <c r="B64" s="125" t="s">
        <v>1026</v>
      </c>
      <c r="C64" s="125"/>
      <c r="D64" s="125"/>
      <c r="E64" s="125"/>
      <c r="F64" s="125"/>
      <c r="G64" s="140"/>
      <c r="H64" s="125"/>
      <c r="I64" s="177"/>
      <c r="J64" s="1"/>
    </row>
    <row r="65" spans="1:10" ht="15">
      <c r="A65" s="173"/>
      <c r="B65" s="125"/>
      <c r="C65" s="125"/>
      <c r="D65" s="125"/>
      <c r="E65" s="125"/>
      <c r="F65" s="125"/>
      <c r="G65" s="125"/>
      <c r="H65" s="125"/>
      <c r="I65" s="125" t="s">
        <v>1027</v>
      </c>
      <c r="J65" s="1"/>
    </row>
  </sheetData>
  <sheetProtection password="EC35" sheet="1" objects="1" scenarios="1"/>
  <mergeCells count="9">
    <mergeCell ref="B43:D43"/>
    <mergeCell ref="A11:A20"/>
    <mergeCell ref="C13:D13"/>
    <mergeCell ref="B20:D20"/>
    <mergeCell ref="B29:D29"/>
    <mergeCell ref="C25:D25"/>
    <mergeCell ref="B17:D17"/>
    <mergeCell ref="B37:D37"/>
    <mergeCell ref="B40:D40"/>
  </mergeCells>
  <printOptions horizontalCentered="1"/>
  <pageMargins left="0.261811024" right="0.261811024" top="0.511811023622047" bottom="0.261811024" header="0.511811023622047" footer="0.511811023622047"/>
  <pageSetup fitToHeight="1" fitToWidth="1" horizontalDpi="600" verticalDpi="600" orientation="portrait" scale="70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 transitionEvaluation="1">
    <pageSetUpPr fitToPage="1"/>
  </sheetPr>
  <dimension ref="A1:F31"/>
  <sheetViews>
    <sheetView showGridLines="0" showRowColHeaders="0" zoomScale="75" zoomScaleNormal="75" workbookViewId="0" topLeftCell="A1">
      <selection activeCell="B1" sqref="B1"/>
    </sheetView>
  </sheetViews>
  <sheetFormatPr defaultColWidth="9.77734375" defaultRowHeight="15"/>
  <cols>
    <col min="1" max="1" width="6.10546875" style="0" customWidth="1"/>
    <col min="2" max="2" width="23.3359375" style="0" customWidth="1"/>
    <col min="3" max="3" width="57.88671875" style="0" customWidth="1"/>
    <col min="4" max="4" width="5.21484375" style="0" customWidth="1"/>
    <col min="5" max="5" width="12.77734375" style="0" customWidth="1"/>
    <col min="6" max="6" width="3.4453125" style="0" customWidth="1"/>
  </cols>
  <sheetData>
    <row r="1" spans="1:6" ht="20.25">
      <c r="A1" s="121" t="s">
        <v>390</v>
      </c>
      <c r="B1" s="137"/>
      <c r="C1" s="121" t="s">
        <v>500</v>
      </c>
      <c r="D1" s="137"/>
      <c r="E1" s="339" t="s">
        <v>501</v>
      </c>
      <c r="F1" s="125"/>
    </row>
    <row r="2" spans="1:6" ht="15">
      <c r="A2" s="173"/>
      <c r="B2" s="125"/>
      <c r="C2" s="125"/>
      <c r="D2" s="125"/>
      <c r="E2" s="125"/>
      <c r="F2" s="125"/>
    </row>
    <row r="3" spans="1:6" ht="15">
      <c r="A3" s="125" t="s">
        <v>502</v>
      </c>
      <c r="B3" s="125"/>
      <c r="C3" s="125"/>
      <c r="D3" s="125"/>
      <c r="E3" s="125"/>
      <c r="F3" s="125"/>
    </row>
    <row r="4" spans="1:6" ht="15">
      <c r="A4" s="125" t="s">
        <v>1475</v>
      </c>
      <c r="B4" s="125"/>
      <c r="C4" s="125"/>
      <c r="D4" s="125"/>
      <c r="E4" s="125"/>
      <c r="F4" s="125"/>
    </row>
    <row r="5" spans="1:6" ht="15">
      <c r="A5" s="173"/>
      <c r="B5" s="125"/>
      <c r="C5" s="125"/>
      <c r="D5" s="125"/>
      <c r="E5" s="125"/>
      <c r="F5" s="125"/>
    </row>
    <row r="6" spans="1:6" ht="15.75">
      <c r="A6" s="343" t="s">
        <v>1766</v>
      </c>
      <c r="B6" s="149" t="s">
        <v>1767</v>
      </c>
      <c r="C6" s="125"/>
      <c r="D6" s="125"/>
      <c r="E6" s="186"/>
      <c r="F6" s="125"/>
    </row>
    <row r="7" spans="1:6" ht="15">
      <c r="A7" s="344"/>
      <c r="B7" s="125" t="s">
        <v>1987</v>
      </c>
      <c r="C7" s="613"/>
      <c r="D7" s="126"/>
      <c r="E7" s="598"/>
      <c r="F7" s="125"/>
    </row>
    <row r="8" spans="1:6" ht="15">
      <c r="A8" s="344"/>
      <c r="B8" s="992" t="s">
        <v>801</v>
      </c>
      <c r="C8" s="992"/>
      <c r="D8" s="126"/>
      <c r="E8" s="614"/>
      <c r="F8" s="125"/>
    </row>
    <row r="9" spans="1:6" ht="15">
      <c r="A9" s="344"/>
      <c r="B9" s="992"/>
      <c r="C9" s="992"/>
      <c r="D9" s="126"/>
      <c r="E9" s="614"/>
      <c r="F9" s="125"/>
    </row>
    <row r="10" spans="1:6" ht="15">
      <c r="A10" s="344"/>
      <c r="B10" s="256"/>
      <c r="C10" s="265" t="s">
        <v>503</v>
      </c>
      <c r="D10" s="346">
        <v>120</v>
      </c>
      <c r="E10" s="614">
        <f>'Sch4-2'!E32</f>
        <v>0</v>
      </c>
      <c r="F10" s="125"/>
    </row>
    <row r="11" spans="1:6" ht="22.5" customHeight="1">
      <c r="A11" s="343" t="s">
        <v>1768</v>
      </c>
      <c r="B11" s="149" t="s">
        <v>1770</v>
      </c>
      <c r="C11" s="125"/>
      <c r="D11" s="126"/>
      <c r="E11" s="125"/>
      <c r="F11" s="125"/>
    </row>
    <row r="12" spans="1:6" ht="15">
      <c r="A12" s="344"/>
      <c r="B12" s="125" t="s">
        <v>1987</v>
      </c>
      <c r="C12" s="613"/>
      <c r="D12" s="126"/>
      <c r="E12" s="598"/>
      <c r="F12" s="125"/>
    </row>
    <row r="13" spans="1:6" ht="15">
      <c r="A13" s="344"/>
      <c r="B13" s="992" t="s">
        <v>801</v>
      </c>
      <c r="C13" s="992"/>
      <c r="D13" s="126"/>
      <c r="E13" s="598"/>
      <c r="F13" s="125"/>
    </row>
    <row r="14" spans="1:6" ht="15">
      <c r="A14" s="344"/>
      <c r="B14" s="992"/>
      <c r="C14" s="992"/>
      <c r="D14" s="126"/>
      <c r="E14" s="598"/>
      <c r="F14" s="125"/>
    </row>
    <row r="15" spans="1:6" ht="15">
      <c r="A15" s="344"/>
      <c r="B15" s="123" t="s">
        <v>504</v>
      </c>
      <c r="C15" s="613"/>
      <c r="D15" s="126"/>
      <c r="E15" s="598"/>
      <c r="F15" s="125"/>
    </row>
    <row r="16" spans="1:6" ht="15">
      <c r="A16" s="344"/>
      <c r="B16" s="122"/>
      <c r="C16" s="143" t="s">
        <v>505</v>
      </c>
      <c r="D16" s="346">
        <v>121</v>
      </c>
      <c r="E16" s="162">
        <f>'Sch4-2'!E44</f>
        <v>0</v>
      </c>
      <c r="F16" s="125"/>
    </row>
    <row r="17" spans="1:6" ht="22.5" customHeight="1">
      <c r="A17" s="343" t="s">
        <v>1769</v>
      </c>
      <c r="B17" s="149" t="s">
        <v>1771</v>
      </c>
      <c r="C17" s="125"/>
      <c r="D17" s="126"/>
      <c r="E17" s="125"/>
      <c r="F17" s="125"/>
    </row>
    <row r="18" spans="1:6" ht="15">
      <c r="A18" s="344"/>
      <c r="B18" s="992" t="s">
        <v>801</v>
      </c>
      <c r="C18" s="992"/>
      <c r="D18" s="126"/>
      <c r="E18" s="598"/>
      <c r="F18" s="125"/>
    </row>
    <row r="19" spans="1:6" ht="15">
      <c r="A19" s="344"/>
      <c r="B19" s="992"/>
      <c r="C19" s="992"/>
      <c r="D19" s="126"/>
      <c r="E19" s="598"/>
      <c r="F19" s="125"/>
    </row>
    <row r="20" spans="1:6" ht="15">
      <c r="A20" s="344"/>
      <c r="B20" s="256"/>
      <c r="C20" s="265" t="s">
        <v>506</v>
      </c>
      <c r="D20" s="346">
        <v>122</v>
      </c>
      <c r="E20" s="162">
        <f>'Sch4-2'!E53</f>
        <v>0</v>
      </c>
      <c r="F20" s="125"/>
    </row>
    <row r="21" spans="1:6" ht="21.75" customHeight="1">
      <c r="A21" s="343" t="s">
        <v>573</v>
      </c>
      <c r="B21" s="149" t="s">
        <v>611</v>
      </c>
      <c r="C21" s="125"/>
      <c r="D21" s="126"/>
      <c r="E21" s="125"/>
      <c r="F21" s="125"/>
    </row>
    <row r="22" spans="1:6" ht="15">
      <c r="A22" s="344"/>
      <c r="B22" s="122" t="s">
        <v>1381</v>
      </c>
      <c r="C22" s="615" t="s">
        <v>801</v>
      </c>
      <c r="D22" s="126"/>
      <c r="E22" s="598"/>
      <c r="F22" s="125"/>
    </row>
    <row r="23" spans="1:6" ht="15">
      <c r="A23" s="344"/>
      <c r="B23" s="123" t="s">
        <v>1382</v>
      </c>
      <c r="C23" s="610" t="s">
        <v>801</v>
      </c>
      <c r="D23" s="126"/>
      <c r="E23" s="598"/>
      <c r="F23" s="125"/>
    </row>
    <row r="24" spans="1:6" ht="15">
      <c r="A24" s="344"/>
      <c r="B24" s="130"/>
      <c r="C24" s="266" t="s">
        <v>1383</v>
      </c>
      <c r="D24" s="346">
        <v>221</v>
      </c>
      <c r="E24" s="162">
        <f>'Sch4-2'!E59</f>
        <v>0</v>
      </c>
      <c r="F24" s="125"/>
    </row>
    <row r="25" spans="1:6" ht="22.5" customHeight="1">
      <c r="A25" s="343" t="s">
        <v>612</v>
      </c>
      <c r="B25" s="151" t="s">
        <v>614</v>
      </c>
      <c r="C25" s="307"/>
      <c r="D25" s="126"/>
      <c r="E25" s="125"/>
      <c r="F25" s="125"/>
    </row>
    <row r="26" spans="1:6" ht="15">
      <c r="A26" s="344"/>
      <c r="B26" s="122"/>
      <c r="C26" s="143" t="s">
        <v>616</v>
      </c>
      <c r="D26" s="347" t="s">
        <v>615</v>
      </c>
      <c r="E26" s="598">
        <f>'Sch4-2'!E61</f>
        <v>0</v>
      </c>
      <c r="F26" s="125"/>
    </row>
    <row r="27" spans="1:6" ht="23.25" customHeight="1">
      <c r="A27" s="343" t="s">
        <v>613</v>
      </c>
      <c r="B27" s="345" t="s">
        <v>617</v>
      </c>
      <c r="C27" s="610" t="s">
        <v>801</v>
      </c>
      <c r="D27" s="126"/>
      <c r="E27" s="125"/>
      <c r="F27" s="125"/>
    </row>
    <row r="28" spans="1:6" ht="15">
      <c r="A28" s="344"/>
      <c r="B28" s="125"/>
      <c r="C28" s="126" t="s">
        <v>618</v>
      </c>
      <c r="D28" s="346">
        <v>232</v>
      </c>
      <c r="E28" s="699">
        <f>'Sch4-2'!E64</f>
        <v>0</v>
      </c>
      <c r="F28" s="125"/>
    </row>
    <row r="29" spans="1:6" ht="15">
      <c r="A29" s="344"/>
      <c r="B29" s="125"/>
      <c r="C29" s="125"/>
      <c r="D29" s="125"/>
      <c r="E29" s="125"/>
      <c r="F29" s="125"/>
    </row>
    <row r="30" spans="1:6" ht="15">
      <c r="A30" s="344"/>
      <c r="B30" s="125" t="s">
        <v>1384</v>
      </c>
      <c r="C30" s="108"/>
      <c r="D30" s="108"/>
      <c r="E30" s="108" t="s">
        <v>463</v>
      </c>
      <c r="F30" s="125" t="s">
        <v>1580</v>
      </c>
    </row>
    <row r="31" spans="1:6" ht="15">
      <c r="A31" s="344"/>
      <c r="B31" s="125"/>
      <c r="C31" s="125"/>
      <c r="D31" s="125"/>
      <c r="E31" s="125" t="s">
        <v>1364</v>
      </c>
      <c r="F31" s="125"/>
    </row>
  </sheetData>
  <sheetProtection password="EC35" sheet="1" objects="1" scenarios="1"/>
  <mergeCells count="6">
    <mergeCell ref="B18:C18"/>
    <mergeCell ref="B19:C19"/>
    <mergeCell ref="B8:C8"/>
    <mergeCell ref="B9:C9"/>
    <mergeCell ref="B13:C13"/>
    <mergeCell ref="B14:C14"/>
  </mergeCells>
  <printOptions horizontalCentered="1"/>
  <pageMargins left="0.5118110236220472" right="0.5118110236220472" top="0.5118110236220472" bottom="0.5118110236220472" header="0.5118110236220472" footer="0.5118110236220472"/>
  <pageSetup fitToHeight="1" fitToWidth="1" horizontalDpi="600" verticalDpi="600" orientation="portrait" scale="73" r:id="rId4"/>
  <rowBreaks count="1" manualBreakCount="1">
    <brk id="63" max="65535" man="1"/>
  </rowBreaks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1" transitionEvaluation="1">
    <pageSetUpPr fitToPage="1"/>
  </sheetPr>
  <dimension ref="A1:F67"/>
  <sheetViews>
    <sheetView showGridLines="0" showRowColHeaders="0" zoomScale="75" zoomScaleNormal="75" workbookViewId="0" topLeftCell="A1">
      <selection activeCell="B1" sqref="B1"/>
    </sheetView>
  </sheetViews>
  <sheetFormatPr defaultColWidth="9.77734375" defaultRowHeight="15"/>
  <cols>
    <col min="1" max="1" width="6.10546875" style="0" customWidth="1"/>
    <col min="2" max="2" width="23.3359375" style="0" customWidth="1"/>
    <col min="3" max="3" width="57.88671875" style="0" customWidth="1"/>
    <col min="4" max="4" width="5.21484375" style="0" customWidth="1"/>
    <col min="5" max="5" width="12.77734375" style="0" customWidth="1"/>
    <col min="6" max="6" width="3.4453125" style="0" customWidth="1"/>
  </cols>
  <sheetData>
    <row r="1" spans="1:6" ht="20.25">
      <c r="A1" s="121" t="s">
        <v>390</v>
      </c>
      <c r="B1" s="137"/>
      <c r="C1" s="121" t="s">
        <v>959</v>
      </c>
      <c r="D1" s="137"/>
      <c r="E1" s="339" t="s">
        <v>501</v>
      </c>
      <c r="F1" s="125"/>
    </row>
    <row r="2" spans="1:6" ht="15">
      <c r="A2" s="173"/>
      <c r="B2" s="125"/>
      <c r="C2" s="125"/>
      <c r="D2" s="125"/>
      <c r="E2" s="125"/>
      <c r="F2" s="125"/>
    </row>
    <row r="3" spans="1:6" ht="15">
      <c r="A3" s="125" t="s">
        <v>502</v>
      </c>
      <c r="B3" s="125"/>
      <c r="C3" s="125"/>
      <c r="D3" s="125"/>
      <c r="E3" s="125"/>
      <c r="F3" s="125"/>
    </row>
    <row r="4" spans="1:6" ht="15">
      <c r="A4" s="125" t="s">
        <v>1475</v>
      </c>
      <c r="B4" s="125"/>
      <c r="C4" s="125"/>
      <c r="D4" s="125"/>
      <c r="E4" s="125"/>
      <c r="F4" s="125"/>
    </row>
    <row r="5" spans="1:6" ht="15">
      <c r="A5" s="173"/>
      <c r="B5" s="125"/>
      <c r="C5" s="125"/>
      <c r="D5" s="125"/>
      <c r="E5" s="125"/>
      <c r="F5" s="125"/>
    </row>
    <row r="6" spans="1:6" ht="15.75">
      <c r="A6" s="343" t="s">
        <v>1766</v>
      </c>
      <c r="B6" s="149" t="s">
        <v>1767</v>
      </c>
      <c r="C6" s="125"/>
      <c r="D6" s="125"/>
      <c r="E6" s="126" t="s">
        <v>960</v>
      </c>
      <c r="F6" s="125"/>
    </row>
    <row r="7" spans="1:6" ht="15">
      <c r="A7" s="588">
        <v>1</v>
      </c>
      <c r="B7" s="996">
        <f>IF('T4PS'!E21&gt;0,'T4PS'!E17,"")</f>
      </c>
      <c r="C7" s="996"/>
      <c r="D7" s="126"/>
      <c r="E7" s="611">
        <f>IF('T4PS'!E21&gt;0,'T4PS'!E21,"")</f>
      </c>
      <c r="F7" s="125"/>
    </row>
    <row r="8" spans="1:6" ht="15">
      <c r="A8" s="588">
        <v>2</v>
      </c>
      <c r="B8" s="997">
        <f>IF('T4PS'!F21&gt;0,'T4PS'!F17,"")</f>
      </c>
      <c r="C8" s="997"/>
      <c r="D8" s="126"/>
      <c r="E8" s="612">
        <f>IF('T4PS'!F21&gt;0,'T4PS'!F21,"")</f>
      </c>
      <c r="F8" s="125"/>
    </row>
    <row r="9" spans="1:6" ht="15">
      <c r="A9" s="588">
        <v>3</v>
      </c>
      <c r="B9" s="997">
        <f>IF('T4PS'!G21&gt;0,'T4PS'!G17,"")</f>
      </c>
      <c r="C9" s="997"/>
      <c r="D9" s="126"/>
      <c r="E9" s="612">
        <f>IF('T4PS'!G21&gt;0,'T4PS'!G21,"")</f>
      </c>
      <c r="F9" s="125"/>
    </row>
    <row r="10" spans="1:6" ht="15">
      <c r="A10" s="588">
        <v>4</v>
      </c>
      <c r="B10" s="997">
        <f>IF('T4PS'!H21&gt;0,'T4PS'!H17,"")</f>
      </c>
      <c r="C10" s="997"/>
      <c r="D10" s="126"/>
      <c r="E10" s="612">
        <f>IF('T4PS'!H21&gt;0,'T4PS'!H21,"")</f>
      </c>
      <c r="F10" s="125"/>
    </row>
    <row r="11" spans="1:6" ht="15">
      <c r="A11" s="588">
        <v>5</v>
      </c>
      <c r="B11" s="997">
        <f>IF('T4PS'!I21&gt;0,'T4PS'!I17,"")</f>
      </c>
      <c r="C11" s="997"/>
      <c r="D11" s="126"/>
      <c r="E11" s="612">
        <f>IF('T4PS'!I21&gt;0,'T4PS'!I21,"")</f>
      </c>
      <c r="F11" s="125"/>
    </row>
    <row r="12" spans="1:6" ht="15">
      <c r="A12" s="588">
        <v>6</v>
      </c>
      <c r="B12" s="993"/>
      <c r="C12" s="993"/>
      <c r="D12" s="126"/>
      <c r="E12" s="147"/>
      <c r="F12" s="125"/>
    </row>
    <row r="13" spans="1:6" ht="15">
      <c r="A13" s="588">
        <v>7</v>
      </c>
      <c r="B13" s="993"/>
      <c r="C13" s="993"/>
      <c r="D13" s="126"/>
      <c r="E13" s="147"/>
      <c r="F13" s="125"/>
    </row>
    <row r="14" spans="1:6" ht="15">
      <c r="A14" s="588">
        <v>8</v>
      </c>
      <c r="B14" s="993"/>
      <c r="C14" s="993"/>
      <c r="D14" s="126"/>
      <c r="E14" s="147"/>
      <c r="F14" s="125"/>
    </row>
    <row r="15" spans="1:6" ht="15">
      <c r="A15" s="588">
        <v>9</v>
      </c>
      <c r="B15" s="993"/>
      <c r="C15" s="993"/>
      <c r="D15" s="126"/>
      <c r="E15" s="147"/>
      <c r="F15" s="125"/>
    </row>
    <row r="16" spans="1:6" ht="15">
      <c r="A16" s="588">
        <v>10</v>
      </c>
      <c r="B16" s="993"/>
      <c r="C16" s="993"/>
      <c r="D16" s="126"/>
      <c r="E16" s="147"/>
      <c r="F16" s="125"/>
    </row>
    <row r="17" spans="1:6" ht="15">
      <c r="A17" s="588">
        <v>11</v>
      </c>
      <c r="B17" s="993"/>
      <c r="C17" s="993"/>
      <c r="D17" s="126"/>
      <c r="E17" s="147"/>
      <c r="F17" s="125"/>
    </row>
    <row r="18" spans="1:6" ht="15">
      <c r="A18" s="588">
        <v>12</v>
      </c>
      <c r="B18" s="993"/>
      <c r="C18" s="993"/>
      <c r="D18" s="126"/>
      <c r="E18" s="147"/>
      <c r="F18" s="125"/>
    </row>
    <row r="19" spans="1:6" ht="15">
      <c r="A19" s="588">
        <v>13</v>
      </c>
      <c r="B19" s="993"/>
      <c r="C19" s="993"/>
      <c r="D19" s="126"/>
      <c r="E19" s="147"/>
      <c r="F19" s="125"/>
    </row>
    <row r="20" spans="1:6" ht="15">
      <c r="A20" s="588">
        <v>14</v>
      </c>
      <c r="B20" s="993"/>
      <c r="C20" s="993"/>
      <c r="D20" s="126"/>
      <c r="E20" s="147"/>
      <c r="F20" s="125"/>
    </row>
    <row r="21" spans="1:6" ht="15">
      <c r="A21" s="588">
        <v>15</v>
      </c>
      <c r="B21" s="993"/>
      <c r="C21" s="993"/>
      <c r="D21" s="126"/>
      <c r="E21" s="147"/>
      <c r="F21" s="125"/>
    </row>
    <row r="22" spans="1:6" ht="15">
      <c r="A22" s="588">
        <v>16</v>
      </c>
      <c r="B22" s="993"/>
      <c r="C22" s="993"/>
      <c r="D22" s="126"/>
      <c r="E22" s="147"/>
      <c r="F22" s="125"/>
    </row>
    <row r="23" spans="1:6" ht="15">
      <c r="A23" s="588">
        <v>17</v>
      </c>
      <c r="B23" s="993"/>
      <c r="C23" s="993"/>
      <c r="D23" s="126"/>
      <c r="E23" s="147"/>
      <c r="F23" s="125"/>
    </row>
    <row r="24" spans="1:6" ht="15">
      <c r="A24" s="588">
        <v>18</v>
      </c>
      <c r="B24" s="993"/>
      <c r="C24" s="993"/>
      <c r="D24" s="126"/>
      <c r="E24" s="147"/>
      <c r="F24" s="125"/>
    </row>
    <row r="25" spans="1:6" ht="15">
      <c r="A25" s="588">
        <v>19</v>
      </c>
      <c r="B25" s="993"/>
      <c r="C25" s="993"/>
      <c r="D25" s="126"/>
      <c r="E25" s="147"/>
      <c r="F25" s="125"/>
    </row>
    <row r="26" spans="1:6" ht="15">
      <c r="A26" s="588">
        <v>20</v>
      </c>
      <c r="B26" s="993"/>
      <c r="C26" s="993"/>
      <c r="D26" s="126"/>
      <c r="E26" s="147"/>
      <c r="F26" s="125"/>
    </row>
    <row r="27" spans="1:6" ht="15">
      <c r="A27" s="588">
        <v>21</v>
      </c>
      <c r="B27" s="993"/>
      <c r="C27" s="993"/>
      <c r="D27" s="126"/>
      <c r="E27" s="147"/>
      <c r="F27" s="125"/>
    </row>
    <row r="28" spans="1:6" ht="15">
      <c r="A28" s="588">
        <v>22</v>
      </c>
      <c r="B28" s="993"/>
      <c r="C28" s="993"/>
      <c r="D28" s="126"/>
      <c r="E28" s="147"/>
      <c r="F28" s="125"/>
    </row>
    <row r="29" spans="1:6" ht="15">
      <c r="A29" s="588">
        <v>23</v>
      </c>
      <c r="B29" s="993"/>
      <c r="C29" s="993"/>
      <c r="D29" s="126"/>
      <c r="E29" s="147"/>
      <c r="F29" s="125"/>
    </row>
    <row r="30" spans="1:6" ht="15">
      <c r="A30" s="588">
        <v>24</v>
      </c>
      <c r="B30" s="993"/>
      <c r="C30" s="993"/>
      <c r="D30" s="126"/>
      <c r="E30" s="147"/>
      <c r="F30" s="125"/>
    </row>
    <row r="31" spans="1:6" ht="15">
      <c r="A31" s="588">
        <v>25</v>
      </c>
      <c r="B31" s="993"/>
      <c r="C31" s="993"/>
      <c r="D31" s="126"/>
      <c r="E31" s="147"/>
      <c r="F31" s="125"/>
    </row>
    <row r="32" spans="1:6" ht="15">
      <c r="A32" s="588"/>
      <c r="B32" s="782"/>
      <c r="C32" s="782"/>
      <c r="D32" s="346">
        <v>120</v>
      </c>
      <c r="E32" s="162">
        <f>SUM(E7:E31)</f>
        <v>0</v>
      </c>
      <c r="F32" s="125"/>
    </row>
    <row r="33" spans="1:6" ht="22.5" customHeight="1">
      <c r="A33" s="343" t="s">
        <v>1768</v>
      </c>
      <c r="B33" s="149" t="s">
        <v>1770</v>
      </c>
      <c r="C33" s="125"/>
      <c r="D33" s="126"/>
      <c r="E33" s="125"/>
      <c r="F33" s="125"/>
    </row>
    <row r="34" spans="1:6" ht="15">
      <c r="A34" s="344"/>
      <c r="B34" s="125" t="s">
        <v>1987</v>
      </c>
      <c r="C34" s="780"/>
      <c r="D34" s="126"/>
      <c r="E34" s="158"/>
      <c r="F34" s="125"/>
    </row>
    <row r="35" spans="1:6" ht="15">
      <c r="A35" s="344"/>
      <c r="B35" s="994"/>
      <c r="C35" s="994"/>
      <c r="D35" s="126"/>
      <c r="E35" s="147"/>
      <c r="F35" s="125"/>
    </row>
    <row r="36" spans="1:6" ht="15">
      <c r="A36" s="344"/>
      <c r="B36" s="994" t="s">
        <v>1313</v>
      </c>
      <c r="C36" s="994"/>
      <c r="D36" s="126"/>
      <c r="E36" s="147"/>
      <c r="F36" s="125"/>
    </row>
    <row r="37" spans="1:6" ht="15">
      <c r="A37" s="344"/>
      <c r="B37" s="994"/>
      <c r="C37" s="994"/>
      <c r="D37" s="126"/>
      <c r="E37" s="147"/>
      <c r="F37" s="125"/>
    </row>
    <row r="38" spans="1:6" ht="15">
      <c r="A38" s="344"/>
      <c r="B38" s="994"/>
      <c r="C38" s="994"/>
      <c r="D38" s="126"/>
      <c r="E38" s="147"/>
      <c r="F38" s="125"/>
    </row>
    <row r="39" spans="1:6" ht="15">
      <c r="A39" s="344"/>
      <c r="B39" s="994"/>
      <c r="C39" s="994"/>
      <c r="D39" s="126"/>
      <c r="E39" s="147"/>
      <c r="F39" s="125"/>
    </row>
    <row r="40" spans="1:6" ht="15">
      <c r="A40" s="344"/>
      <c r="B40" s="123" t="s">
        <v>504</v>
      </c>
      <c r="C40" s="780"/>
      <c r="D40" s="126"/>
      <c r="E40" s="147"/>
      <c r="F40" s="125"/>
    </row>
    <row r="41" spans="1:6" ht="15">
      <c r="A41" s="344"/>
      <c r="B41" s="995"/>
      <c r="C41" s="995"/>
      <c r="D41" s="126"/>
      <c r="E41" s="147"/>
      <c r="F41" s="125"/>
    </row>
    <row r="42" spans="1:6" ht="15">
      <c r="A42" s="344"/>
      <c r="B42" s="995"/>
      <c r="C42" s="995"/>
      <c r="D42" s="126"/>
      <c r="E42" s="147"/>
      <c r="F42" s="125"/>
    </row>
    <row r="43" spans="1:6" ht="15">
      <c r="A43" s="344"/>
      <c r="B43" s="995"/>
      <c r="C43" s="995"/>
      <c r="D43" s="126"/>
      <c r="E43" s="147"/>
      <c r="F43" s="125"/>
    </row>
    <row r="44" spans="1:6" ht="15">
      <c r="A44" s="344"/>
      <c r="B44" s="122"/>
      <c r="C44" s="143" t="s">
        <v>505</v>
      </c>
      <c r="D44" s="346">
        <v>121</v>
      </c>
      <c r="E44" s="162">
        <f>SUM(E34:E43)</f>
        <v>0</v>
      </c>
      <c r="F44" s="125"/>
    </row>
    <row r="45" spans="1:6" ht="22.5" customHeight="1">
      <c r="A45" s="343" t="s">
        <v>1769</v>
      </c>
      <c r="B45" s="149" t="s">
        <v>1771</v>
      </c>
      <c r="C45" s="125"/>
      <c r="D45" s="126"/>
      <c r="E45" s="125"/>
      <c r="F45" s="125"/>
    </row>
    <row r="46" spans="1:6" ht="15">
      <c r="A46" s="344"/>
      <c r="B46" s="994"/>
      <c r="C46" s="994"/>
      <c r="D46" s="126"/>
      <c r="E46" s="158"/>
      <c r="F46" s="125"/>
    </row>
    <row r="47" spans="1:6" ht="15">
      <c r="A47" s="344"/>
      <c r="B47" s="994"/>
      <c r="C47" s="994"/>
      <c r="D47" s="126"/>
      <c r="E47" s="158"/>
      <c r="F47" s="125"/>
    </row>
    <row r="48" spans="1:6" ht="15">
      <c r="A48" s="344"/>
      <c r="B48" s="994"/>
      <c r="C48" s="994"/>
      <c r="D48" s="126"/>
      <c r="E48" s="158"/>
      <c r="F48" s="125"/>
    </row>
    <row r="49" spans="1:6" ht="15">
      <c r="A49" s="344"/>
      <c r="B49" s="994"/>
      <c r="C49" s="994"/>
      <c r="D49" s="126"/>
      <c r="E49" s="158"/>
      <c r="F49" s="125"/>
    </row>
    <row r="50" spans="1:6" ht="15">
      <c r="A50" s="344"/>
      <c r="B50" s="994"/>
      <c r="C50" s="994"/>
      <c r="D50" s="126"/>
      <c r="E50" s="158"/>
      <c r="F50" s="125"/>
    </row>
    <row r="51" spans="1:6" ht="15">
      <c r="A51" s="344"/>
      <c r="B51" s="994"/>
      <c r="C51" s="994"/>
      <c r="D51" s="126"/>
      <c r="E51" s="158"/>
      <c r="F51" s="125"/>
    </row>
    <row r="52" spans="1:6" ht="15">
      <c r="A52" s="344"/>
      <c r="B52" s="994"/>
      <c r="C52" s="994"/>
      <c r="D52" s="126"/>
      <c r="E52" s="147"/>
      <c r="F52" s="125"/>
    </row>
    <row r="53" spans="1:6" ht="15">
      <c r="A53" s="344"/>
      <c r="B53" s="256"/>
      <c r="C53" s="265" t="s">
        <v>506</v>
      </c>
      <c r="D53" s="346">
        <v>122</v>
      </c>
      <c r="E53" s="162">
        <f>SUM(E46:E52)</f>
        <v>0</v>
      </c>
      <c r="F53" s="125"/>
    </row>
    <row r="54" spans="1:6" ht="21.75" customHeight="1">
      <c r="A54" s="343" t="s">
        <v>573</v>
      </c>
      <c r="B54" s="149" t="s">
        <v>611</v>
      </c>
      <c r="C54" s="125"/>
      <c r="D54" s="126"/>
      <c r="E54" s="125"/>
      <c r="F54" s="125"/>
    </row>
    <row r="55" spans="1:6" ht="15.75" customHeight="1">
      <c r="A55" s="344"/>
      <c r="B55" s="122" t="s">
        <v>1381</v>
      </c>
      <c r="C55" s="780"/>
      <c r="D55" s="126"/>
      <c r="E55" s="158"/>
      <c r="F55" s="125"/>
    </row>
    <row r="56" spans="1:6" ht="15.75" customHeight="1">
      <c r="A56" s="344"/>
      <c r="B56" s="122" t="s">
        <v>1381</v>
      </c>
      <c r="C56" s="780"/>
      <c r="D56" s="126"/>
      <c r="E56" s="158"/>
      <c r="F56" s="125"/>
    </row>
    <row r="57" spans="1:6" ht="15.75" customHeight="1">
      <c r="A57" s="344"/>
      <c r="B57" s="123" t="s">
        <v>1382</v>
      </c>
      <c r="C57" s="780"/>
      <c r="D57" s="126"/>
      <c r="E57" s="158"/>
      <c r="F57" s="125"/>
    </row>
    <row r="58" spans="1:6" ht="15">
      <c r="A58" s="344"/>
      <c r="B58" s="123" t="s">
        <v>1382</v>
      </c>
      <c r="C58" s="780"/>
      <c r="D58" s="126"/>
      <c r="E58" s="147"/>
      <c r="F58" s="125"/>
    </row>
    <row r="59" spans="1:6" ht="15">
      <c r="A59" s="344"/>
      <c r="B59" s="130"/>
      <c r="C59" s="266" t="s">
        <v>1383</v>
      </c>
      <c r="D59" s="346">
        <v>221</v>
      </c>
      <c r="E59" s="162">
        <f>SUM(E55:E58)</f>
        <v>0</v>
      </c>
      <c r="F59" s="125"/>
    </row>
    <row r="60" spans="1:6" ht="22.5" customHeight="1">
      <c r="A60" s="343" t="s">
        <v>612</v>
      </c>
      <c r="B60" s="151" t="s">
        <v>614</v>
      </c>
      <c r="C60" s="307"/>
      <c r="D60" s="126"/>
      <c r="E60" s="125"/>
      <c r="F60" s="125"/>
    </row>
    <row r="61" spans="1:6" ht="15">
      <c r="A61" s="344"/>
      <c r="B61" s="122"/>
      <c r="C61" s="143" t="s">
        <v>616</v>
      </c>
      <c r="D61" s="347" t="s">
        <v>615</v>
      </c>
      <c r="E61" s="158"/>
      <c r="F61" s="125"/>
    </row>
    <row r="62" spans="1:6" ht="23.25" customHeight="1">
      <c r="A62" s="343" t="s">
        <v>613</v>
      </c>
      <c r="B62" s="345" t="s">
        <v>617</v>
      </c>
      <c r="C62" s="781"/>
      <c r="D62" s="126"/>
      <c r="E62" s="158"/>
      <c r="F62" s="125"/>
    </row>
    <row r="63" spans="1:6" ht="23.25" customHeight="1">
      <c r="A63" s="343"/>
      <c r="B63" s="140" t="s">
        <v>561</v>
      </c>
      <c r="C63" s="779"/>
      <c r="D63" s="126"/>
      <c r="E63" s="158"/>
      <c r="F63" s="125"/>
    </row>
    <row r="64" spans="1:6" ht="15">
      <c r="A64" s="344"/>
      <c r="B64" s="125"/>
      <c r="C64" s="126" t="s">
        <v>618</v>
      </c>
      <c r="D64" s="346">
        <v>232</v>
      </c>
      <c r="E64" s="162">
        <f>SUM(E62:E63)</f>
        <v>0</v>
      </c>
      <c r="F64" s="125"/>
    </row>
    <row r="65" spans="1:6" ht="15">
      <c r="A65" s="344"/>
      <c r="B65" s="125"/>
      <c r="C65" s="125"/>
      <c r="D65" s="125"/>
      <c r="E65" s="125"/>
      <c r="F65" s="125"/>
    </row>
    <row r="66" spans="1:6" ht="15">
      <c r="A66" s="344"/>
      <c r="B66" s="125" t="s">
        <v>1384</v>
      </c>
      <c r="C66" s="108"/>
      <c r="D66" s="108"/>
      <c r="E66" s="108" t="s">
        <v>463</v>
      </c>
      <c r="F66" s="125" t="s">
        <v>1580</v>
      </c>
    </row>
    <row r="67" spans="1:6" ht="15">
      <c r="A67" s="344"/>
      <c r="B67" s="125"/>
      <c r="C67" s="125"/>
      <c r="D67" s="125"/>
      <c r="E67" s="125" t="s">
        <v>1364</v>
      </c>
      <c r="F67" s="125"/>
    </row>
  </sheetData>
  <sheetProtection password="EC35" sheet="1" objects="1" scenarios="1"/>
  <mergeCells count="40">
    <mergeCell ref="B16:C16"/>
    <mergeCell ref="B17:C17"/>
    <mergeCell ref="B42:C42"/>
    <mergeCell ref="B43:C43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6:C36"/>
    <mergeCell ref="B37:C37"/>
    <mergeCell ref="B35:C35"/>
    <mergeCell ref="B38:C38"/>
    <mergeCell ref="B11:C11"/>
    <mergeCell ref="B12:C12"/>
    <mergeCell ref="B13:C13"/>
    <mergeCell ref="B14:C14"/>
    <mergeCell ref="B7:C7"/>
    <mergeCell ref="B8:C8"/>
    <mergeCell ref="B9:C9"/>
    <mergeCell ref="B10:C10"/>
    <mergeCell ref="B15:C15"/>
    <mergeCell ref="B50:C50"/>
    <mergeCell ref="B51:C51"/>
    <mergeCell ref="B52:C52"/>
    <mergeCell ref="B46:C46"/>
    <mergeCell ref="B47:C47"/>
    <mergeCell ref="B48:C48"/>
    <mergeCell ref="B49:C49"/>
    <mergeCell ref="B39:C39"/>
    <mergeCell ref="B41:C41"/>
  </mergeCells>
  <printOptions horizontalCentered="1"/>
  <pageMargins left="0.5118110236220472" right="0.5118110236220472" top="0.5118110236220472" bottom="0.5118110236220472" header="0.5118110236220472" footer="0.5118110236220472"/>
  <pageSetup fitToHeight="1" fitToWidth="1" horizontalDpi="600" verticalDpi="600" orientation="portrait" scale="73" r:id="rId2"/>
  <rowBreaks count="1" manualBreakCount="1">
    <brk id="63" max="6553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 transitionEvaluation="1">
    <pageSetUpPr fitToPage="1"/>
  </sheetPr>
  <dimension ref="A1:G38"/>
  <sheetViews>
    <sheetView showGridLines="0" showRowColHeaders="0" zoomScale="70" zoomScaleNormal="70" workbookViewId="0" topLeftCell="A1">
      <selection activeCell="B1" sqref="B1"/>
    </sheetView>
  </sheetViews>
  <sheetFormatPr defaultColWidth="9.77734375" defaultRowHeight="15"/>
  <cols>
    <col min="1" max="1" width="10.77734375" style="0" customWidth="1"/>
    <col min="2" max="2" width="25.77734375" style="0" customWidth="1"/>
    <col min="3" max="3" width="14.77734375" style="0" customWidth="1"/>
    <col min="4" max="5" width="12.77734375" style="0" customWidth="1"/>
    <col min="6" max="6" width="25.77734375" style="0" customWidth="1"/>
    <col min="7" max="7" width="14.77734375" style="0" customWidth="1"/>
    <col min="8" max="8" width="15.77734375" style="0" customWidth="1"/>
    <col min="9" max="9" width="11.77734375" style="0" customWidth="1"/>
  </cols>
  <sheetData>
    <row r="1" spans="1:7" ht="23.25">
      <c r="A1" s="234" t="s">
        <v>390</v>
      </c>
      <c r="B1" s="298"/>
      <c r="C1" s="234" t="s">
        <v>1385</v>
      </c>
      <c r="D1" s="298"/>
      <c r="E1" s="298"/>
      <c r="F1" s="298"/>
      <c r="G1" s="299" t="s">
        <v>1536</v>
      </c>
    </row>
    <row r="2" spans="1:7" ht="15">
      <c r="A2" s="125"/>
      <c r="B2" s="125"/>
      <c r="C2" s="125"/>
      <c r="D2" s="125"/>
      <c r="E2" s="125"/>
      <c r="F2" s="125"/>
      <c r="G2" s="125"/>
    </row>
    <row r="3" spans="1:7" ht="15">
      <c r="A3" s="125"/>
      <c r="B3" s="125"/>
      <c r="C3" s="125"/>
      <c r="D3" s="125"/>
      <c r="E3" s="125"/>
      <c r="F3" s="125"/>
      <c r="G3" s="125"/>
    </row>
    <row r="4" spans="1:7" ht="15">
      <c r="A4" s="125" t="s">
        <v>749</v>
      </c>
      <c r="B4" s="125"/>
      <c r="C4" s="125"/>
      <c r="D4" s="125"/>
      <c r="E4" s="125"/>
      <c r="F4" s="125"/>
      <c r="G4" s="125"/>
    </row>
    <row r="5" spans="1:7" ht="15">
      <c r="A5" s="125" t="s">
        <v>740</v>
      </c>
      <c r="B5" s="125"/>
      <c r="C5" s="125"/>
      <c r="D5" s="125"/>
      <c r="E5" s="125"/>
      <c r="F5" s="125"/>
      <c r="G5" s="125"/>
    </row>
    <row r="6" spans="1:7" ht="15">
      <c r="A6" s="125"/>
      <c r="B6" s="125"/>
      <c r="C6" s="125"/>
      <c r="D6" s="125"/>
      <c r="E6" s="125"/>
      <c r="F6" s="125"/>
      <c r="G6" s="125"/>
    </row>
    <row r="7" spans="1:7" ht="15">
      <c r="A7" s="125" t="s">
        <v>741</v>
      </c>
      <c r="B7" s="125"/>
      <c r="C7" s="125"/>
      <c r="D7" s="125"/>
      <c r="E7" s="125"/>
      <c r="F7" s="125"/>
      <c r="G7" s="125"/>
    </row>
    <row r="8" spans="1:7" ht="15">
      <c r="A8" s="348"/>
      <c r="B8" s="125"/>
      <c r="C8" s="125"/>
      <c r="D8" s="125"/>
      <c r="E8" s="125"/>
      <c r="F8" s="125"/>
      <c r="G8" s="125"/>
    </row>
    <row r="9" spans="1:7" ht="18">
      <c r="A9" s="349" t="s">
        <v>742</v>
      </c>
      <c r="B9" s="149" t="s">
        <v>837</v>
      </c>
      <c r="C9" s="125"/>
      <c r="D9" s="125"/>
      <c r="E9" s="125"/>
      <c r="F9" s="125"/>
      <c r="G9" s="125"/>
    </row>
    <row r="10" spans="1:7" ht="15">
      <c r="A10" s="348"/>
      <c r="B10" s="125"/>
      <c r="C10" s="125"/>
      <c r="D10" s="157" t="s">
        <v>1758</v>
      </c>
      <c r="E10" s="125"/>
      <c r="F10" s="125"/>
      <c r="G10" s="125"/>
    </row>
    <row r="11" spans="1:7" ht="15">
      <c r="A11" s="446" t="s">
        <v>464</v>
      </c>
      <c r="B11" s="125"/>
      <c r="C11" s="125"/>
      <c r="D11" s="110"/>
      <c r="E11" s="125"/>
      <c r="F11" s="125"/>
      <c r="G11" s="125"/>
    </row>
    <row r="12" spans="1:7" ht="15">
      <c r="A12" s="348" t="s">
        <v>815</v>
      </c>
      <c r="B12" s="125"/>
      <c r="C12" s="125"/>
      <c r="D12" s="125"/>
      <c r="E12" s="125"/>
      <c r="F12" s="125"/>
      <c r="G12" s="125"/>
    </row>
    <row r="13" spans="1:7" ht="15">
      <c r="A13" s="348"/>
      <c r="B13" s="125"/>
      <c r="C13" s="125"/>
      <c r="D13" s="125"/>
      <c r="E13" s="125"/>
      <c r="F13" s="125"/>
      <c r="G13" s="125"/>
    </row>
    <row r="14" spans="1:7" ht="15">
      <c r="A14" s="351" t="s">
        <v>751</v>
      </c>
      <c r="B14" s="352"/>
      <c r="C14" s="355" t="s">
        <v>752</v>
      </c>
      <c r="D14" s="355" t="s">
        <v>753</v>
      </c>
      <c r="E14" s="355" t="s">
        <v>603</v>
      </c>
      <c r="F14" s="355" t="s">
        <v>754</v>
      </c>
      <c r="G14" s="328" t="s">
        <v>755</v>
      </c>
    </row>
    <row r="15" spans="1:7" ht="15">
      <c r="A15" s="350" t="s">
        <v>756</v>
      </c>
      <c r="B15" s="352"/>
      <c r="C15" s="356" t="s">
        <v>757</v>
      </c>
      <c r="D15" s="356" t="s">
        <v>758</v>
      </c>
      <c r="E15" s="356" t="s">
        <v>1076</v>
      </c>
      <c r="F15" s="356" t="s">
        <v>759</v>
      </c>
      <c r="G15" s="362"/>
    </row>
    <row r="16" spans="1:7" ht="15">
      <c r="A16" s="350" t="s">
        <v>760</v>
      </c>
      <c r="B16" s="354"/>
      <c r="C16" s="356" t="s">
        <v>750</v>
      </c>
      <c r="D16" s="357"/>
      <c r="E16" s="357"/>
      <c r="F16" s="357"/>
      <c r="G16" s="245"/>
    </row>
    <row r="17" spans="1:7" ht="24.75" customHeight="1">
      <c r="A17" s="984"/>
      <c r="B17" s="998"/>
      <c r="C17" s="109"/>
      <c r="D17" s="358"/>
      <c r="E17" s="361"/>
      <c r="F17" s="332"/>
      <c r="G17" s="361"/>
    </row>
    <row r="18" spans="1:7" ht="15">
      <c r="A18" s="348"/>
      <c r="B18" s="125"/>
      <c r="C18" s="125"/>
      <c r="D18" s="125"/>
      <c r="E18" s="125"/>
      <c r="F18" s="125"/>
      <c r="G18" s="125"/>
    </row>
    <row r="19" spans="1:7" ht="15">
      <c r="A19" s="348"/>
      <c r="B19" s="125"/>
      <c r="C19" s="125"/>
      <c r="D19" s="125"/>
      <c r="E19" s="125"/>
      <c r="F19" s="125"/>
      <c r="G19" s="125"/>
    </row>
    <row r="20" spans="1:7" ht="18">
      <c r="A20" s="349" t="s">
        <v>761</v>
      </c>
      <c r="B20" s="125"/>
      <c r="C20" s="125"/>
      <c r="D20" s="125"/>
      <c r="E20" s="125"/>
      <c r="F20" s="125"/>
      <c r="G20" s="125"/>
    </row>
    <row r="21" spans="1:7" ht="15">
      <c r="A21" s="348"/>
      <c r="B21" s="125"/>
      <c r="C21" s="125"/>
      <c r="D21" s="125"/>
      <c r="E21" s="125"/>
      <c r="F21" s="125"/>
      <c r="G21" s="125"/>
    </row>
    <row r="22" spans="1:7" ht="15">
      <c r="A22" s="351" t="s">
        <v>751</v>
      </c>
      <c r="B22" s="352"/>
      <c r="C22" s="355" t="s">
        <v>752</v>
      </c>
      <c r="D22" s="355" t="s">
        <v>753</v>
      </c>
      <c r="E22" s="355" t="s">
        <v>603</v>
      </c>
      <c r="F22" s="355" t="s">
        <v>754</v>
      </c>
      <c r="G22" s="328" t="s">
        <v>755</v>
      </c>
    </row>
    <row r="23" spans="1:7" ht="15">
      <c r="A23" s="350" t="s">
        <v>756</v>
      </c>
      <c r="B23" s="353"/>
      <c r="C23" s="356" t="s">
        <v>757</v>
      </c>
      <c r="D23" s="356" t="s">
        <v>758</v>
      </c>
      <c r="E23" s="356" t="s">
        <v>1076</v>
      </c>
      <c r="F23" s="356" t="s">
        <v>759</v>
      </c>
      <c r="G23" s="362"/>
    </row>
    <row r="24" spans="1:7" ht="15">
      <c r="A24" s="350" t="s">
        <v>760</v>
      </c>
      <c r="B24" s="354"/>
      <c r="C24" s="356" t="s">
        <v>750</v>
      </c>
      <c r="D24" s="359"/>
      <c r="E24" s="359"/>
      <c r="F24" s="359"/>
      <c r="G24" s="240"/>
    </row>
    <row r="25" spans="1:7" ht="24.75" customHeight="1">
      <c r="A25" s="984"/>
      <c r="B25" s="998"/>
      <c r="C25" s="109"/>
      <c r="D25" s="360"/>
      <c r="E25" s="361"/>
      <c r="F25" s="323"/>
      <c r="G25" s="361"/>
    </row>
    <row r="26" spans="1:7" ht="15">
      <c r="A26" s="348"/>
      <c r="B26" s="125"/>
      <c r="C26" s="125"/>
      <c r="D26" s="125"/>
      <c r="E26" s="125"/>
      <c r="F26" s="125"/>
      <c r="G26" s="125"/>
    </row>
    <row r="27" spans="1:7" ht="15">
      <c r="A27" s="348"/>
      <c r="B27" s="125"/>
      <c r="C27" s="125"/>
      <c r="D27" s="125"/>
      <c r="E27" s="125"/>
      <c r="F27" s="125"/>
      <c r="G27" s="125"/>
    </row>
    <row r="28" spans="1:7" ht="18">
      <c r="A28" s="349" t="s">
        <v>762</v>
      </c>
      <c r="B28" s="125"/>
      <c r="C28" s="125"/>
      <c r="D28" s="125"/>
      <c r="E28" s="125"/>
      <c r="F28" s="125"/>
      <c r="G28" s="125"/>
    </row>
    <row r="29" spans="1:7" ht="15">
      <c r="A29" s="348"/>
      <c r="B29" s="125"/>
      <c r="C29" s="125"/>
      <c r="D29" s="125"/>
      <c r="E29" s="125"/>
      <c r="F29" s="125"/>
      <c r="G29" s="125"/>
    </row>
    <row r="30" spans="1:7" ht="15">
      <c r="A30" s="351" t="s">
        <v>751</v>
      </c>
      <c r="B30" s="352"/>
      <c r="C30" s="355" t="s">
        <v>752</v>
      </c>
      <c r="D30" s="355" t="s">
        <v>753</v>
      </c>
      <c r="E30" s="355" t="s">
        <v>603</v>
      </c>
      <c r="F30" s="355" t="s">
        <v>754</v>
      </c>
      <c r="G30" s="328" t="s">
        <v>755</v>
      </c>
    </row>
    <row r="31" spans="1:7" ht="15">
      <c r="A31" s="350" t="s">
        <v>756</v>
      </c>
      <c r="B31" s="353"/>
      <c r="C31" s="356" t="s">
        <v>757</v>
      </c>
      <c r="D31" s="356" t="s">
        <v>758</v>
      </c>
      <c r="E31" s="356" t="s">
        <v>1076</v>
      </c>
      <c r="F31" s="356" t="s">
        <v>759</v>
      </c>
      <c r="G31" s="362"/>
    </row>
    <row r="32" spans="1:7" ht="15">
      <c r="A32" s="350" t="s">
        <v>760</v>
      </c>
      <c r="B32" s="354"/>
      <c r="C32" s="356" t="s">
        <v>750</v>
      </c>
      <c r="D32" s="359"/>
      <c r="E32" s="359"/>
      <c r="F32" s="359"/>
      <c r="G32" s="240"/>
    </row>
    <row r="33" spans="1:7" ht="24.75" customHeight="1">
      <c r="A33" s="984"/>
      <c r="B33" s="998"/>
      <c r="C33" s="109"/>
      <c r="D33" s="360"/>
      <c r="E33" s="361"/>
      <c r="F33" s="323"/>
      <c r="G33" s="361"/>
    </row>
    <row r="34" spans="1:7" ht="15">
      <c r="A34" s="348"/>
      <c r="B34" s="125"/>
      <c r="C34" s="125"/>
      <c r="D34" s="125"/>
      <c r="E34" s="125"/>
      <c r="F34" s="125"/>
      <c r="G34" s="125"/>
    </row>
    <row r="35" spans="1:7" ht="15">
      <c r="A35" s="125" t="s">
        <v>763</v>
      </c>
      <c r="B35" s="125"/>
      <c r="C35" s="125"/>
      <c r="D35" s="125"/>
      <c r="E35" s="125"/>
      <c r="F35" s="125"/>
      <c r="G35" s="125"/>
    </row>
    <row r="36" spans="1:7" ht="15">
      <c r="A36" s="125"/>
      <c r="B36" s="125"/>
      <c r="C36" s="125"/>
      <c r="D36" s="125"/>
      <c r="E36" s="125"/>
      <c r="F36" s="125"/>
      <c r="G36" s="125"/>
    </row>
    <row r="37" spans="1:7" ht="15">
      <c r="A37" s="125" t="s">
        <v>764</v>
      </c>
      <c r="B37" s="125"/>
      <c r="C37" s="125"/>
      <c r="D37" s="125"/>
      <c r="E37" s="125"/>
      <c r="F37" s="125"/>
      <c r="G37" s="125"/>
    </row>
    <row r="38" spans="1:7" ht="15">
      <c r="A38" s="125"/>
      <c r="B38" s="125"/>
      <c r="C38" s="125"/>
      <c r="D38" s="125"/>
      <c r="E38" s="125"/>
      <c r="F38" s="125"/>
      <c r="G38" s="125"/>
    </row>
  </sheetData>
  <sheetProtection password="EC35" sheet="1" objects="1" scenarios="1"/>
  <mergeCells count="3">
    <mergeCell ref="A17:B17"/>
    <mergeCell ref="A25:B25"/>
    <mergeCell ref="A33:B33"/>
  </mergeCells>
  <printOptions horizontalCentered="1"/>
  <pageMargins left="0.5118110236220472" right="0.5118110236220472" top="0.5118110236220472" bottom="0.5118110236220472" header="0.5118110236220472" footer="0.5118110236220472"/>
  <pageSetup fitToHeight="0" fitToWidth="1" horizontalDpi="600" verticalDpi="600" orientation="portrait" scale="68" r:id="rId2"/>
  <rowBreaks count="1" manualBreakCount="1">
    <brk id="30" max="6553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 transitionEvaluation="1">
    <pageSetUpPr fitToPage="1"/>
  </sheetPr>
  <dimension ref="A1:J56"/>
  <sheetViews>
    <sheetView showGridLines="0" showRowColHeaders="0" zoomScale="70" zoomScaleNormal="70" workbookViewId="0" topLeftCell="A1">
      <selection activeCell="B1" sqref="B1"/>
    </sheetView>
  </sheetViews>
  <sheetFormatPr defaultColWidth="9.77734375" defaultRowHeight="15"/>
  <cols>
    <col min="1" max="1" width="32.77734375" style="0" customWidth="1"/>
    <col min="2" max="2" width="5.77734375" style="0" customWidth="1"/>
    <col min="3" max="3" width="12.77734375" style="0" customWidth="1"/>
    <col min="4" max="4" width="5.77734375" style="0" customWidth="1"/>
    <col min="5" max="5" width="12.77734375" style="0" customWidth="1"/>
    <col min="6" max="6" width="5.77734375" style="0" customWidth="1"/>
    <col min="7" max="7" width="12.77734375" style="0" customWidth="1"/>
    <col min="8" max="8" width="5.77734375" style="0" customWidth="1"/>
    <col min="9" max="9" width="12.77734375" style="0" customWidth="1"/>
    <col min="10" max="10" width="5.77734375" style="0" customWidth="1"/>
  </cols>
  <sheetData>
    <row r="1" spans="1:10" ht="18">
      <c r="A1" s="137" t="s">
        <v>390</v>
      </c>
      <c r="B1" s="125"/>
      <c r="C1" s="125"/>
      <c r="D1" s="174" t="s">
        <v>765</v>
      </c>
      <c r="E1" s="125"/>
      <c r="F1" s="125"/>
      <c r="G1" s="125"/>
      <c r="H1" s="125"/>
      <c r="I1" s="125"/>
      <c r="J1" s="168" t="s">
        <v>0</v>
      </c>
    </row>
    <row r="2" spans="1:10" ht="18">
      <c r="A2" s="125"/>
      <c r="B2" s="125"/>
      <c r="C2" s="125"/>
      <c r="D2" s="174" t="s">
        <v>1663</v>
      </c>
      <c r="E2" s="125"/>
      <c r="F2" s="125"/>
      <c r="G2" s="125"/>
      <c r="H2" s="125"/>
      <c r="I2" s="125"/>
      <c r="J2" s="125"/>
    </row>
    <row r="3" spans="1:10" ht="15">
      <c r="A3" s="125"/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5.75">
      <c r="A4" s="125" t="s">
        <v>1664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ht="15">
      <c r="A5" s="125" t="s">
        <v>1722</v>
      </c>
      <c r="B5" s="125"/>
      <c r="C5" s="125"/>
      <c r="D5" s="125"/>
      <c r="E5" s="125"/>
      <c r="F5" s="125"/>
      <c r="G5" s="125"/>
      <c r="H5" s="125"/>
      <c r="I5" s="125"/>
      <c r="J5" s="125"/>
    </row>
    <row r="6" spans="1:10" ht="15">
      <c r="A6" s="125" t="s">
        <v>1410</v>
      </c>
      <c r="B6" s="125"/>
      <c r="C6" s="125"/>
      <c r="D6" s="125"/>
      <c r="E6" s="125"/>
      <c r="F6" s="125"/>
      <c r="G6" s="125"/>
      <c r="H6" s="125"/>
      <c r="I6" s="125"/>
      <c r="J6" s="125"/>
    </row>
    <row r="7" spans="1:10" ht="15.75">
      <c r="A7" s="125" t="s">
        <v>1100</v>
      </c>
      <c r="B7" s="125"/>
      <c r="C7" s="125"/>
      <c r="D7" s="125"/>
      <c r="E7" s="125"/>
      <c r="F7" s="125"/>
      <c r="G7" s="125"/>
      <c r="H7" s="125"/>
      <c r="I7" s="125"/>
      <c r="J7" s="125"/>
    </row>
    <row r="8" spans="1:10" ht="15">
      <c r="A8" s="125" t="s">
        <v>1665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0" ht="15">
      <c r="A9" s="125" t="s">
        <v>1654</v>
      </c>
      <c r="B9" s="125"/>
      <c r="C9" s="125"/>
      <c r="D9" s="125"/>
      <c r="E9" s="125"/>
      <c r="F9" s="125"/>
      <c r="G9" s="125"/>
      <c r="H9" s="125"/>
      <c r="I9" s="125"/>
      <c r="J9" s="125"/>
    </row>
    <row r="10" spans="1:10" ht="15">
      <c r="A10" s="125" t="s">
        <v>1666</v>
      </c>
      <c r="B10" s="125"/>
      <c r="C10" s="125"/>
      <c r="D10" s="125"/>
      <c r="E10" s="125"/>
      <c r="F10" s="125"/>
      <c r="G10" s="125"/>
      <c r="H10" s="125"/>
      <c r="I10" s="125"/>
      <c r="J10" s="125"/>
    </row>
    <row r="11" spans="1:10" ht="15">
      <c r="A11" s="125" t="s">
        <v>962</v>
      </c>
      <c r="B11" s="125"/>
      <c r="C11" s="125"/>
      <c r="D11" s="125"/>
      <c r="E11" s="125"/>
      <c r="F11" s="125"/>
      <c r="G11" s="125"/>
      <c r="H11" s="125"/>
      <c r="I11" s="125"/>
      <c r="J11" s="125"/>
    </row>
    <row r="12" spans="1:10" ht="15">
      <c r="A12" s="125"/>
      <c r="B12" s="125"/>
      <c r="C12" s="125"/>
      <c r="D12" s="125"/>
      <c r="E12" s="125"/>
      <c r="F12" s="125"/>
      <c r="G12" s="125"/>
      <c r="H12" s="125"/>
      <c r="I12" s="125"/>
      <c r="J12" s="125"/>
    </row>
    <row r="13" spans="1:10" ht="15.75">
      <c r="A13" s="149" t="s">
        <v>233</v>
      </c>
      <c r="B13" s="125"/>
      <c r="C13" s="125"/>
      <c r="D13" s="125"/>
      <c r="E13" s="125"/>
      <c r="F13" s="125"/>
      <c r="G13" s="125"/>
      <c r="H13" s="125"/>
      <c r="I13" s="125"/>
      <c r="J13" s="125"/>
    </row>
    <row r="14" spans="1:10" ht="15.75">
      <c r="A14" s="149" t="s">
        <v>234</v>
      </c>
      <c r="B14" s="125"/>
      <c r="C14" s="125"/>
      <c r="D14" s="125"/>
      <c r="E14" s="158"/>
      <c r="F14" s="125"/>
      <c r="G14" s="125"/>
      <c r="H14" s="125"/>
      <c r="I14" s="125"/>
      <c r="J14" s="126" t="s">
        <v>1667</v>
      </c>
    </row>
    <row r="15" spans="1:10" ht="15">
      <c r="A15" s="125"/>
      <c r="B15" s="125"/>
      <c r="C15" s="125"/>
      <c r="D15" s="125"/>
      <c r="E15" s="125"/>
      <c r="F15" s="125"/>
      <c r="G15" s="157"/>
      <c r="H15" s="125"/>
      <c r="I15" s="125"/>
      <c r="J15" s="125"/>
    </row>
    <row r="16" spans="1:10" ht="15">
      <c r="A16" s="125" t="s">
        <v>1668</v>
      </c>
      <c r="B16" s="125"/>
      <c r="C16" s="125"/>
      <c r="D16" s="125"/>
      <c r="E16" s="125"/>
      <c r="F16" s="125"/>
      <c r="G16" s="125"/>
      <c r="H16" s="125"/>
      <c r="I16" s="125"/>
      <c r="J16" s="125"/>
    </row>
    <row r="17" spans="1:10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</row>
    <row r="18" spans="1:10" ht="15">
      <c r="A18" s="125" t="s">
        <v>235</v>
      </c>
      <c r="B18" s="125"/>
      <c r="C18" s="125"/>
      <c r="D18" s="125"/>
      <c r="E18" s="125"/>
      <c r="F18" s="125"/>
      <c r="G18" s="125"/>
      <c r="H18" s="125"/>
      <c r="I18" s="125"/>
      <c r="J18" s="125"/>
    </row>
    <row r="19" spans="1:10" ht="15.75">
      <c r="A19" s="253" t="s">
        <v>236</v>
      </c>
      <c r="B19" s="255"/>
      <c r="C19" s="255"/>
      <c r="D19" s="255"/>
      <c r="E19" s="255"/>
      <c r="F19" s="255"/>
      <c r="G19" s="255"/>
      <c r="H19" s="125"/>
      <c r="I19" s="158"/>
      <c r="J19" s="272">
        <v>1</v>
      </c>
    </row>
    <row r="20" spans="1:10" ht="15.75">
      <c r="A20" s="254" t="s">
        <v>237</v>
      </c>
      <c r="B20" s="254"/>
      <c r="C20" s="254"/>
      <c r="D20" s="254"/>
      <c r="E20" s="254"/>
      <c r="F20" s="254"/>
      <c r="G20" s="254"/>
      <c r="H20" s="125"/>
      <c r="I20" s="125"/>
      <c r="J20" s="272"/>
    </row>
    <row r="21" spans="1:10" ht="15.75">
      <c r="A21" s="255" t="s">
        <v>963</v>
      </c>
      <c r="B21" s="255"/>
      <c r="C21" s="255"/>
      <c r="D21" s="255"/>
      <c r="E21" s="255"/>
      <c r="F21" s="255"/>
      <c r="G21" s="158"/>
      <c r="H21" s="272">
        <v>2</v>
      </c>
      <c r="I21" s="125"/>
      <c r="J21" s="272"/>
    </row>
    <row r="22" spans="1:10" ht="15.75">
      <c r="A22" s="255" t="s">
        <v>964</v>
      </c>
      <c r="B22" s="255"/>
      <c r="C22" s="255"/>
      <c r="D22" s="255"/>
      <c r="E22" s="255"/>
      <c r="F22" s="255"/>
      <c r="G22" s="147"/>
      <c r="H22" s="272">
        <v>3</v>
      </c>
      <c r="I22" s="125"/>
      <c r="J22" s="272"/>
    </row>
    <row r="23" spans="1:10" ht="15.75">
      <c r="A23" s="255"/>
      <c r="B23" s="255"/>
      <c r="C23" s="255"/>
      <c r="D23" s="255"/>
      <c r="E23" s="264" t="s">
        <v>1669</v>
      </c>
      <c r="F23" s="4">
        <v>245</v>
      </c>
      <c r="G23" s="162">
        <f>+G21+G22</f>
        <v>0</v>
      </c>
      <c r="H23" s="125"/>
      <c r="I23" s="163">
        <f>+G23</f>
        <v>0</v>
      </c>
      <c r="J23" s="272">
        <v>4</v>
      </c>
    </row>
    <row r="24" spans="1:10" ht="15.75">
      <c r="A24" s="122"/>
      <c r="B24" s="122"/>
      <c r="C24" s="122"/>
      <c r="D24" s="122"/>
      <c r="E24" s="122"/>
      <c r="F24" s="122"/>
      <c r="G24" s="143" t="s">
        <v>1670</v>
      </c>
      <c r="H24" s="125"/>
      <c r="I24" s="162">
        <f>+I19+I23</f>
        <v>0</v>
      </c>
      <c r="J24" s="272">
        <v>5</v>
      </c>
    </row>
    <row r="25" spans="1:10" ht="15.75">
      <c r="A25" s="130"/>
      <c r="B25" s="130"/>
      <c r="C25" s="130"/>
      <c r="D25" s="130"/>
      <c r="E25" s="130"/>
      <c r="F25" s="186"/>
      <c r="G25" s="155"/>
      <c r="H25" s="125"/>
      <c r="I25" s="162"/>
      <c r="J25" s="272"/>
    </row>
    <row r="26" spans="1:10" ht="15.75">
      <c r="A26" s="186" t="s">
        <v>242</v>
      </c>
      <c r="B26" s="186"/>
      <c r="C26" s="186"/>
      <c r="D26" s="186"/>
      <c r="E26" s="186"/>
      <c r="F26" s="125"/>
      <c r="G26" s="125"/>
      <c r="H26" s="125"/>
      <c r="I26" s="125"/>
      <c r="J26" s="175"/>
    </row>
    <row r="27" spans="1:10" ht="15.75">
      <c r="A27" s="186" t="s">
        <v>980</v>
      </c>
      <c r="B27" s="186"/>
      <c r="C27" s="186"/>
      <c r="D27" s="186"/>
      <c r="E27" s="186"/>
      <c r="F27" s="125"/>
      <c r="G27" s="125"/>
      <c r="H27" s="125"/>
      <c r="I27" s="125"/>
      <c r="J27" s="175"/>
    </row>
    <row r="28" spans="1:10" ht="15.75">
      <c r="A28" s="186" t="s">
        <v>981</v>
      </c>
      <c r="B28" s="186"/>
      <c r="C28" s="186"/>
      <c r="D28" s="186"/>
      <c r="E28" s="186"/>
      <c r="F28" s="125"/>
      <c r="G28" s="125"/>
      <c r="H28" s="125"/>
      <c r="I28" s="125"/>
      <c r="J28" s="175"/>
    </row>
    <row r="29" spans="1:10" ht="15.75">
      <c r="A29" s="122" t="s">
        <v>982</v>
      </c>
      <c r="B29" s="122"/>
      <c r="C29" s="122"/>
      <c r="D29" s="122"/>
      <c r="E29" s="122"/>
      <c r="F29" s="4">
        <v>246</v>
      </c>
      <c r="G29" s="158"/>
      <c r="H29" s="272">
        <v>6</v>
      </c>
      <c r="I29" s="125"/>
      <c r="J29" s="175"/>
    </row>
    <row r="30" spans="1:10" ht="15.75">
      <c r="A30" s="123" t="s">
        <v>983</v>
      </c>
      <c r="B30" s="123"/>
      <c r="C30" s="123"/>
      <c r="D30" s="123"/>
      <c r="E30" s="123"/>
      <c r="F30" s="4">
        <v>262</v>
      </c>
      <c r="G30" s="147"/>
      <c r="H30" s="272">
        <v>7</v>
      </c>
      <c r="I30" s="125"/>
      <c r="J30" s="175"/>
    </row>
    <row r="31" spans="1:10" ht="15.75">
      <c r="A31" s="123"/>
      <c r="B31" s="123"/>
      <c r="C31" s="123"/>
      <c r="D31" s="123"/>
      <c r="E31" s="141" t="s">
        <v>649</v>
      </c>
      <c r="F31" s="125"/>
      <c r="G31" s="162">
        <f>G29+G30</f>
        <v>0</v>
      </c>
      <c r="H31" s="125"/>
      <c r="I31" s="163">
        <f>G31</f>
        <v>0</v>
      </c>
      <c r="J31" s="272">
        <v>8</v>
      </c>
    </row>
    <row r="32" spans="1:10" ht="15.75">
      <c r="A32" s="123"/>
      <c r="B32" s="123"/>
      <c r="C32" s="123"/>
      <c r="D32" s="123"/>
      <c r="E32" s="123"/>
      <c r="F32" s="122"/>
      <c r="G32" s="143" t="s">
        <v>984</v>
      </c>
      <c r="H32" s="125"/>
      <c r="I32" s="162">
        <f>I24-I31</f>
        <v>0</v>
      </c>
      <c r="J32" s="272">
        <v>9</v>
      </c>
    </row>
    <row r="33" spans="1:10" ht="15.75">
      <c r="A33" s="186"/>
      <c r="B33" s="186"/>
      <c r="C33" s="186"/>
      <c r="D33" s="186"/>
      <c r="E33" s="186"/>
      <c r="F33" s="125"/>
      <c r="G33" s="126"/>
      <c r="H33" s="125"/>
      <c r="I33" s="125"/>
      <c r="J33" s="272"/>
    </row>
    <row r="34" spans="1:10" ht="15.75">
      <c r="A34" s="186" t="s">
        <v>824</v>
      </c>
      <c r="B34" s="186"/>
      <c r="C34" s="186"/>
      <c r="D34" s="186"/>
      <c r="E34" s="186"/>
      <c r="F34" s="125"/>
      <c r="G34" s="126"/>
      <c r="H34" s="125"/>
      <c r="I34" s="125"/>
      <c r="J34" s="272"/>
    </row>
    <row r="35" spans="1:10" ht="15.75">
      <c r="A35" s="186" t="s">
        <v>823</v>
      </c>
      <c r="B35" s="186"/>
      <c r="C35" s="186"/>
      <c r="D35" s="186"/>
      <c r="E35" s="186"/>
      <c r="F35" s="125"/>
      <c r="G35" s="125"/>
      <c r="H35" s="125"/>
      <c r="I35" s="125"/>
      <c r="J35" s="175"/>
    </row>
    <row r="36" spans="1:10" ht="15.75">
      <c r="A36" s="186" t="s">
        <v>822</v>
      </c>
      <c r="B36" s="186"/>
      <c r="C36" s="186"/>
      <c r="D36" s="186"/>
      <c r="E36" s="186"/>
      <c r="F36" s="125"/>
      <c r="G36" s="125"/>
      <c r="H36" s="125"/>
      <c r="I36" s="125"/>
      <c r="J36" s="175"/>
    </row>
    <row r="37" spans="1:10" ht="15.75">
      <c r="A37" s="255" t="s">
        <v>821</v>
      </c>
      <c r="B37" s="255"/>
      <c r="C37" s="255"/>
      <c r="D37" s="255"/>
      <c r="E37" s="255"/>
      <c r="F37" s="125"/>
      <c r="G37" s="158">
        <f>I32</f>
        <v>0</v>
      </c>
      <c r="H37" s="272">
        <v>10</v>
      </c>
      <c r="I37" s="125"/>
      <c r="J37" s="175"/>
    </row>
    <row r="38" spans="1:10" ht="15.75">
      <c r="A38" s="186" t="s">
        <v>820</v>
      </c>
      <c r="B38" s="186"/>
      <c r="C38" s="186"/>
      <c r="D38" s="186"/>
      <c r="E38" s="186"/>
      <c r="F38" s="4">
        <v>240</v>
      </c>
      <c r="G38" s="147"/>
      <c r="H38" s="272">
        <v>11</v>
      </c>
      <c r="I38" s="125"/>
      <c r="J38" s="175"/>
    </row>
    <row r="39" spans="1:10" ht="15.75">
      <c r="A39" s="256"/>
      <c r="B39" s="256"/>
      <c r="C39" s="256"/>
      <c r="D39" s="256"/>
      <c r="E39" s="265" t="s">
        <v>2002</v>
      </c>
      <c r="F39" s="256"/>
      <c r="G39" s="162">
        <f>+G37+G38</f>
        <v>0</v>
      </c>
      <c r="H39" s="272">
        <v>12</v>
      </c>
      <c r="I39" s="125"/>
      <c r="J39" s="175"/>
    </row>
    <row r="40" spans="1:10" ht="15.75">
      <c r="A40" s="257" t="s">
        <v>818</v>
      </c>
      <c r="B40" s="254"/>
      <c r="C40" s="254"/>
      <c r="D40" s="254"/>
      <c r="E40" s="266"/>
      <c r="F40" s="254"/>
      <c r="G40" s="125"/>
      <c r="H40" s="160"/>
      <c r="I40" s="125"/>
      <c r="J40" s="175"/>
    </row>
    <row r="41" spans="1:10" ht="15.75">
      <c r="A41" s="258"/>
      <c r="B41" s="255"/>
      <c r="C41" s="263" t="s">
        <v>1671</v>
      </c>
      <c r="D41" s="255"/>
      <c r="E41" s="258"/>
      <c r="F41" s="255"/>
      <c r="G41" s="125"/>
      <c r="H41" s="273">
        <v>208</v>
      </c>
      <c r="I41" s="163">
        <f>+MINA(I32,G39)</f>
        <v>0</v>
      </c>
      <c r="J41" s="272">
        <v>13</v>
      </c>
    </row>
    <row r="42" spans="1:10" ht="15.75">
      <c r="A42" s="259"/>
      <c r="B42" s="254"/>
      <c r="C42" s="254"/>
      <c r="D42" s="254"/>
      <c r="E42" s="259"/>
      <c r="F42" s="254"/>
      <c r="G42" s="125"/>
      <c r="H42" s="125"/>
      <c r="I42" s="125"/>
      <c r="J42" s="272"/>
    </row>
    <row r="43" spans="1:10" ht="15.75">
      <c r="A43" s="260"/>
      <c r="B43" s="255"/>
      <c r="C43" s="255"/>
      <c r="D43" s="255"/>
      <c r="E43" s="264" t="s">
        <v>1672</v>
      </c>
      <c r="F43" s="255"/>
      <c r="G43" s="264" t="s">
        <v>819</v>
      </c>
      <c r="H43" s="125"/>
      <c r="I43" s="163">
        <f>I32-I41</f>
        <v>0</v>
      </c>
      <c r="J43" s="272">
        <v>14</v>
      </c>
    </row>
    <row r="44" spans="1:10" ht="15">
      <c r="A44" s="125"/>
      <c r="B44" s="125"/>
      <c r="C44" s="125"/>
      <c r="D44" s="125"/>
      <c r="E44" s="125"/>
      <c r="F44" s="125"/>
      <c r="G44" s="125"/>
      <c r="H44" s="125"/>
      <c r="I44" s="126" t="s">
        <v>973</v>
      </c>
      <c r="J44" s="125"/>
    </row>
    <row r="45" spans="1:10" ht="15">
      <c r="A45" s="125"/>
      <c r="B45" s="125"/>
      <c r="C45" s="125"/>
      <c r="D45" s="125"/>
      <c r="E45" s="125"/>
      <c r="F45" s="125"/>
      <c r="G45" s="125"/>
      <c r="H45" s="125"/>
      <c r="I45" s="126"/>
      <c r="J45" s="125"/>
    </row>
    <row r="46" spans="1:10" ht="15">
      <c r="A46" s="125" t="s">
        <v>138</v>
      </c>
      <c r="B46" s="125"/>
      <c r="C46" s="125"/>
      <c r="D46" s="125"/>
      <c r="E46" s="125"/>
      <c r="F46" s="125"/>
      <c r="G46" s="125"/>
      <c r="H46" s="125"/>
      <c r="I46" s="126"/>
      <c r="J46" s="125"/>
    </row>
    <row r="47" spans="1:10" ht="15">
      <c r="A47" s="125" t="s">
        <v>139</v>
      </c>
      <c r="B47" s="125"/>
      <c r="C47" s="125"/>
      <c r="D47" s="125"/>
      <c r="E47" s="125"/>
      <c r="F47" s="125"/>
      <c r="G47" s="125"/>
      <c r="H47" s="125"/>
      <c r="I47" s="126"/>
      <c r="J47" s="125"/>
    </row>
    <row r="48" spans="1:10" ht="15">
      <c r="A48" s="125"/>
      <c r="B48" s="125"/>
      <c r="C48" s="125"/>
      <c r="D48" s="125"/>
      <c r="E48" s="125"/>
      <c r="F48" s="125"/>
      <c r="G48" s="125"/>
      <c r="H48" s="125"/>
      <c r="I48" s="126"/>
      <c r="J48" s="125"/>
    </row>
    <row r="49" spans="1:10" ht="15.75">
      <c r="A49" s="125"/>
      <c r="B49" s="125"/>
      <c r="C49" s="125"/>
      <c r="D49" s="125"/>
      <c r="E49" s="126"/>
      <c r="F49" s="125"/>
      <c r="G49" s="126"/>
      <c r="H49" s="272"/>
      <c r="I49" s="125"/>
      <c r="J49" s="125"/>
    </row>
    <row r="50" spans="1:10" ht="15.75">
      <c r="A50" s="261" t="s">
        <v>965</v>
      </c>
      <c r="B50" s="130"/>
      <c r="C50" s="130"/>
      <c r="D50" s="130"/>
      <c r="E50" s="156"/>
      <c r="F50" s="130"/>
      <c r="G50" s="156"/>
      <c r="H50" s="274"/>
      <c r="I50" s="239"/>
      <c r="J50" s="125"/>
    </row>
    <row r="51" spans="1:10" ht="21.75" customHeight="1">
      <c r="A51" s="262" t="s">
        <v>140</v>
      </c>
      <c r="B51" s="255"/>
      <c r="C51" s="255"/>
      <c r="D51" s="255"/>
      <c r="E51" s="255"/>
      <c r="F51" s="111">
        <v>263</v>
      </c>
      <c r="G51" s="423">
        <f>MISC!L67</f>
        <v>0</v>
      </c>
      <c r="H51" s="275">
        <v>15</v>
      </c>
      <c r="I51" s="240"/>
      <c r="J51" s="160"/>
    </row>
    <row r="52" spans="1:10" ht="15.75">
      <c r="A52" s="185" t="s">
        <v>826</v>
      </c>
      <c r="B52" s="186"/>
      <c r="C52" s="186"/>
      <c r="D52" s="186"/>
      <c r="E52" s="186"/>
      <c r="F52" s="186"/>
      <c r="G52" s="155"/>
      <c r="H52" s="186"/>
      <c r="I52" s="240"/>
      <c r="J52" s="160"/>
    </row>
    <row r="53" spans="1:10" ht="15.75">
      <c r="A53" s="262" t="s">
        <v>825</v>
      </c>
      <c r="B53" s="255"/>
      <c r="C53" s="255"/>
      <c r="D53" s="255"/>
      <c r="E53" s="255"/>
      <c r="F53" s="111">
        <v>264</v>
      </c>
      <c r="G53" s="271"/>
      <c r="H53" s="186"/>
      <c r="I53" s="240"/>
      <c r="J53" s="125"/>
    </row>
    <row r="54" spans="1:10" ht="15">
      <c r="A54" s="190"/>
      <c r="B54" s="122"/>
      <c r="C54" s="122"/>
      <c r="D54" s="122"/>
      <c r="E54" s="122"/>
      <c r="F54" s="122"/>
      <c r="G54" s="122"/>
      <c r="H54" s="122"/>
      <c r="I54" s="245"/>
      <c r="J54" s="125"/>
    </row>
    <row r="55" spans="1:10" ht="15">
      <c r="A55" s="125"/>
      <c r="B55" s="125"/>
      <c r="C55" s="125"/>
      <c r="D55" s="125"/>
      <c r="E55" s="125"/>
      <c r="F55" s="125"/>
      <c r="G55" s="125"/>
      <c r="H55" s="125"/>
      <c r="I55" s="125"/>
      <c r="J55" s="125"/>
    </row>
    <row r="56" spans="1:10" ht="15">
      <c r="A56" s="125" t="s">
        <v>141</v>
      </c>
      <c r="B56" s="125"/>
      <c r="C56" s="125"/>
      <c r="D56" s="125"/>
      <c r="E56" s="125"/>
      <c r="F56" s="125"/>
      <c r="G56" s="125"/>
      <c r="H56" s="125"/>
      <c r="I56" s="177"/>
      <c r="J56" s="125"/>
    </row>
  </sheetData>
  <sheetProtection password="EC35" sheet="1" objects="1" scenarios="1"/>
  <printOptions horizontalCentered="1"/>
  <pageMargins left="0.25" right="0.25" top="0.511811023622047" bottom="0.511811023622047" header="0.511811023622047" footer="0.511811023622047"/>
  <pageSetup fitToHeight="0" fitToWidth="1" horizontalDpi="600" verticalDpi="600" orientation="portrait" scale="75" r:id="rId4"/>
  <rowBreaks count="1" manualBreakCount="1">
    <brk id="33" max="6553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O26"/>
  <sheetViews>
    <sheetView showGridLines="0" showRowColHeaders="0" zoomScale="75" zoomScaleNormal="75" workbookViewId="0" topLeftCell="A1">
      <selection activeCell="D21" sqref="D21"/>
    </sheetView>
  </sheetViews>
  <sheetFormatPr defaultColWidth="8.88671875" defaultRowHeight="15"/>
  <cols>
    <col min="1" max="1" width="1.4375" style="0" customWidth="1"/>
    <col min="2" max="2" width="12.77734375" style="0" customWidth="1"/>
    <col min="3" max="3" width="6.77734375" style="0" customWidth="1"/>
    <col min="4" max="4" width="5.77734375" style="0" customWidth="1"/>
    <col min="5" max="5" width="6.77734375" style="0" customWidth="1"/>
    <col min="6" max="6" width="2.77734375" style="0" customWidth="1"/>
    <col min="7" max="7" width="10.77734375" style="0" customWidth="1"/>
    <col min="8" max="8" width="6.77734375" style="0" customWidth="1"/>
    <col min="9" max="9" width="5.77734375" style="0" customWidth="1"/>
    <col min="10" max="10" width="6.77734375" style="0" customWidth="1"/>
    <col min="11" max="11" width="2.77734375" style="0" customWidth="1"/>
    <col min="12" max="12" width="10.77734375" style="0" customWidth="1"/>
    <col min="13" max="13" width="6.77734375" style="0" customWidth="1"/>
    <col min="14" max="14" width="5.77734375" style="0" customWidth="1"/>
    <col min="15" max="15" width="6.77734375" style="0" customWidth="1"/>
  </cols>
  <sheetData>
    <row r="1" spans="2:15" ht="27.75" customHeight="1">
      <c r="B1" s="173"/>
      <c r="C1" s="173"/>
      <c r="D1" s="603"/>
      <c r="E1" s="603"/>
      <c r="F1" s="626" t="s">
        <v>1110</v>
      </c>
      <c r="G1" s="173"/>
      <c r="H1" s="173"/>
      <c r="I1" s="173"/>
      <c r="J1" s="173"/>
      <c r="K1" s="173"/>
      <c r="L1" s="173"/>
      <c r="M1" s="173"/>
      <c r="N1" s="173"/>
      <c r="O1" s="173"/>
    </row>
    <row r="2" spans="2:15" ht="31.5">
      <c r="B2" s="625" t="s">
        <v>1112</v>
      </c>
      <c r="C2" s="607" t="s">
        <v>1113</v>
      </c>
      <c r="D2" s="601" t="s">
        <v>1101</v>
      </c>
      <c r="E2" s="602" t="s">
        <v>1111</v>
      </c>
      <c r="F2" s="609"/>
      <c r="G2" s="624" t="s">
        <v>1112</v>
      </c>
      <c r="H2" s="607" t="s">
        <v>1113</v>
      </c>
      <c r="I2" s="601" t="s">
        <v>1101</v>
      </c>
      <c r="J2" s="602" t="s">
        <v>1111</v>
      </c>
      <c r="K2" s="604"/>
      <c r="L2" s="624" t="s">
        <v>1112</v>
      </c>
      <c r="M2" s="607" t="s">
        <v>1113</v>
      </c>
      <c r="N2" s="601" t="s">
        <v>1101</v>
      </c>
      <c r="O2" s="602" t="s">
        <v>1111</v>
      </c>
    </row>
    <row r="3" spans="2:15" ht="15">
      <c r="B3" s="202" t="s">
        <v>1102</v>
      </c>
      <c r="C3" s="201"/>
      <c r="D3" s="605" t="str">
        <f>IF('T1 GEN-1'!D13="","No","Yes")</f>
        <v>No</v>
      </c>
      <c r="E3" s="216"/>
      <c r="F3" s="604"/>
      <c r="G3" s="203"/>
      <c r="H3" s="203"/>
      <c r="I3" s="605"/>
      <c r="J3" s="210"/>
      <c r="K3" s="604"/>
      <c r="L3" s="203" t="s">
        <v>738</v>
      </c>
      <c r="M3" s="203"/>
      <c r="N3" s="608" t="s">
        <v>2069</v>
      </c>
      <c r="O3" s="210"/>
    </row>
    <row r="4" spans="2:15" ht="15">
      <c r="B4" s="604" t="s">
        <v>1103</v>
      </c>
      <c r="C4" s="203"/>
      <c r="D4" s="605" t="str">
        <f>IF('T1 GEN-2-3-4'!K99+'T1 GEN-2-3-4'!I40+ABS('T1 GEN-2-3-4'!K128)=0,"No","Yes")</f>
        <v>No</v>
      </c>
      <c r="E4" s="210"/>
      <c r="F4" s="604"/>
      <c r="G4" s="203" t="s">
        <v>1412</v>
      </c>
      <c r="H4" s="203"/>
      <c r="I4" s="605" t="str">
        <f>IF(SUM('T4'!J18:J48)=0,"No","Yes")</f>
        <v>No</v>
      </c>
      <c r="J4" s="210"/>
      <c r="K4" s="604"/>
      <c r="L4" s="203" t="s">
        <v>1369</v>
      </c>
      <c r="M4" s="203"/>
      <c r="N4" s="608" t="s">
        <v>2069</v>
      </c>
      <c r="O4" s="210"/>
    </row>
    <row r="5" spans="2:15" ht="15">
      <c r="B5" s="604" t="s">
        <v>1417</v>
      </c>
      <c r="C5" s="203"/>
      <c r="D5" s="605" t="str">
        <f>D4</f>
        <v>No</v>
      </c>
      <c r="E5" s="210"/>
      <c r="F5" s="604"/>
      <c r="G5" s="203" t="s">
        <v>1413</v>
      </c>
      <c r="H5" s="203"/>
      <c r="I5" s="605" t="str">
        <f>IF(SUM('T4A'!J15:J43)=0,"No","Yes")</f>
        <v>No</v>
      </c>
      <c r="J5" s="210"/>
      <c r="K5" s="604"/>
      <c r="L5" s="203" t="s">
        <v>1386</v>
      </c>
      <c r="M5" s="203"/>
      <c r="N5" s="608" t="s">
        <v>2069</v>
      </c>
      <c r="O5" s="210"/>
    </row>
    <row r="6" spans="2:15" ht="15">
      <c r="B6" s="604" t="s">
        <v>1365</v>
      </c>
      <c r="C6" s="203"/>
      <c r="D6" s="605" t="str">
        <f>IF(VLOOKUP("WRK",'T1 GEN-2-3-4'!$D$45:$H$48,5,FALSE)&gt;0,"Yes","No")</f>
        <v>Yes</v>
      </c>
      <c r="E6" s="210"/>
      <c r="F6" s="604"/>
      <c r="G6" s="203" t="s">
        <v>1104</v>
      </c>
      <c r="H6" s="203"/>
      <c r="I6" s="605" t="str">
        <f>IF(SUM('T4A-OAS'!J17:J27)=0,"No","Yes")</f>
        <v>No</v>
      </c>
      <c r="J6" s="210"/>
      <c r="K6" s="604"/>
      <c r="L6" s="201" t="s">
        <v>1411</v>
      </c>
      <c r="M6" s="201"/>
      <c r="N6" s="608" t="s">
        <v>2069</v>
      </c>
      <c r="O6" s="216"/>
    </row>
    <row r="7" spans="2:15" ht="15">
      <c r="B7" s="604" t="s">
        <v>1529</v>
      </c>
      <c r="C7" s="203"/>
      <c r="D7" s="606" t="str">
        <f>D4</f>
        <v>No</v>
      </c>
      <c r="E7" s="210"/>
      <c r="F7" s="604"/>
      <c r="G7" s="203" t="s">
        <v>1420</v>
      </c>
      <c r="H7" s="203"/>
      <c r="I7" s="605" t="str">
        <f>IF(SUM('T4E'!J19:J37)=0,"No","Yes")</f>
        <v>No</v>
      </c>
      <c r="J7" s="210"/>
      <c r="K7" s="604"/>
      <c r="L7" s="203" t="s">
        <v>372</v>
      </c>
      <c r="M7" s="203"/>
      <c r="N7" s="608" t="s">
        <v>2069</v>
      </c>
      <c r="O7" s="210"/>
    </row>
    <row r="8" spans="2:15" ht="15">
      <c r="B8" s="604" t="s">
        <v>2035</v>
      </c>
      <c r="C8" s="203"/>
      <c r="D8" s="605" t="str">
        <f>IF(VLOOKUP("S479",'T1 GEN-2-3-4'!$D$45:$H$48,5,FALSE)&gt;0,"Yes","No")</f>
        <v>No</v>
      </c>
      <c r="E8" s="210"/>
      <c r="F8" s="604"/>
      <c r="G8" s="203" t="s">
        <v>1222</v>
      </c>
      <c r="H8" s="203"/>
      <c r="I8" s="605" t="str">
        <f>IF(SUM('T4F'!J17:J24)=0,"No","Yes")</f>
        <v>No</v>
      </c>
      <c r="J8" s="210"/>
      <c r="K8" s="604"/>
      <c r="L8" s="203" t="s">
        <v>1370</v>
      </c>
      <c r="M8" s="203"/>
      <c r="N8" s="608" t="s">
        <v>2069</v>
      </c>
      <c r="O8" s="210"/>
    </row>
    <row r="9" spans="2:15" ht="15">
      <c r="B9" s="604" t="s">
        <v>1366</v>
      </c>
      <c r="C9" s="203"/>
      <c r="D9" s="605" t="str">
        <f>IF(VLOOKUP("S2",'T1 GEN-2-3-4'!$D$45:$H$48,5,FALSE)&gt;0,"Yes","No")</f>
        <v>No</v>
      </c>
      <c r="E9" s="210"/>
      <c r="F9" s="604"/>
      <c r="G9" s="203" t="s">
        <v>1421</v>
      </c>
      <c r="H9" s="203"/>
      <c r="I9" s="605" t="str">
        <f>IF(SUM('T4PS'!J19:J35)=0,"No","Yes")</f>
        <v>No</v>
      </c>
      <c r="J9" s="210"/>
      <c r="K9" s="604"/>
      <c r="L9" s="203" t="s">
        <v>1371</v>
      </c>
      <c r="M9" s="203"/>
      <c r="N9" s="608" t="s">
        <v>2069</v>
      </c>
      <c r="O9" s="210"/>
    </row>
    <row r="10" spans="2:15" ht="15">
      <c r="B10" s="604" t="s">
        <v>1367</v>
      </c>
      <c r="C10" s="203"/>
      <c r="D10" s="605" t="str">
        <f>IF(VLOOKUP("S11",'T1 GEN-2-3-4'!$D$45:$H$48,5,FALSE)&gt;0,"Yes","No")</f>
        <v>No</v>
      </c>
      <c r="E10" s="210"/>
      <c r="F10" s="604"/>
      <c r="G10" s="203" t="s">
        <v>371</v>
      </c>
      <c r="H10" s="203"/>
      <c r="I10" s="605" t="str">
        <f>IF(SUM('T4RIF'!J15:J33)&gt;0,"Yes","No")</f>
        <v>No</v>
      </c>
      <c r="J10" s="210"/>
      <c r="K10" s="604"/>
      <c r="L10" s="203" t="s">
        <v>799</v>
      </c>
      <c r="M10" s="203"/>
      <c r="N10" s="608" t="s">
        <v>2069</v>
      </c>
      <c r="O10" s="210"/>
    </row>
    <row r="11" spans="2:15" ht="15">
      <c r="B11" s="604" t="s">
        <v>1451</v>
      </c>
      <c r="C11" s="203"/>
      <c r="D11" s="605" t="str">
        <f>IF(Sch1!H6=0,"No","Yes")</f>
        <v>No</v>
      </c>
      <c r="E11" s="210"/>
      <c r="F11" s="604"/>
      <c r="G11" s="203" t="s">
        <v>1422</v>
      </c>
      <c r="H11" s="203"/>
      <c r="I11" s="605" t="str">
        <f>IF(SUM('T4RSP'!J16:J40)&gt;0,"Yes","No")</f>
        <v>No</v>
      </c>
      <c r="J11" s="210"/>
      <c r="K11" s="604"/>
      <c r="L11" s="203" t="s">
        <v>1372</v>
      </c>
      <c r="M11" s="203"/>
      <c r="N11" s="608" t="s">
        <v>2069</v>
      </c>
      <c r="O11" s="210"/>
    </row>
    <row r="12" spans="2:15" ht="15">
      <c r="B12" s="604" t="s">
        <v>1106</v>
      </c>
      <c r="C12" s="203"/>
      <c r="D12" s="605" t="str">
        <f>IF(Sch2!I20=0,"No","Yes")</f>
        <v>No</v>
      </c>
      <c r="E12" s="210"/>
      <c r="F12" s="604"/>
      <c r="G12" s="203" t="s">
        <v>1105</v>
      </c>
      <c r="H12" s="203"/>
      <c r="I12" s="605" t="str">
        <f>IF('T778'!E33=0,"No","Yes")</f>
        <v>No</v>
      </c>
      <c r="J12" s="210"/>
      <c r="K12" s="604"/>
      <c r="L12" s="203" t="s">
        <v>1373</v>
      </c>
      <c r="M12" s="203"/>
      <c r="N12" s="608" t="s">
        <v>2069</v>
      </c>
      <c r="O12" s="210"/>
    </row>
    <row r="13" spans="2:15" ht="15">
      <c r="B13" s="604" t="s">
        <v>124</v>
      </c>
      <c r="C13" s="203"/>
      <c r="D13" s="605" t="str">
        <f>IF(Sch3!I62=0,"No","Yes")</f>
        <v>No</v>
      </c>
      <c r="E13" s="210"/>
      <c r="F13" s="604"/>
      <c r="G13" s="203" t="s">
        <v>834</v>
      </c>
      <c r="H13" s="203"/>
      <c r="I13" s="605" t="str">
        <f>IF('T2204'!I23+'T2204'!I57=0,"No","Yes")</f>
        <v>No</v>
      </c>
      <c r="J13" s="210"/>
      <c r="K13" s="604"/>
      <c r="L13" s="203" t="s">
        <v>1419</v>
      </c>
      <c r="M13" s="203"/>
      <c r="N13" s="608" t="s">
        <v>2069</v>
      </c>
      <c r="O13" s="210"/>
    </row>
    <row r="14" spans="2:15" ht="15">
      <c r="B14" s="604" t="s">
        <v>132</v>
      </c>
      <c r="C14" s="203"/>
      <c r="D14" s="605" t="str">
        <f>IF(Sch4!E10+Sch4!E16+Sch4!E20+Sch4!E24+Sch4!E26+Sch4!E28=0,"No","Yes")</f>
        <v>No</v>
      </c>
      <c r="E14" s="210"/>
      <c r="F14" s="604"/>
      <c r="G14" s="203" t="s">
        <v>904</v>
      </c>
      <c r="H14" s="203"/>
      <c r="I14" s="605" t="str">
        <f>IF('T2205'!E14&gt;0,"Yes","No")</f>
        <v>No</v>
      </c>
      <c r="J14" s="210"/>
      <c r="K14" s="604"/>
      <c r="L14" s="203" t="s">
        <v>800</v>
      </c>
      <c r="M14" s="203"/>
      <c r="N14" s="608" t="s">
        <v>2069</v>
      </c>
      <c r="O14" s="210"/>
    </row>
    <row r="15" spans="2:15" ht="15">
      <c r="B15" s="604" t="s">
        <v>1108</v>
      </c>
      <c r="C15" s="203"/>
      <c r="D15" s="606" t="str">
        <f>D14</f>
        <v>No</v>
      </c>
      <c r="E15" s="210"/>
      <c r="F15" s="604"/>
      <c r="G15" s="203" t="s">
        <v>37</v>
      </c>
      <c r="H15" s="203"/>
      <c r="I15" s="605" t="str">
        <f>IF(SUM('T5007'!J17:J19)=0,"No","Yes")</f>
        <v>No</v>
      </c>
      <c r="J15" s="210"/>
      <c r="K15" s="604"/>
      <c r="L15" s="203" t="s">
        <v>2068</v>
      </c>
      <c r="M15" s="203"/>
      <c r="N15" s="608" t="s">
        <v>2069</v>
      </c>
      <c r="O15" s="210"/>
    </row>
    <row r="16" spans="2:15" ht="15">
      <c r="B16" s="604" t="s">
        <v>1107</v>
      </c>
      <c r="C16" s="203"/>
      <c r="D16" s="605" t="str">
        <f>IF(Sch5!G17+Sch5!G25+Sch5!G33=0,"No","Yes")</f>
        <v>No</v>
      </c>
      <c r="E16" s="210"/>
      <c r="F16" s="604"/>
      <c r="G16" s="203" t="s">
        <v>1220</v>
      </c>
      <c r="H16" s="203"/>
      <c r="I16" s="605" t="str">
        <f>IF(SUM(MISC!L21:L85)=0,"No","Yes")</f>
        <v>No</v>
      </c>
      <c r="J16" s="210"/>
      <c r="K16" s="604"/>
      <c r="L16" s="203" t="s">
        <v>1418</v>
      </c>
      <c r="M16" s="203"/>
      <c r="N16" s="608" t="s">
        <v>2069</v>
      </c>
      <c r="O16" s="210"/>
    </row>
    <row r="17" spans="2:15" ht="15">
      <c r="B17" s="604" t="s">
        <v>133</v>
      </c>
      <c r="C17" s="203"/>
      <c r="D17" s="605" t="str">
        <f>IF(Sch7!I43=0,"No","Yes")</f>
        <v>No</v>
      </c>
      <c r="E17" s="210"/>
      <c r="F17" s="604"/>
      <c r="G17" s="203"/>
      <c r="H17" s="203"/>
      <c r="I17" s="608"/>
      <c r="J17" s="210"/>
      <c r="K17" s="604"/>
      <c r="L17" s="203" t="s">
        <v>1604</v>
      </c>
      <c r="M17" s="203"/>
      <c r="N17" s="608" t="s">
        <v>2069</v>
      </c>
      <c r="O17" s="210"/>
    </row>
    <row r="18" spans="2:15" ht="15">
      <c r="B18" s="604" t="s">
        <v>1452</v>
      </c>
      <c r="C18" s="203"/>
      <c r="D18" s="605" t="str">
        <f>IF(Sch8!I14=0,"No","Yes")</f>
        <v>No</v>
      </c>
      <c r="E18" s="210"/>
      <c r="F18" s="604"/>
      <c r="G18" s="203" t="s">
        <v>1043</v>
      </c>
      <c r="H18" s="203"/>
      <c r="I18" s="606" t="s">
        <v>1535</v>
      </c>
      <c r="J18" s="210"/>
      <c r="K18" s="604"/>
      <c r="L18" s="203" t="s">
        <v>1415</v>
      </c>
      <c r="M18" s="203"/>
      <c r="N18" s="608" t="s">
        <v>2069</v>
      </c>
      <c r="O18" s="210"/>
    </row>
    <row r="19" spans="2:15" ht="15">
      <c r="B19" s="604" t="s">
        <v>1556</v>
      </c>
      <c r="C19" s="203"/>
      <c r="D19" s="605" t="str">
        <f>IF(Sch9!I29=0,"No","Yes")</f>
        <v>No</v>
      </c>
      <c r="E19" s="210"/>
      <c r="F19" s="604"/>
      <c r="G19" s="203" t="s">
        <v>606</v>
      </c>
      <c r="H19" s="203"/>
      <c r="I19" s="606" t="s">
        <v>1535</v>
      </c>
      <c r="J19" s="210"/>
      <c r="K19" s="604"/>
      <c r="L19" s="203" t="s">
        <v>1221</v>
      </c>
      <c r="M19" s="203"/>
      <c r="N19" s="608" t="s">
        <v>2069</v>
      </c>
      <c r="O19" s="210"/>
    </row>
    <row r="20" spans="2:15" ht="15">
      <c r="B20" s="604" t="s">
        <v>1109</v>
      </c>
      <c r="C20" s="203"/>
      <c r="D20" s="605" t="str">
        <f>IF(Sch11!I32=0,"No","Yes")</f>
        <v>No</v>
      </c>
      <c r="E20" s="210"/>
      <c r="F20" s="604"/>
      <c r="G20" s="203" t="s">
        <v>1114</v>
      </c>
      <c r="H20" s="203"/>
      <c r="I20" s="606" t="s">
        <v>1535</v>
      </c>
      <c r="J20" s="210"/>
      <c r="K20" s="604"/>
      <c r="L20" s="911" t="s">
        <v>2070</v>
      </c>
      <c r="M20" s="203"/>
      <c r="N20" s="608"/>
      <c r="O20" s="210"/>
    </row>
    <row r="21" spans="2:15" ht="15">
      <c r="B21" s="604"/>
      <c r="C21" s="203"/>
      <c r="D21" s="605"/>
      <c r="E21" s="210"/>
      <c r="F21" s="604"/>
      <c r="G21" s="203" t="s">
        <v>1508</v>
      </c>
      <c r="H21" s="203"/>
      <c r="I21" s="606" t="s">
        <v>1535</v>
      </c>
      <c r="J21" s="210"/>
      <c r="K21" s="604"/>
      <c r="L21" s="911" t="s">
        <v>2071</v>
      </c>
      <c r="M21" s="203"/>
      <c r="N21" s="608"/>
      <c r="O21" s="210"/>
    </row>
    <row r="22" spans="2:15" ht="15"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98"/>
    </row>
    <row r="23" spans="2:15" ht="1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15" ht="1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2:15" ht="1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15" ht="1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</sheetData>
  <sheetProtection password="EC35" sheet="1" objects="1" scenarios="1"/>
  <printOptions horizontalCentered="1" verticalCentered="1"/>
  <pageMargins left="0.5" right="0.5" top="1" bottom="0.5" header="0.5" footer="0.5"/>
  <pageSetup fitToHeight="1" fitToWidth="1"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 transitionEvaluation="1">
    <pageSetUpPr fitToPage="1"/>
  </sheetPr>
  <dimension ref="A1:J32"/>
  <sheetViews>
    <sheetView showGridLines="0" showRowColHeaders="0" zoomScale="70" zoomScaleNormal="70" workbookViewId="0" topLeftCell="A1">
      <selection activeCell="B1" sqref="B1"/>
    </sheetView>
  </sheetViews>
  <sheetFormatPr defaultColWidth="9.77734375" defaultRowHeight="15"/>
  <cols>
    <col min="1" max="1" width="26.77734375" style="0" customWidth="1"/>
    <col min="2" max="2" width="5.77734375" style="0" customWidth="1"/>
    <col min="3" max="3" width="12.77734375" style="0" customWidth="1"/>
    <col min="4" max="4" width="5.77734375" style="0" customWidth="1"/>
    <col min="5" max="5" width="12.77734375" style="0" customWidth="1"/>
    <col min="6" max="6" width="5.77734375" style="0" customWidth="1"/>
    <col min="7" max="7" width="12.77734375" style="0" customWidth="1"/>
    <col min="8" max="8" width="5.3359375" style="0" customWidth="1"/>
    <col min="9" max="9" width="12.77734375" style="0" customWidth="1"/>
    <col min="10" max="10" width="5.77734375" style="0" customWidth="1"/>
  </cols>
  <sheetData>
    <row r="1" spans="1:10" ht="20.25">
      <c r="A1" s="149" t="s">
        <v>390</v>
      </c>
      <c r="B1" s="125"/>
      <c r="C1" s="364"/>
      <c r="D1" s="364" t="s">
        <v>1746</v>
      </c>
      <c r="E1" s="125"/>
      <c r="F1" s="125"/>
      <c r="G1" s="125"/>
      <c r="H1" s="125"/>
      <c r="I1" s="125"/>
      <c r="J1" s="168" t="s">
        <v>142</v>
      </c>
    </row>
    <row r="2" spans="1:10" ht="20.25">
      <c r="A2" s="125"/>
      <c r="B2" s="125"/>
      <c r="C2" s="364"/>
      <c r="D2" s="364" t="s">
        <v>143</v>
      </c>
      <c r="E2" s="125"/>
      <c r="F2" s="125"/>
      <c r="G2" s="125"/>
      <c r="H2" s="125"/>
      <c r="I2" s="125"/>
      <c r="J2" s="125"/>
    </row>
    <row r="3" spans="1:10" ht="15">
      <c r="A3" s="125"/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5">
      <c r="A4" s="125" t="s">
        <v>144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ht="15">
      <c r="A5" s="125" t="s">
        <v>145</v>
      </c>
      <c r="B5" s="125"/>
      <c r="C5" s="125"/>
      <c r="D5" s="125"/>
      <c r="E5" s="125"/>
      <c r="F5" s="125"/>
      <c r="G5" s="125"/>
      <c r="H5" s="125"/>
      <c r="I5" s="125"/>
      <c r="J5" s="125"/>
    </row>
    <row r="6" spans="1:10" ht="15">
      <c r="A6" s="125" t="s">
        <v>146</v>
      </c>
      <c r="B6" s="125"/>
      <c r="C6" s="125"/>
      <c r="D6" s="125"/>
      <c r="E6" s="125"/>
      <c r="F6" s="125"/>
      <c r="G6" s="125"/>
      <c r="H6" s="125"/>
      <c r="I6" s="125"/>
      <c r="J6" s="125"/>
    </row>
    <row r="7" spans="1:10" ht="15">
      <c r="A7" s="125" t="s">
        <v>147</v>
      </c>
      <c r="B7" s="125"/>
      <c r="C7" s="125"/>
      <c r="D7" s="125"/>
      <c r="E7" s="125"/>
      <c r="F7" s="125"/>
      <c r="G7" s="125"/>
      <c r="H7" s="125"/>
      <c r="I7" s="125"/>
      <c r="J7" s="125"/>
    </row>
    <row r="8" spans="1:10" ht="15">
      <c r="A8" s="125"/>
      <c r="B8" s="125"/>
      <c r="C8" s="125"/>
      <c r="D8" s="125"/>
      <c r="E8" s="125"/>
      <c r="F8" s="125"/>
      <c r="G8" s="125"/>
      <c r="H8" s="125"/>
      <c r="I8" s="125"/>
      <c r="J8" s="125"/>
    </row>
    <row r="9" spans="1:10" ht="15">
      <c r="A9" s="125" t="s">
        <v>1747</v>
      </c>
      <c r="B9" s="125"/>
      <c r="C9" s="125"/>
      <c r="D9" s="125"/>
      <c r="E9" s="125"/>
      <c r="F9" s="125"/>
      <c r="G9" s="125"/>
      <c r="H9" s="125"/>
      <c r="I9" s="125"/>
      <c r="J9" s="125"/>
    </row>
    <row r="10" spans="1:10" ht="15">
      <c r="A10" s="125"/>
      <c r="B10" s="125"/>
      <c r="C10" s="125"/>
      <c r="D10" s="125"/>
      <c r="E10" s="125"/>
      <c r="F10" s="125"/>
      <c r="G10" s="125"/>
      <c r="H10" s="125"/>
      <c r="I10" s="125"/>
      <c r="J10" s="125"/>
    </row>
    <row r="11" spans="1:10" ht="15.75">
      <c r="A11" s="255" t="s">
        <v>1350</v>
      </c>
      <c r="B11" s="255"/>
      <c r="C11" s="255"/>
      <c r="D11" s="255"/>
      <c r="E11" s="255"/>
      <c r="F11" s="255"/>
      <c r="G11" s="255"/>
      <c r="H11" s="125"/>
      <c r="I11" s="163">
        <f>'T1 GEN-2-3-4'!I23+SUM('T1 GEN-2-3-4'!I30:I34)</f>
        <v>0</v>
      </c>
      <c r="J11" s="272">
        <v>1</v>
      </c>
    </row>
    <row r="12" spans="1:10" ht="15.75">
      <c r="A12" s="125" t="s">
        <v>148</v>
      </c>
      <c r="B12" s="125"/>
      <c r="C12" s="125"/>
      <c r="D12" s="125"/>
      <c r="E12" s="125"/>
      <c r="F12" s="125"/>
      <c r="G12" s="125"/>
      <c r="H12" s="125"/>
      <c r="I12" s="125"/>
      <c r="J12" s="175"/>
    </row>
    <row r="13" spans="1:10" ht="15.75">
      <c r="A13" s="255" t="s">
        <v>791</v>
      </c>
      <c r="B13" s="255"/>
      <c r="C13" s="255"/>
      <c r="D13" s="255"/>
      <c r="E13" s="255"/>
      <c r="F13" s="255"/>
      <c r="G13" s="255"/>
      <c r="H13" s="5">
        <v>373</v>
      </c>
      <c r="I13" s="158"/>
      <c r="J13" s="272">
        <v>2</v>
      </c>
    </row>
    <row r="14" spans="1:10" ht="15.75">
      <c r="A14" s="264"/>
      <c r="B14" s="255"/>
      <c r="C14" s="255"/>
      <c r="D14" s="255"/>
      <c r="E14" s="264"/>
      <c r="F14" s="264"/>
      <c r="G14" s="264" t="s">
        <v>149</v>
      </c>
      <c r="H14" s="125"/>
      <c r="I14" s="162">
        <f>MAXA(0,I11+I13)</f>
        <v>0</v>
      </c>
      <c r="J14" s="272">
        <v>3</v>
      </c>
    </row>
    <row r="15" spans="1:10" ht="15.75">
      <c r="A15" s="125" t="s">
        <v>1723</v>
      </c>
      <c r="B15" s="125"/>
      <c r="C15" s="125"/>
      <c r="D15" s="125"/>
      <c r="E15" s="125"/>
      <c r="F15" s="125"/>
      <c r="G15" s="125"/>
      <c r="H15" s="155"/>
      <c r="I15" s="125"/>
      <c r="J15" s="272"/>
    </row>
    <row r="16" spans="1:10" ht="15.75">
      <c r="A16" s="255" t="s">
        <v>150</v>
      </c>
      <c r="B16" s="255"/>
      <c r="C16" s="255"/>
      <c r="D16" s="255"/>
      <c r="E16" s="255"/>
      <c r="F16" s="264"/>
      <c r="G16" s="264"/>
      <c r="H16" s="125"/>
      <c r="I16" s="163">
        <f>MISC!L68</f>
        <v>0</v>
      </c>
      <c r="J16" s="272">
        <v>4</v>
      </c>
    </row>
    <row r="17" spans="1:10" ht="15.75">
      <c r="A17" s="255"/>
      <c r="B17" s="255"/>
      <c r="C17" s="255"/>
      <c r="D17" s="255"/>
      <c r="E17" s="255"/>
      <c r="F17" s="264"/>
      <c r="G17" s="264" t="s">
        <v>1206</v>
      </c>
      <c r="H17" s="125"/>
      <c r="I17" s="162">
        <f>I14+I16</f>
        <v>0</v>
      </c>
      <c r="J17" s="272">
        <v>5</v>
      </c>
    </row>
    <row r="18" spans="1:10" ht="15.75">
      <c r="A18" s="255" t="s">
        <v>1207</v>
      </c>
      <c r="B18" s="255"/>
      <c r="C18" s="255"/>
      <c r="D18" s="255"/>
      <c r="E18" s="255"/>
      <c r="F18" s="264"/>
      <c r="G18" s="255" t="s">
        <v>797</v>
      </c>
      <c r="H18" s="125"/>
      <c r="I18" s="162">
        <v>3500</v>
      </c>
      <c r="J18" s="272">
        <v>6</v>
      </c>
    </row>
    <row r="19" spans="1:10" ht="15.75">
      <c r="A19" s="125"/>
      <c r="B19" s="125"/>
      <c r="C19" s="125"/>
      <c r="D19" s="125"/>
      <c r="E19" s="125"/>
      <c r="F19" s="125"/>
      <c r="G19" s="126" t="s">
        <v>1208</v>
      </c>
      <c r="H19" s="125"/>
      <c r="I19" s="125"/>
      <c r="J19" s="175"/>
    </row>
    <row r="20" spans="1:10" ht="15.75">
      <c r="A20" s="255"/>
      <c r="B20" s="255"/>
      <c r="C20" s="255"/>
      <c r="D20" s="255"/>
      <c r="E20" s="255"/>
      <c r="F20" s="264"/>
      <c r="G20" s="264" t="s">
        <v>1748</v>
      </c>
      <c r="H20" s="125"/>
      <c r="I20" s="163">
        <f>IF(I17-I18&lt;0,0,MINA(34800,I17-I18))</f>
        <v>0</v>
      </c>
      <c r="J20" s="272">
        <v>7</v>
      </c>
    </row>
    <row r="21" spans="1:10" ht="15">
      <c r="A21" s="125"/>
      <c r="B21" s="125"/>
      <c r="C21" s="125"/>
      <c r="D21" s="125"/>
      <c r="E21" s="125"/>
      <c r="F21" s="125"/>
      <c r="G21" s="125"/>
      <c r="H21" s="125"/>
      <c r="I21" s="125"/>
      <c r="J21" s="157"/>
    </row>
    <row r="22" spans="1:10" ht="15.75">
      <c r="A22" s="255"/>
      <c r="B22" s="255"/>
      <c r="C22" s="255"/>
      <c r="D22" s="255"/>
      <c r="E22" s="255"/>
      <c r="F22" s="255"/>
      <c r="G22" s="264" t="s">
        <v>798</v>
      </c>
      <c r="H22" s="125"/>
      <c r="I22" s="163">
        <f>I20*0.086</f>
        <v>0</v>
      </c>
      <c r="J22" s="272">
        <v>8</v>
      </c>
    </row>
    <row r="23" spans="1:10" ht="15.75">
      <c r="A23" s="125" t="s">
        <v>1209</v>
      </c>
      <c r="B23" s="125"/>
      <c r="C23" s="125"/>
      <c r="D23" s="125"/>
      <c r="E23" s="125"/>
      <c r="F23" s="125"/>
      <c r="G23" s="125"/>
      <c r="H23" s="125"/>
      <c r="I23" s="125"/>
      <c r="J23" s="175"/>
    </row>
    <row r="24" spans="1:10" ht="15.75">
      <c r="A24" s="255" t="s">
        <v>1210</v>
      </c>
      <c r="B24" s="255"/>
      <c r="C24" s="255"/>
      <c r="D24" s="255"/>
      <c r="E24" s="163">
        <f>MISC!L69</f>
        <v>0</v>
      </c>
      <c r="F24" s="255"/>
      <c r="G24" s="284" t="s">
        <v>1211</v>
      </c>
      <c r="H24" s="125"/>
      <c r="I24" s="163">
        <f>2*E24</f>
        <v>0</v>
      </c>
      <c r="J24" s="272">
        <v>9</v>
      </c>
    </row>
    <row r="25" spans="1:10" ht="15.75">
      <c r="A25" s="149" t="s">
        <v>1749</v>
      </c>
      <c r="B25" s="125"/>
      <c r="C25" s="125"/>
      <c r="D25" s="125"/>
      <c r="E25" s="125"/>
      <c r="F25" s="125"/>
      <c r="G25" s="125"/>
      <c r="H25" s="125"/>
      <c r="I25" s="125"/>
      <c r="J25" s="175"/>
    </row>
    <row r="26" spans="1:10" ht="15.75">
      <c r="A26" s="122" t="s">
        <v>1750</v>
      </c>
      <c r="B26" s="122"/>
      <c r="C26" s="122"/>
      <c r="D26" s="122"/>
      <c r="E26" s="122"/>
      <c r="F26" s="122"/>
      <c r="G26" s="122"/>
      <c r="H26" s="125"/>
      <c r="I26" s="163">
        <f>IF(I14&gt;0,MAXA(0,I22-I24),0)</f>
        <v>0</v>
      </c>
      <c r="J26" s="272">
        <v>10</v>
      </c>
    </row>
    <row r="27" spans="1:10" ht="15.75">
      <c r="A27" s="149" t="s">
        <v>916</v>
      </c>
      <c r="B27" s="125"/>
      <c r="C27" s="125"/>
      <c r="D27" s="125"/>
      <c r="E27" s="125"/>
      <c r="F27" s="125"/>
      <c r="G27" s="125"/>
      <c r="H27" s="125"/>
      <c r="I27" s="125"/>
      <c r="J27" s="157"/>
    </row>
    <row r="28" spans="1:10" ht="15">
      <c r="A28" s="125" t="s">
        <v>22</v>
      </c>
      <c r="B28" s="125"/>
      <c r="C28" s="125"/>
      <c r="D28" s="125"/>
      <c r="E28" s="125"/>
      <c r="F28" s="125"/>
      <c r="G28" s="125"/>
      <c r="H28" s="125"/>
      <c r="I28" s="125"/>
      <c r="J28" s="157"/>
    </row>
    <row r="29" spans="1:10" ht="15.75">
      <c r="A29" s="122" t="s">
        <v>23</v>
      </c>
      <c r="B29" s="122"/>
      <c r="C29" s="122"/>
      <c r="D29" s="122"/>
      <c r="E29" s="122"/>
      <c r="F29" s="122"/>
      <c r="G29" s="122"/>
      <c r="H29" s="125"/>
      <c r="I29" s="163">
        <f>0.5*I26</f>
        <v>0</v>
      </c>
      <c r="J29" s="272">
        <v>11</v>
      </c>
    </row>
    <row r="30" spans="1:10" ht="15">
      <c r="A30" s="125"/>
      <c r="B30" s="125"/>
      <c r="C30" s="125"/>
      <c r="D30" s="125"/>
      <c r="E30" s="125"/>
      <c r="F30" s="125"/>
      <c r="G30" s="125"/>
      <c r="H30" s="125"/>
      <c r="I30" s="125"/>
      <c r="J30" s="157"/>
    </row>
    <row r="31" spans="1:10" ht="15">
      <c r="A31" s="363" t="s">
        <v>796</v>
      </c>
      <c r="B31" s="125"/>
      <c r="C31" s="125"/>
      <c r="D31" s="125"/>
      <c r="E31" s="125"/>
      <c r="F31" s="125"/>
      <c r="G31" s="125"/>
      <c r="H31" s="125"/>
      <c r="I31" s="177"/>
      <c r="J31" s="157"/>
    </row>
    <row r="32" spans="1:10" ht="15">
      <c r="A32" s="125"/>
      <c r="B32" s="125"/>
      <c r="C32" s="125"/>
      <c r="D32" s="125"/>
      <c r="E32" s="125"/>
      <c r="F32" s="125"/>
      <c r="G32" s="125"/>
      <c r="H32" s="125"/>
      <c r="I32" s="125"/>
      <c r="J32" s="157" t="s">
        <v>1582</v>
      </c>
    </row>
  </sheetData>
  <sheetProtection password="EC35" sheet="1" objects="1" scenarios="1"/>
  <printOptions horizontalCentered="1"/>
  <pageMargins left="0.5118110236220472" right="0.5118110236220472" top="0.5118110236220472" bottom="0.5118110236220472" header="0.5118110236220472" footer="0.5118110236220472"/>
  <pageSetup fitToHeight="0" fitToWidth="1" horizontalDpi="600" verticalDpi="600" orientation="portrait" scale="75" r:id="rId2"/>
  <rowBreaks count="1" manualBreakCount="1">
    <brk id="31" max="6553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 transitionEvaluation="1">
    <pageSetUpPr fitToPage="1"/>
  </sheetPr>
  <dimension ref="A1:J32"/>
  <sheetViews>
    <sheetView showGridLines="0" showRowColHeaders="0" zoomScale="70" zoomScaleNormal="70" workbookViewId="0" topLeftCell="A1">
      <selection activeCell="B1" sqref="B1"/>
    </sheetView>
  </sheetViews>
  <sheetFormatPr defaultColWidth="9.77734375" defaultRowHeight="15"/>
  <cols>
    <col min="1" max="1" width="31.99609375" style="0" customWidth="1"/>
    <col min="2" max="2" width="6.77734375" style="0" customWidth="1"/>
    <col min="3" max="3" width="13.77734375" style="0" customWidth="1"/>
    <col min="4" max="4" width="5.4453125" style="0" customWidth="1"/>
    <col min="5" max="5" width="13.77734375" style="0" customWidth="1"/>
    <col min="6" max="6" width="5.77734375" style="0" customWidth="1"/>
    <col min="7" max="7" width="13.77734375" style="0" customWidth="1"/>
    <col min="8" max="8" width="4.77734375" style="0" customWidth="1"/>
    <col min="9" max="9" width="13.77734375" style="0" customWidth="1"/>
    <col min="10" max="10" width="6.77734375" style="0" customWidth="1"/>
    <col min="11" max="14" width="13.77734375" style="0" customWidth="1"/>
  </cols>
  <sheetData>
    <row r="1" spans="1:10" ht="23.25">
      <c r="A1" s="234" t="s">
        <v>390</v>
      </c>
      <c r="B1" s="125"/>
      <c r="C1" s="234" t="s">
        <v>1212</v>
      </c>
      <c r="D1" s="125"/>
      <c r="E1" s="125"/>
      <c r="F1" s="125"/>
      <c r="G1" s="125"/>
      <c r="H1" s="125"/>
      <c r="I1" s="125"/>
      <c r="J1" s="299" t="s">
        <v>686</v>
      </c>
    </row>
    <row r="2" spans="1:10" ht="15">
      <c r="A2" s="125"/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5">
      <c r="A3" s="125" t="s">
        <v>184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5">
      <c r="A4" s="125" t="s">
        <v>14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ht="15.75">
      <c r="A5" s="447"/>
      <c r="B5" s="125"/>
      <c r="C5" s="125"/>
      <c r="D5" s="125"/>
      <c r="E5" s="125"/>
      <c r="F5" s="175"/>
      <c r="G5" s="125"/>
      <c r="H5" s="125"/>
      <c r="I5" s="125"/>
      <c r="J5" s="125"/>
    </row>
    <row r="6" spans="1:10" ht="20.25" customHeight="1">
      <c r="A6" s="122" t="s">
        <v>350</v>
      </c>
      <c r="B6" s="122"/>
      <c r="C6" s="122"/>
      <c r="D6" s="122"/>
      <c r="E6" s="122"/>
      <c r="F6" s="122"/>
      <c r="G6" s="163">
        <f>MISC!L70</f>
        <v>0</v>
      </c>
      <c r="H6" s="272">
        <v>1</v>
      </c>
      <c r="I6" s="125"/>
      <c r="J6" s="125"/>
    </row>
    <row r="7" spans="1:10" ht="15">
      <c r="A7" s="130"/>
      <c r="B7" s="130"/>
      <c r="C7" s="130"/>
      <c r="D7" s="130"/>
      <c r="E7" s="130"/>
      <c r="F7" s="130"/>
      <c r="G7" s="130"/>
      <c r="H7" s="125"/>
      <c r="I7" s="125"/>
      <c r="J7" s="125"/>
    </row>
    <row r="8" spans="1:10" ht="15.75">
      <c r="A8" s="122" t="s">
        <v>185</v>
      </c>
      <c r="B8" s="122"/>
      <c r="C8" s="122"/>
      <c r="D8" s="122"/>
      <c r="E8" s="163">
        <f>'T1 GEN-2-3-4'!K84</f>
        <v>0</v>
      </c>
      <c r="F8" s="122"/>
      <c r="G8" s="304" t="s">
        <v>351</v>
      </c>
      <c r="H8" s="125"/>
      <c r="I8" s="163">
        <f>E8*0.75</f>
        <v>0</v>
      </c>
      <c r="J8" s="272">
        <v>2</v>
      </c>
    </row>
    <row r="9" spans="1:10" ht="30" customHeight="1">
      <c r="A9" s="153" t="s">
        <v>1606</v>
      </c>
      <c r="B9" s="186"/>
      <c r="C9" s="186"/>
      <c r="D9" s="186"/>
      <c r="E9" s="186"/>
      <c r="F9" s="186"/>
      <c r="G9" s="186"/>
      <c r="H9" s="125"/>
      <c r="I9" s="125"/>
      <c r="J9" s="125"/>
    </row>
    <row r="10" spans="1:10" ht="15">
      <c r="A10" s="186" t="s">
        <v>352</v>
      </c>
      <c r="B10" s="186"/>
      <c r="C10" s="186"/>
      <c r="D10" s="186"/>
      <c r="E10" s="186"/>
      <c r="F10" s="186"/>
      <c r="G10" s="186"/>
      <c r="H10" s="186"/>
      <c r="I10" s="125"/>
      <c r="J10" s="125"/>
    </row>
    <row r="11" spans="1:10" ht="15">
      <c r="A11" s="186"/>
      <c r="B11" s="186"/>
      <c r="C11" s="186"/>
      <c r="D11" s="186"/>
      <c r="E11" s="186"/>
      <c r="F11" s="186"/>
      <c r="G11" s="186"/>
      <c r="H11" s="186"/>
      <c r="I11" s="125"/>
      <c r="J11" s="125"/>
    </row>
    <row r="12" spans="1:10" ht="15">
      <c r="A12" s="186" t="s">
        <v>353</v>
      </c>
      <c r="B12" s="186"/>
      <c r="C12" s="186"/>
      <c r="D12" s="365"/>
      <c r="E12" s="186"/>
      <c r="F12" s="186"/>
      <c r="G12" s="186"/>
      <c r="H12" s="186"/>
      <c r="I12" s="125"/>
      <c r="J12" s="125"/>
    </row>
    <row r="13" spans="1:10" ht="15.75">
      <c r="A13" s="122" t="s">
        <v>186</v>
      </c>
      <c r="B13" s="122"/>
      <c r="C13" s="122"/>
      <c r="D13" s="112">
        <v>337</v>
      </c>
      <c r="E13" s="163">
        <f>MISC!L71</f>
        <v>0</v>
      </c>
      <c r="F13" s="275">
        <v>3</v>
      </c>
      <c r="G13" s="186"/>
      <c r="H13" s="125"/>
      <c r="I13" s="125"/>
      <c r="J13" s="125"/>
    </row>
    <row r="14" spans="1:10" ht="15">
      <c r="A14" s="123"/>
      <c r="B14" s="123"/>
      <c r="C14" s="123"/>
      <c r="D14" s="123"/>
      <c r="E14" s="123"/>
      <c r="F14" s="194"/>
      <c r="G14" s="186"/>
      <c r="H14" s="125"/>
      <c r="I14" s="125"/>
      <c r="J14" s="125"/>
    </row>
    <row r="15" spans="1:10" ht="15">
      <c r="A15" s="130" t="s">
        <v>1607</v>
      </c>
      <c r="B15" s="130"/>
      <c r="C15" s="130"/>
      <c r="D15" s="130"/>
      <c r="E15" s="130"/>
      <c r="F15" s="194"/>
      <c r="G15" s="186"/>
      <c r="H15" s="125"/>
      <c r="I15" s="125"/>
      <c r="J15" s="125"/>
    </row>
    <row r="16" spans="1:10" ht="15.75">
      <c r="A16" s="122" t="s">
        <v>1608</v>
      </c>
      <c r="B16" s="122"/>
      <c r="C16" s="122"/>
      <c r="D16" s="112">
        <v>339</v>
      </c>
      <c r="E16" s="163">
        <f>MISC!L72</f>
        <v>0</v>
      </c>
      <c r="F16" s="275">
        <v>4</v>
      </c>
      <c r="G16" s="186"/>
      <c r="H16" s="125"/>
      <c r="I16" s="125"/>
      <c r="J16" s="125"/>
    </row>
    <row r="17" spans="1:10" ht="15.75">
      <c r="A17" s="123"/>
      <c r="B17" s="123"/>
      <c r="C17" s="141" t="s">
        <v>354</v>
      </c>
      <c r="D17" s="123"/>
      <c r="E17" s="162">
        <f>E13+E16</f>
        <v>0</v>
      </c>
      <c r="F17" s="122"/>
      <c r="G17" s="304" t="s">
        <v>355</v>
      </c>
      <c r="H17" s="125"/>
      <c r="I17" s="163">
        <f>0.25*E17</f>
        <v>0</v>
      </c>
      <c r="J17" s="272">
        <v>5</v>
      </c>
    </row>
    <row r="18" spans="1:10" ht="15.75">
      <c r="A18" s="130"/>
      <c r="B18" s="130"/>
      <c r="C18" s="130"/>
      <c r="D18" s="130"/>
      <c r="E18" s="130"/>
      <c r="F18" s="130"/>
      <c r="G18" s="156" t="s">
        <v>906</v>
      </c>
      <c r="H18" s="125"/>
      <c r="I18" s="125"/>
      <c r="J18" s="272"/>
    </row>
    <row r="19" spans="1:10" ht="15.75">
      <c r="A19" s="122"/>
      <c r="B19" s="122"/>
      <c r="C19" s="122"/>
      <c r="D19" s="122"/>
      <c r="E19" s="122"/>
      <c r="F19" s="122"/>
      <c r="G19" s="143" t="s">
        <v>533</v>
      </c>
      <c r="H19" s="125"/>
      <c r="I19" s="163">
        <f>MINA(I8+I17,E8)</f>
        <v>0</v>
      </c>
      <c r="J19" s="272">
        <v>6</v>
      </c>
    </row>
    <row r="20" spans="1:10" ht="22.5" customHeight="1">
      <c r="A20" s="130"/>
      <c r="B20" s="130"/>
      <c r="C20" s="130"/>
      <c r="D20" s="130"/>
      <c r="E20" s="130"/>
      <c r="F20" s="130"/>
      <c r="G20" s="156"/>
      <c r="H20" s="125"/>
      <c r="I20" s="125"/>
      <c r="J20" s="272"/>
    </row>
    <row r="21" spans="1:10" ht="17.25" customHeight="1">
      <c r="A21" s="186" t="s">
        <v>167</v>
      </c>
      <c r="B21" s="186"/>
      <c r="C21" s="186"/>
      <c r="D21" s="186"/>
      <c r="E21" s="186"/>
      <c r="F21" s="186"/>
      <c r="G21" s="186"/>
      <c r="H21" s="125"/>
      <c r="I21" s="125"/>
      <c r="J21" s="125"/>
    </row>
    <row r="22" spans="1:10" ht="15.75">
      <c r="A22" s="122" t="s">
        <v>534</v>
      </c>
      <c r="B22" s="122"/>
      <c r="C22" s="122"/>
      <c r="D22" s="112">
        <v>340</v>
      </c>
      <c r="E22" s="163">
        <f>MINA(G6,I19)</f>
        <v>0</v>
      </c>
      <c r="F22" s="186"/>
      <c r="G22" s="186"/>
      <c r="H22" s="125"/>
      <c r="I22" s="125"/>
      <c r="J22" s="125"/>
    </row>
    <row r="23" spans="1:10" ht="15">
      <c r="A23" s="130"/>
      <c r="B23" s="130"/>
      <c r="C23" s="130"/>
      <c r="D23" s="130"/>
      <c r="E23" s="130"/>
      <c r="F23" s="186"/>
      <c r="G23" s="186"/>
      <c r="H23" s="125"/>
      <c r="I23" s="125"/>
      <c r="J23" s="125"/>
    </row>
    <row r="24" spans="1:10" ht="15.75">
      <c r="A24" s="122" t="s">
        <v>168</v>
      </c>
      <c r="B24" s="122"/>
      <c r="C24" s="122"/>
      <c r="D24" s="112">
        <v>342</v>
      </c>
      <c r="E24" s="163">
        <f>MISC!L73</f>
        <v>0</v>
      </c>
      <c r="F24" s="186"/>
      <c r="G24" s="186"/>
      <c r="H24" s="125"/>
      <c r="I24" s="125"/>
      <c r="J24" s="125"/>
    </row>
    <row r="25" spans="1:10" ht="15.75">
      <c r="A25" s="123"/>
      <c r="B25" s="123"/>
      <c r="C25" s="141" t="s">
        <v>169</v>
      </c>
      <c r="D25" s="366">
        <v>344</v>
      </c>
      <c r="E25" s="162">
        <f>E22+E24</f>
        <v>0</v>
      </c>
      <c r="F25" s="186"/>
      <c r="G25" s="186"/>
      <c r="H25" s="125"/>
      <c r="I25" s="125"/>
      <c r="J25" s="125"/>
    </row>
    <row r="26" spans="1:10" ht="15.75">
      <c r="A26" s="123" t="s">
        <v>1033</v>
      </c>
      <c r="B26" s="123"/>
      <c r="C26" s="123"/>
      <c r="D26" s="366">
        <v>345</v>
      </c>
      <c r="E26" s="162">
        <f>MINA(200,E25)</f>
        <v>0</v>
      </c>
      <c r="F26" s="122"/>
      <c r="G26" s="304" t="s">
        <v>535</v>
      </c>
      <c r="H26" s="2">
        <v>346</v>
      </c>
      <c r="I26" s="163">
        <f>0.16*E26</f>
        <v>0</v>
      </c>
      <c r="J26" s="272">
        <v>7</v>
      </c>
    </row>
    <row r="27" spans="1:10" ht="15.75">
      <c r="A27" s="123"/>
      <c r="B27" s="123"/>
      <c r="C27" s="141" t="s">
        <v>1034</v>
      </c>
      <c r="D27" s="366">
        <v>347</v>
      </c>
      <c r="E27" s="162">
        <f>E25-E26</f>
        <v>0</v>
      </c>
      <c r="F27" s="123"/>
      <c r="G27" s="367" t="s">
        <v>1035</v>
      </c>
      <c r="H27" s="2">
        <v>348</v>
      </c>
      <c r="I27" s="162">
        <f>0.29*E27</f>
        <v>0</v>
      </c>
      <c r="J27" s="272">
        <v>8</v>
      </c>
    </row>
    <row r="28" spans="1:10" ht="15.75">
      <c r="A28" s="156"/>
      <c r="B28" s="130"/>
      <c r="C28" s="130"/>
      <c r="D28" s="130"/>
      <c r="E28" s="130"/>
      <c r="F28" s="307" t="s">
        <v>1036</v>
      </c>
      <c r="G28" s="368" t="s">
        <v>1037</v>
      </c>
      <c r="H28" s="125"/>
      <c r="I28" s="125"/>
      <c r="J28" s="175"/>
    </row>
    <row r="29" spans="1:10" ht="15.75">
      <c r="A29" s="186"/>
      <c r="B29" s="186"/>
      <c r="C29" s="186"/>
      <c r="D29" s="186"/>
      <c r="E29" s="186"/>
      <c r="F29" s="186"/>
      <c r="G29" s="155" t="s">
        <v>536</v>
      </c>
      <c r="H29" s="125"/>
      <c r="I29" s="163">
        <f>I26+I27</f>
        <v>0</v>
      </c>
      <c r="J29" s="272">
        <v>9</v>
      </c>
    </row>
    <row r="30" spans="1:10" ht="15">
      <c r="A30" s="125"/>
      <c r="B30" s="125"/>
      <c r="C30" s="125"/>
      <c r="D30" s="125"/>
      <c r="E30" s="125"/>
      <c r="F30" s="125"/>
      <c r="G30" s="125"/>
      <c r="H30" s="125"/>
      <c r="I30" s="125"/>
      <c r="J30" s="125"/>
    </row>
    <row r="31" spans="1:10" ht="15">
      <c r="A31" s="125"/>
      <c r="B31" s="125"/>
      <c r="C31" s="125"/>
      <c r="D31" s="125"/>
      <c r="E31" s="125"/>
      <c r="F31" s="125"/>
      <c r="G31" s="125"/>
      <c r="H31" s="125"/>
      <c r="I31" s="177"/>
      <c r="J31" s="125"/>
    </row>
    <row r="32" spans="1:10" ht="15">
      <c r="A32" s="125" t="s">
        <v>1038</v>
      </c>
      <c r="B32" s="125"/>
      <c r="C32" s="125"/>
      <c r="D32" s="125"/>
      <c r="E32" s="125"/>
      <c r="F32" s="125"/>
      <c r="G32" s="125"/>
      <c r="H32" s="125"/>
      <c r="I32" s="125"/>
      <c r="J32" s="125" t="s">
        <v>1213</v>
      </c>
    </row>
  </sheetData>
  <sheetProtection password="EC35" sheet="1" objects="1" scenarios="1"/>
  <printOptions horizontalCentered="1"/>
  <pageMargins left="0.35" right="0.35" top="0.511811023622047" bottom="0.261811024" header="0.511811023622047" footer="0.511811023622047"/>
  <pageSetup fitToHeight="0" fitToWidth="1" horizontalDpi="600" verticalDpi="600" orientation="portrait" scale="71" r:id="rId2"/>
  <rowBreaks count="1" manualBreakCount="1">
    <brk id="32" max="6553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 transitionEvaluation="1">
    <pageSetUpPr fitToPage="1"/>
  </sheetPr>
  <dimension ref="A1:J65"/>
  <sheetViews>
    <sheetView showGridLines="0" showRowColHeaders="0" zoomScale="70" zoomScaleNormal="70" workbookViewId="0" topLeftCell="A1">
      <selection activeCell="B1" sqref="B1"/>
    </sheetView>
  </sheetViews>
  <sheetFormatPr defaultColWidth="9.77734375" defaultRowHeight="15"/>
  <cols>
    <col min="1" max="1" width="40.88671875" style="0" customWidth="1"/>
    <col min="2" max="2" width="4.77734375" style="0" customWidth="1"/>
    <col min="3" max="3" width="12.77734375" style="0" customWidth="1"/>
    <col min="4" max="4" width="4.77734375" style="0" customWidth="1"/>
    <col min="5" max="5" width="12.77734375" style="0" customWidth="1"/>
    <col min="6" max="6" width="4.77734375" style="0" customWidth="1"/>
    <col min="7" max="7" width="12.77734375" style="0" customWidth="1"/>
    <col min="8" max="8" width="4.77734375" style="0" customWidth="1"/>
    <col min="9" max="9" width="12.77734375" style="0" customWidth="1"/>
    <col min="10" max="10" width="4.77734375" style="0" customWidth="1"/>
  </cols>
  <sheetData>
    <row r="1" spans="1:10" ht="20.25">
      <c r="A1" s="121" t="s">
        <v>390</v>
      </c>
      <c r="B1" s="129" t="s">
        <v>397</v>
      </c>
      <c r="C1" s="364"/>
      <c r="D1" s="364"/>
      <c r="E1" s="364"/>
      <c r="F1" s="369"/>
      <c r="G1" s="369"/>
      <c r="H1" s="369"/>
      <c r="I1" s="369"/>
      <c r="J1" s="339" t="s">
        <v>417</v>
      </c>
    </row>
    <row r="2" spans="1:10" ht="10.5" customHeight="1">
      <c r="A2" s="125"/>
      <c r="B2" s="157"/>
      <c r="C2" s="125"/>
      <c r="D2" s="125"/>
      <c r="E2" s="125"/>
      <c r="F2" s="125"/>
      <c r="G2" s="125"/>
      <c r="H2" s="125"/>
      <c r="I2" s="125"/>
      <c r="J2" s="125"/>
    </row>
    <row r="3" spans="1:10" ht="15.75">
      <c r="A3" s="149" t="s">
        <v>398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5">
      <c r="A4" s="125" t="s">
        <v>399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ht="15">
      <c r="A5" s="125" t="s">
        <v>349</v>
      </c>
      <c r="B5" s="125"/>
      <c r="C5" s="125"/>
      <c r="D5" s="125"/>
      <c r="E5" s="125"/>
      <c r="F5" s="125"/>
      <c r="G5" s="125"/>
      <c r="H5" s="125"/>
      <c r="I5" s="125"/>
      <c r="J5" s="125"/>
    </row>
    <row r="6" spans="1:10" ht="15.75">
      <c r="A6" s="125" t="s">
        <v>400</v>
      </c>
      <c r="B6" s="125"/>
      <c r="C6" s="125"/>
      <c r="D6" s="125"/>
      <c r="E6" s="125"/>
      <c r="F6" s="125"/>
      <c r="G6" s="125"/>
      <c r="H6" s="125"/>
      <c r="I6" s="125"/>
      <c r="J6" s="125"/>
    </row>
    <row r="7" spans="1:10" ht="15">
      <c r="A7" s="125"/>
      <c r="B7" s="125"/>
      <c r="C7" s="125"/>
      <c r="D7" s="125"/>
      <c r="E7" s="125"/>
      <c r="F7" s="125"/>
      <c r="G7" s="125"/>
      <c r="H7" s="125"/>
      <c r="I7" s="125"/>
      <c r="J7" s="125"/>
    </row>
    <row r="8" spans="1:10" ht="15.75">
      <c r="A8" s="149" t="s">
        <v>401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0" ht="15.75">
      <c r="A9" s="149" t="s">
        <v>1724</v>
      </c>
      <c r="B9" s="125"/>
      <c r="C9" s="125"/>
      <c r="D9" s="125"/>
      <c r="E9" s="125"/>
      <c r="F9" s="125"/>
      <c r="G9" s="125"/>
      <c r="H9" s="125"/>
      <c r="I9" s="125"/>
      <c r="J9" s="125"/>
    </row>
    <row r="10" spans="1:10" ht="15">
      <c r="A10" s="125" t="s">
        <v>816</v>
      </c>
      <c r="B10" s="125"/>
      <c r="C10" s="125"/>
      <c r="D10" s="125"/>
      <c r="E10" s="125"/>
      <c r="F10" s="125"/>
      <c r="G10" s="125"/>
      <c r="H10" s="125"/>
      <c r="I10" s="125"/>
      <c r="J10" s="125"/>
    </row>
    <row r="11" spans="1:10" ht="15">
      <c r="A11" s="282" t="s">
        <v>951</v>
      </c>
      <c r="B11" s="125"/>
      <c r="C11" s="125"/>
      <c r="D11" s="125"/>
      <c r="E11" s="125"/>
      <c r="F11" s="125"/>
      <c r="G11" s="125"/>
      <c r="H11" s="125"/>
      <c r="I11" s="125"/>
      <c r="J11" s="125"/>
    </row>
    <row r="12" spans="1:10" ht="15">
      <c r="A12" s="125" t="s">
        <v>952</v>
      </c>
      <c r="B12" s="125"/>
      <c r="C12" s="125"/>
      <c r="D12" s="125"/>
      <c r="E12" s="125"/>
      <c r="F12" s="125"/>
      <c r="G12" s="125"/>
      <c r="H12" s="125"/>
      <c r="I12" s="125"/>
      <c r="J12" s="125"/>
    </row>
    <row r="13" spans="1:10" ht="15">
      <c r="A13" s="282" t="s">
        <v>953</v>
      </c>
      <c r="B13" s="125"/>
      <c r="C13" s="125"/>
      <c r="D13" s="125"/>
      <c r="E13" s="125"/>
      <c r="F13" s="125"/>
      <c r="G13" s="125"/>
      <c r="H13" s="125"/>
      <c r="I13" s="125"/>
      <c r="J13" s="125"/>
    </row>
    <row r="14" spans="1:10" ht="15">
      <c r="A14" s="125" t="s">
        <v>954</v>
      </c>
      <c r="B14" s="125"/>
      <c r="C14" s="125"/>
      <c r="D14" s="125"/>
      <c r="E14" s="125"/>
      <c r="F14" s="125"/>
      <c r="G14" s="125"/>
      <c r="H14" s="125"/>
      <c r="I14" s="125"/>
      <c r="J14" s="125"/>
    </row>
    <row r="15" spans="1:10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</row>
    <row r="16" spans="1:10" ht="15.75">
      <c r="A16" s="149" t="s">
        <v>1651</v>
      </c>
      <c r="B16" s="125"/>
      <c r="C16" s="125"/>
      <c r="D16" s="125"/>
      <c r="E16" s="125"/>
      <c r="F16" s="125"/>
      <c r="G16" s="125"/>
      <c r="H16" s="125"/>
      <c r="I16" s="125"/>
      <c r="J16" s="125"/>
    </row>
    <row r="17" spans="1:10" ht="15.75">
      <c r="A17" s="149" t="s">
        <v>1650</v>
      </c>
      <c r="B17" s="125"/>
      <c r="C17" s="125"/>
      <c r="D17" s="125"/>
      <c r="E17" s="125"/>
      <c r="F17" s="125"/>
      <c r="G17" s="125"/>
      <c r="H17" s="125"/>
      <c r="I17" s="125"/>
      <c r="J17" s="125"/>
    </row>
    <row r="18" spans="1:10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</row>
    <row r="19" spans="1:10" ht="15">
      <c r="A19" s="125" t="s">
        <v>418</v>
      </c>
      <c r="B19" s="125"/>
      <c r="C19" s="125"/>
      <c r="D19" s="125"/>
      <c r="E19" s="125"/>
      <c r="F19" s="125"/>
      <c r="G19" s="125"/>
      <c r="H19" s="125"/>
      <c r="I19" s="125"/>
      <c r="J19" s="125"/>
    </row>
    <row r="20" spans="1:10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</row>
    <row r="21" spans="1:10" ht="15.75">
      <c r="A21" s="255" t="s">
        <v>1588</v>
      </c>
      <c r="B21" s="255"/>
      <c r="C21" s="255"/>
      <c r="D21" s="255"/>
      <c r="E21" s="255"/>
      <c r="F21" s="255"/>
      <c r="G21" s="255"/>
      <c r="H21" s="125"/>
      <c r="I21" s="158"/>
      <c r="J21" s="160">
        <v>1</v>
      </c>
    </row>
    <row r="22" spans="1:10" ht="15.75">
      <c r="A22" s="125"/>
      <c r="B22" s="125"/>
      <c r="C22" s="125"/>
      <c r="D22" s="125"/>
      <c r="E22" s="125"/>
      <c r="F22" s="125"/>
      <c r="G22" s="125"/>
      <c r="H22" s="125"/>
      <c r="I22" s="125"/>
      <c r="J22" s="149"/>
    </row>
    <row r="23" spans="1:10" ht="15.75">
      <c r="A23" s="255" t="s">
        <v>1589</v>
      </c>
      <c r="B23" s="255"/>
      <c r="C23" s="255"/>
      <c r="D23" s="255"/>
      <c r="E23" s="255"/>
      <c r="F23" s="4">
        <v>320</v>
      </c>
      <c r="G23" s="158"/>
      <c r="H23" s="160">
        <v>2</v>
      </c>
      <c r="I23" s="125"/>
      <c r="J23" s="125"/>
    </row>
    <row r="24" spans="1:10" ht="15">
      <c r="A24" s="125" t="s">
        <v>1590</v>
      </c>
      <c r="B24" s="125"/>
      <c r="C24" s="125"/>
      <c r="D24" s="125"/>
      <c r="E24" s="125"/>
      <c r="F24" s="125"/>
      <c r="G24" s="125"/>
      <c r="H24" s="125"/>
      <c r="I24" s="125"/>
      <c r="J24" s="125"/>
    </row>
    <row r="25" spans="1:10" ht="15">
      <c r="A25" s="125" t="s">
        <v>1591</v>
      </c>
      <c r="B25" s="125"/>
      <c r="C25" s="125"/>
      <c r="D25" s="125"/>
      <c r="E25" s="125"/>
      <c r="F25" s="125"/>
      <c r="G25" s="125"/>
      <c r="H25" s="125"/>
      <c r="I25" s="125"/>
      <c r="J25" s="125"/>
    </row>
    <row r="26" spans="1:10" ht="15">
      <c r="A26" s="125" t="s">
        <v>419</v>
      </c>
      <c r="B26" s="125"/>
      <c r="C26" s="125"/>
      <c r="D26" s="125"/>
      <c r="E26" s="125"/>
      <c r="F26" s="125"/>
      <c r="G26" s="125"/>
      <c r="H26" s="125"/>
      <c r="I26" s="125"/>
      <c r="J26" s="125"/>
    </row>
    <row r="27" spans="1:10" ht="15.75">
      <c r="A27" s="255" t="s">
        <v>420</v>
      </c>
      <c r="B27" s="255"/>
      <c r="C27" s="283"/>
      <c r="D27" s="255"/>
      <c r="E27" s="255" t="s">
        <v>1592</v>
      </c>
      <c r="F27" s="4">
        <v>321</v>
      </c>
      <c r="G27" s="163">
        <f>120*MINA(C27+0,12)</f>
        <v>0</v>
      </c>
      <c r="H27" s="160">
        <v>3</v>
      </c>
      <c r="I27" s="125"/>
      <c r="J27" s="125"/>
    </row>
    <row r="28" spans="1:10" ht="15.75">
      <c r="A28" s="255" t="s">
        <v>421</v>
      </c>
      <c r="B28" s="255"/>
      <c r="C28" s="285"/>
      <c r="D28" s="255"/>
      <c r="E28" s="255" t="s">
        <v>1593</v>
      </c>
      <c r="F28" s="4">
        <v>322</v>
      </c>
      <c r="G28" s="162">
        <f>400*MINA(C28+0,12)</f>
        <v>0</v>
      </c>
      <c r="H28" s="160">
        <v>4</v>
      </c>
      <c r="I28" s="125"/>
      <c r="J28" s="125"/>
    </row>
    <row r="29" spans="1:10" ht="15">
      <c r="A29" s="125"/>
      <c r="B29" s="125"/>
      <c r="C29" s="125"/>
      <c r="D29" s="125"/>
      <c r="E29" s="125"/>
      <c r="F29" s="125"/>
      <c r="G29" s="125"/>
      <c r="H29" s="125"/>
      <c r="I29" s="125"/>
      <c r="J29" s="125"/>
    </row>
    <row r="30" spans="1:10" ht="15.75">
      <c r="A30" s="255"/>
      <c r="B30" s="255"/>
      <c r="C30" s="255"/>
      <c r="D30" s="255"/>
      <c r="E30" s="264" t="s">
        <v>1825</v>
      </c>
      <c r="F30" s="125"/>
      <c r="G30" s="163">
        <f>G23+G27+G28</f>
        <v>0</v>
      </c>
      <c r="H30" s="125"/>
      <c r="I30" s="163">
        <f>G30</f>
        <v>0</v>
      </c>
      <c r="J30" s="160">
        <v>5</v>
      </c>
    </row>
    <row r="31" spans="1:10" ht="15">
      <c r="A31" s="125"/>
      <c r="B31" s="125"/>
      <c r="C31" s="125"/>
      <c r="D31" s="125"/>
      <c r="E31" s="125"/>
      <c r="F31" s="125"/>
      <c r="G31" s="125"/>
      <c r="H31" s="125"/>
      <c r="I31" s="125"/>
      <c r="J31" s="125"/>
    </row>
    <row r="32" spans="1:10" ht="15.75">
      <c r="A32" s="255"/>
      <c r="B32" s="255"/>
      <c r="C32" s="255"/>
      <c r="D32" s="255"/>
      <c r="E32" s="255"/>
      <c r="F32" s="255"/>
      <c r="G32" s="264" t="s">
        <v>422</v>
      </c>
      <c r="H32" s="125"/>
      <c r="I32" s="163">
        <f>I21+I30</f>
        <v>0</v>
      </c>
      <c r="J32" s="160">
        <v>6</v>
      </c>
    </row>
    <row r="33" spans="1:10" ht="15">
      <c r="A33" s="125"/>
      <c r="B33" s="125"/>
      <c r="C33" s="125"/>
      <c r="D33" s="125"/>
      <c r="E33" s="125"/>
      <c r="F33" s="125"/>
      <c r="G33" s="125"/>
      <c r="H33" s="125"/>
      <c r="I33" s="125"/>
      <c r="J33" s="125"/>
    </row>
    <row r="34" spans="1:10" ht="15.75">
      <c r="A34" s="255" t="s">
        <v>423</v>
      </c>
      <c r="B34" s="255"/>
      <c r="C34" s="255"/>
      <c r="D34" s="255"/>
      <c r="E34" s="163">
        <f>'T1 GEN-2-3-4'!K99</f>
        <v>0</v>
      </c>
      <c r="F34" s="160">
        <v>7</v>
      </c>
      <c r="G34" s="125"/>
      <c r="H34" s="125"/>
      <c r="I34" s="125"/>
      <c r="J34" s="125"/>
    </row>
    <row r="35" spans="1:10" ht="15.75">
      <c r="A35" s="255" t="s">
        <v>424</v>
      </c>
      <c r="B35" s="255"/>
      <c r="C35" s="255"/>
      <c r="D35" s="255"/>
      <c r="E35" s="162">
        <f>SUM(Sch1!H23:H38)</f>
        <v>7412</v>
      </c>
      <c r="F35" s="160">
        <v>8</v>
      </c>
      <c r="G35" s="125"/>
      <c r="H35" s="125"/>
      <c r="I35" s="125"/>
      <c r="J35" s="125"/>
    </row>
    <row r="36" spans="1:10" ht="15.75">
      <c r="A36" s="264" t="s">
        <v>425</v>
      </c>
      <c r="B36" s="255"/>
      <c r="C36" s="255"/>
      <c r="D36" s="255"/>
      <c r="E36" s="162">
        <f>MAXA(0,E34-E35)</f>
        <v>0</v>
      </c>
      <c r="F36" s="160">
        <v>9</v>
      </c>
      <c r="G36" s="125"/>
      <c r="H36" s="125"/>
      <c r="I36" s="125"/>
      <c r="J36" s="125"/>
    </row>
    <row r="37" spans="1:10" ht="15">
      <c r="A37" s="125" t="s">
        <v>1826</v>
      </c>
      <c r="B37" s="125"/>
      <c r="C37" s="125"/>
      <c r="D37" s="125"/>
      <c r="E37" s="125"/>
      <c r="F37" s="125"/>
      <c r="G37" s="125"/>
      <c r="H37" s="125"/>
      <c r="I37" s="125"/>
      <c r="J37" s="125"/>
    </row>
    <row r="38" spans="1:10" ht="15.75">
      <c r="A38" s="255" t="s">
        <v>426</v>
      </c>
      <c r="B38" s="255"/>
      <c r="C38" s="255"/>
      <c r="D38" s="255"/>
      <c r="E38" s="163">
        <f>MINA(I21+0,E36)</f>
        <v>0</v>
      </c>
      <c r="F38" s="125"/>
      <c r="G38" s="163">
        <f>E38</f>
        <v>0</v>
      </c>
      <c r="H38" s="160">
        <v>10</v>
      </c>
      <c r="I38" s="125"/>
      <c r="J38" s="125"/>
    </row>
    <row r="39" spans="1:10" ht="15.75">
      <c r="A39" s="255"/>
      <c r="B39" s="255"/>
      <c r="C39" s="264" t="s">
        <v>427</v>
      </c>
      <c r="D39" s="255"/>
      <c r="E39" s="162">
        <f>E36-G38</f>
        <v>0</v>
      </c>
      <c r="F39" s="160">
        <v>11</v>
      </c>
      <c r="G39" s="125"/>
      <c r="H39" s="125"/>
      <c r="I39" s="125"/>
      <c r="J39" s="125"/>
    </row>
    <row r="40" spans="1:10" ht="15">
      <c r="A40" s="127" t="s">
        <v>1827</v>
      </c>
      <c r="B40" s="125"/>
      <c r="C40" s="125"/>
      <c r="D40" s="125"/>
      <c r="E40" s="125"/>
      <c r="F40" s="125"/>
      <c r="G40" s="125"/>
      <c r="H40" s="125"/>
      <c r="I40" s="125"/>
      <c r="J40" s="125"/>
    </row>
    <row r="41" spans="1:10" ht="15.75">
      <c r="A41" s="255" t="s">
        <v>428</v>
      </c>
      <c r="B41" s="255"/>
      <c r="C41" s="255"/>
      <c r="D41" s="255"/>
      <c r="E41" s="255"/>
      <c r="F41" s="255"/>
      <c r="G41" s="163">
        <f>MINA(I30,E39)</f>
        <v>0</v>
      </c>
      <c r="H41" s="160">
        <v>12</v>
      </c>
      <c r="I41" s="125"/>
      <c r="J41" s="125"/>
    </row>
    <row r="42" spans="1:10" ht="15.75">
      <c r="A42" s="125"/>
      <c r="B42" s="125"/>
      <c r="C42" s="125"/>
      <c r="D42" s="125"/>
      <c r="E42" s="140" t="s">
        <v>348</v>
      </c>
      <c r="F42" s="125"/>
      <c r="G42" s="125"/>
      <c r="H42" s="149"/>
      <c r="I42" s="125"/>
      <c r="J42" s="125"/>
    </row>
    <row r="43" spans="1:10" ht="15.75">
      <c r="A43" s="255"/>
      <c r="B43" s="255"/>
      <c r="C43" s="255"/>
      <c r="D43" s="255"/>
      <c r="E43" s="264" t="s">
        <v>817</v>
      </c>
      <c r="F43" s="255"/>
      <c r="G43" s="163">
        <f>G38+G41</f>
        <v>0</v>
      </c>
      <c r="H43" s="149"/>
      <c r="I43" s="163">
        <f>G43</f>
        <v>0</v>
      </c>
      <c r="J43" s="160">
        <v>13</v>
      </c>
    </row>
    <row r="44" spans="1:10" ht="15.75">
      <c r="A44" s="125"/>
      <c r="B44" s="125"/>
      <c r="C44" s="125"/>
      <c r="D44" s="125"/>
      <c r="E44" s="125"/>
      <c r="F44" s="125"/>
      <c r="G44" s="125"/>
      <c r="H44" s="149"/>
      <c r="I44" s="125"/>
      <c r="J44" s="125"/>
    </row>
    <row r="45" spans="1:10" ht="15.75">
      <c r="A45" s="255"/>
      <c r="B45" s="255"/>
      <c r="C45" s="255"/>
      <c r="D45" s="255"/>
      <c r="E45" s="255"/>
      <c r="F45" s="255"/>
      <c r="G45" s="264" t="s">
        <v>429</v>
      </c>
      <c r="H45" s="149"/>
      <c r="I45" s="163">
        <f>I32-I43</f>
        <v>0</v>
      </c>
      <c r="J45" s="160">
        <v>14</v>
      </c>
    </row>
    <row r="46" spans="1:10" ht="15.75">
      <c r="A46" s="125"/>
      <c r="B46" s="125"/>
      <c r="C46" s="125"/>
      <c r="D46" s="125"/>
      <c r="E46" s="125"/>
      <c r="F46" s="125"/>
      <c r="G46" s="125"/>
      <c r="H46" s="149"/>
      <c r="I46" s="125"/>
      <c r="J46" s="125"/>
    </row>
    <row r="47" spans="1:10" ht="15.75">
      <c r="A47" s="149" t="s">
        <v>1071</v>
      </c>
      <c r="B47" s="125"/>
      <c r="C47" s="125"/>
      <c r="D47" s="125"/>
      <c r="E47" s="125"/>
      <c r="F47" s="125"/>
      <c r="G47" s="125"/>
      <c r="H47" s="149"/>
      <c r="I47" s="125"/>
      <c r="J47" s="125"/>
    </row>
    <row r="48" spans="1:10" ht="15.75">
      <c r="A48" s="125"/>
      <c r="B48" s="125"/>
      <c r="C48" s="125"/>
      <c r="D48" s="125"/>
      <c r="E48" s="125"/>
      <c r="F48" s="125"/>
      <c r="G48" s="125"/>
      <c r="H48" s="149"/>
      <c r="I48" s="125"/>
      <c r="J48" s="125"/>
    </row>
    <row r="49" spans="1:10" ht="15.75">
      <c r="A49" s="255" t="s">
        <v>1072</v>
      </c>
      <c r="B49" s="255"/>
      <c r="C49" s="255"/>
      <c r="D49" s="255"/>
      <c r="E49" s="255"/>
      <c r="F49" s="125"/>
      <c r="G49" s="163">
        <f>MINA(5000,I30)</f>
        <v>0</v>
      </c>
      <c r="H49" s="160">
        <v>15</v>
      </c>
      <c r="I49" s="125"/>
      <c r="J49" s="125"/>
    </row>
    <row r="50" spans="1:10" ht="15.75">
      <c r="A50" s="255" t="s">
        <v>1073</v>
      </c>
      <c r="B50" s="255"/>
      <c r="C50" s="255"/>
      <c r="D50" s="255"/>
      <c r="E50" s="255"/>
      <c r="F50" s="125"/>
      <c r="G50" s="162">
        <f>G41</f>
        <v>0</v>
      </c>
      <c r="H50" s="160">
        <v>16</v>
      </c>
      <c r="I50" s="125"/>
      <c r="J50" s="125"/>
    </row>
    <row r="51" spans="1:10" ht="15.75">
      <c r="A51" s="255"/>
      <c r="B51" s="255"/>
      <c r="C51" s="255"/>
      <c r="D51" s="255"/>
      <c r="E51" s="264" t="s">
        <v>1074</v>
      </c>
      <c r="F51" s="125"/>
      <c r="G51" s="162">
        <f>G49-G50</f>
        <v>0</v>
      </c>
      <c r="H51" s="160">
        <v>17</v>
      </c>
      <c r="I51" s="125"/>
      <c r="J51" s="125"/>
    </row>
    <row r="52" spans="1:10" ht="15.75">
      <c r="A52" s="125"/>
      <c r="B52" s="125"/>
      <c r="C52" s="125"/>
      <c r="D52" s="125"/>
      <c r="E52" s="126"/>
      <c r="F52" s="125"/>
      <c r="G52" s="125"/>
      <c r="H52" s="149"/>
      <c r="I52" s="125"/>
      <c r="J52" s="125"/>
    </row>
    <row r="53" spans="1:10" ht="15.75">
      <c r="A53" s="149" t="s">
        <v>1075</v>
      </c>
      <c r="B53" s="125"/>
      <c r="C53" s="125"/>
      <c r="D53" s="125"/>
      <c r="E53" s="126"/>
      <c r="F53" s="125"/>
      <c r="G53" s="125"/>
      <c r="H53" s="149"/>
      <c r="I53" s="125"/>
      <c r="J53" s="125"/>
    </row>
    <row r="54" spans="1:10" ht="15.75">
      <c r="A54" s="125" t="s">
        <v>183</v>
      </c>
      <c r="B54" s="125"/>
      <c r="C54" s="125"/>
      <c r="D54" s="125"/>
      <c r="E54" s="126"/>
      <c r="F54" s="125"/>
      <c r="G54" s="125"/>
      <c r="H54" s="149"/>
      <c r="I54" s="125"/>
      <c r="J54" s="125"/>
    </row>
    <row r="55" spans="1:10" ht="15.75">
      <c r="A55" s="125" t="s">
        <v>549</v>
      </c>
      <c r="B55" s="125"/>
      <c r="C55" s="125"/>
      <c r="D55" s="125"/>
      <c r="E55" s="126"/>
      <c r="F55" s="125"/>
      <c r="G55" s="125"/>
      <c r="H55" s="149"/>
      <c r="I55" s="125"/>
      <c r="J55" s="125"/>
    </row>
    <row r="56" spans="1:10" ht="15.75">
      <c r="A56" s="282" t="s">
        <v>985</v>
      </c>
      <c r="B56" s="125"/>
      <c r="C56" s="125"/>
      <c r="D56" s="125"/>
      <c r="E56" s="126"/>
      <c r="F56" s="125"/>
      <c r="G56" s="125"/>
      <c r="H56" s="149"/>
      <c r="I56" s="125"/>
      <c r="J56" s="125"/>
    </row>
    <row r="57" spans="1:10" ht="15.75">
      <c r="A57" s="255" t="s">
        <v>1337</v>
      </c>
      <c r="B57" s="255"/>
      <c r="C57" s="255"/>
      <c r="D57" s="255"/>
      <c r="E57" s="264"/>
      <c r="F57" s="255"/>
      <c r="G57" s="255"/>
      <c r="H57" s="4">
        <v>327</v>
      </c>
      <c r="I57" s="158"/>
      <c r="J57" s="160">
        <v>18</v>
      </c>
    </row>
    <row r="58" spans="1:10" ht="15.75">
      <c r="A58" s="125"/>
      <c r="B58" s="125"/>
      <c r="C58" s="125"/>
      <c r="D58" s="125"/>
      <c r="E58" s="126"/>
      <c r="F58" s="125"/>
      <c r="G58" s="125"/>
      <c r="H58" s="149"/>
      <c r="I58" s="125"/>
      <c r="J58" s="125"/>
    </row>
    <row r="59" spans="1:10" ht="15.75">
      <c r="A59" s="255"/>
      <c r="B59" s="255"/>
      <c r="C59" s="255"/>
      <c r="D59" s="255"/>
      <c r="E59" s="264"/>
      <c r="F59" s="255"/>
      <c r="G59" s="264" t="s">
        <v>1833</v>
      </c>
      <c r="H59" s="149"/>
      <c r="I59" s="163">
        <f>I45-I57</f>
        <v>0</v>
      </c>
      <c r="J59" s="160">
        <v>19</v>
      </c>
    </row>
    <row r="60" spans="1:10" ht="15.75">
      <c r="A60" s="125"/>
      <c r="B60" s="125"/>
      <c r="C60" s="125"/>
      <c r="D60" s="125"/>
      <c r="E60" s="126"/>
      <c r="F60" s="125"/>
      <c r="G60" s="125"/>
      <c r="H60" s="149"/>
      <c r="I60" s="125"/>
      <c r="J60" s="125"/>
    </row>
    <row r="61" spans="1:10" ht="15.75">
      <c r="A61" s="125" t="s">
        <v>1945</v>
      </c>
      <c r="B61" s="125"/>
      <c r="C61" s="125"/>
      <c r="D61" s="125"/>
      <c r="E61" s="126"/>
      <c r="F61" s="125"/>
      <c r="G61" s="125"/>
      <c r="H61" s="149"/>
      <c r="I61" s="125"/>
      <c r="J61" s="125"/>
    </row>
    <row r="62" spans="1:10" ht="15.75">
      <c r="A62" s="125" t="s">
        <v>1338</v>
      </c>
      <c r="B62" s="125"/>
      <c r="C62" s="125"/>
      <c r="D62" s="125"/>
      <c r="E62" s="126"/>
      <c r="F62" s="125"/>
      <c r="G62" s="125"/>
      <c r="H62" s="149"/>
      <c r="I62" s="125"/>
      <c r="J62" s="125"/>
    </row>
    <row r="63" spans="1:10" ht="15.75">
      <c r="A63" s="125"/>
      <c r="B63" s="125"/>
      <c r="C63" s="125"/>
      <c r="D63" s="125"/>
      <c r="E63" s="126"/>
      <c r="F63" s="125"/>
      <c r="G63" s="125"/>
      <c r="H63" s="149"/>
      <c r="I63" s="177"/>
      <c r="J63" s="125"/>
    </row>
    <row r="64" spans="1:10" ht="15">
      <c r="A64" s="125"/>
      <c r="B64" s="125"/>
      <c r="C64" s="125"/>
      <c r="D64" s="125"/>
      <c r="E64" s="125"/>
      <c r="F64" s="125"/>
      <c r="G64" s="125"/>
      <c r="H64" s="125"/>
      <c r="I64" s="125"/>
      <c r="J64" s="125" t="s">
        <v>335</v>
      </c>
    </row>
    <row r="65" ht="15">
      <c r="A65" s="97" t="s">
        <v>1946</v>
      </c>
    </row>
  </sheetData>
  <sheetProtection password="EC35" sheet="1" objects="1" scenarios="1"/>
  <printOptions horizontalCentered="1"/>
  <pageMargins left="0.5118110236220472" right="0.5118110236220472" top="0.5118110236220472" bottom="0.5118110236220472" header="0.5118110236220472" footer="0.5118110236220472"/>
  <pageSetup fitToHeight="0" fitToWidth="1" horizontalDpi="600" verticalDpi="600" orientation="portrait" scale="68" r:id="rId2"/>
  <rowBreaks count="1" manualBreakCount="1">
    <brk id="54" max="6553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">
    <pageSetUpPr fitToPage="1"/>
  </sheetPr>
  <dimension ref="B1:K91"/>
  <sheetViews>
    <sheetView showGridLines="0" showRowColHeaders="0" zoomScale="60" zoomScaleNormal="60" workbookViewId="0" topLeftCell="A1">
      <selection activeCell="B1" sqref="B1"/>
    </sheetView>
  </sheetViews>
  <sheetFormatPr defaultColWidth="8.88671875" defaultRowHeight="15"/>
  <cols>
    <col min="1" max="1" width="1.77734375" style="67" customWidth="1"/>
    <col min="2" max="2" width="8.3359375" style="67" customWidth="1"/>
    <col min="3" max="3" width="34.77734375" style="67" customWidth="1"/>
    <col min="4" max="4" width="7.99609375" style="67" customWidth="1"/>
    <col min="5" max="10" width="12.21484375" style="67" customWidth="1"/>
    <col min="11" max="11" width="1.88671875" style="67" customWidth="1"/>
    <col min="12" max="16384" width="8.88671875" style="67" customWidth="1"/>
  </cols>
  <sheetData>
    <row r="1" spans="2:11" ht="18">
      <c r="B1" s="64"/>
      <c r="C1" s="62" t="s">
        <v>264</v>
      </c>
      <c r="D1" s="62"/>
      <c r="E1" s="562"/>
      <c r="F1" s="64"/>
      <c r="G1" s="62" t="s">
        <v>1720</v>
      </c>
      <c r="H1" s="65"/>
      <c r="I1" s="64"/>
      <c r="J1" s="65" t="s">
        <v>1584</v>
      </c>
      <c r="K1" s="66"/>
    </row>
    <row r="2" spans="2:11" ht="15.75">
      <c r="B2" s="64"/>
      <c r="C2" s="64"/>
      <c r="D2" s="68"/>
      <c r="E2" s="66"/>
      <c r="F2" s="64"/>
      <c r="G2" s="64"/>
      <c r="H2" s="64"/>
      <c r="I2" s="64"/>
      <c r="J2" s="64"/>
      <c r="K2" s="66"/>
    </row>
    <row r="3" spans="2:11" ht="18">
      <c r="B3" s="69"/>
      <c r="C3" s="69" t="s">
        <v>265</v>
      </c>
      <c r="D3" s="64"/>
      <c r="E3" s="68"/>
      <c r="F3" s="64"/>
      <c r="G3" s="64"/>
      <c r="H3" s="64"/>
      <c r="I3" s="64"/>
      <c r="J3" s="64"/>
      <c r="K3" s="66"/>
    </row>
    <row r="4" spans="2:11" ht="18">
      <c r="B4" s="69"/>
      <c r="C4" s="69" t="s">
        <v>1198</v>
      </c>
      <c r="D4" s="64"/>
      <c r="E4" s="68"/>
      <c r="F4" s="64"/>
      <c r="G4" s="64"/>
      <c r="H4" s="64"/>
      <c r="I4" s="64"/>
      <c r="J4" s="64"/>
      <c r="K4" s="66"/>
    </row>
    <row r="5" spans="2:11" ht="18">
      <c r="B5" s="69"/>
      <c r="C5" s="69" t="s">
        <v>557</v>
      </c>
      <c r="D5" s="64"/>
      <c r="E5" s="68"/>
      <c r="F5" s="64"/>
      <c r="G5" s="64"/>
      <c r="H5" s="64"/>
      <c r="I5" s="64"/>
      <c r="J5" s="64"/>
      <c r="K5" s="66"/>
    </row>
    <row r="6" spans="2:11" ht="18">
      <c r="B6" s="69"/>
      <c r="C6" s="69" t="s">
        <v>558</v>
      </c>
      <c r="D6" s="64"/>
      <c r="E6" s="68"/>
      <c r="F6" s="64"/>
      <c r="G6" s="64"/>
      <c r="H6" s="64"/>
      <c r="I6" s="64"/>
      <c r="J6" s="64"/>
      <c r="K6" s="66"/>
    </row>
    <row r="7" spans="2:11" ht="18">
      <c r="B7" s="69"/>
      <c r="C7" s="69" t="s">
        <v>559</v>
      </c>
      <c r="D7" s="64"/>
      <c r="E7" s="68"/>
      <c r="F7" s="64"/>
      <c r="G7" s="64"/>
      <c r="H7" s="64"/>
      <c r="I7" s="64"/>
      <c r="J7" s="64"/>
      <c r="K7" s="66"/>
    </row>
    <row r="8" spans="2:11" ht="18">
      <c r="B8" s="69"/>
      <c r="C8" s="69" t="s">
        <v>1781</v>
      </c>
      <c r="D8" s="64"/>
      <c r="E8" s="68"/>
      <c r="F8" s="64"/>
      <c r="G8" s="64"/>
      <c r="H8" s="64"/>
      <c r="I8" s="64"/>
      <c r="J8" s="64"/>
      <c r="K8" s="66"/>
    </row>
    <row r="9" spans="2:11" ht="18">
      <c r="B9" s="69"/>
      <c r="C9" s="69" t="s">
        <v>1782</v>
      </c>
      <c r="D9" s="64"/>
      <c r="E9" s="68"/>
      <c r="F9" s="64"/>
      <c r="G9" s="64"/>
      <c r="H9" s="64"/>
      <c r="I9" s="64"/>
      <c r="J9" s="64"/>
      <c r="K9" s="66"/>
    </row>
    <row r="10" spans="2:11" ht="18">
      <c r="B10" s="69"/>
      <c r="C10" s="69" t="s">
        <v>1775</v>
      </c>
      <c r="D10" s="64"/>
      <c r="E10" s="68"/>
      <c r="F10" s="64"/>
      <c r="G10" s="64"/>
      <c r="H10" s="64"/>
      <c r="I10" s="64"/>
      <c r="J10" s="64"/>
      <c r="K10" s="66"/>
    </row>
    <row r="11" spans="2:11" ht="18">
      <c r="B11" s="69"/>
      <c r="C11" s="69" t="s">
        <v>71</v>
      </c>
      <c r="D11" s="64"/>
      <c r="E11" s="68"/>
      <c r="F11" s="64"/>
      <c r="G11" s="64"/>
      <c r="H11" s="64"/>
      <c r="I11" s="64"/>
      <c r="J11" s="64"/>
      <c r="K11" s="66"/>
    </row>
    <row r="12" spans="2:11" ht="18">
      <c r="B12" s="69"/>
      <c r="C12" s="69"/>
      <c r="D12" s="64"/>
      <c r="E12" s="68"/>
      <c r="F12" s="64"/>
      <c r="G12" s="64"/>
      <c r="H12" s="64"/>
      <c r="I12" s="64"/>
      <c r="J12" s="64"/>
      <c r="K12" s="66"/>
    </row>
    <row r="13" spans="2:11" ht="23.25">
      <c r="B13" s="620" t="s">
        <v>607</v>
      </c>
      <c r="C13" s="69"/>
      <c r="D13" s="64"/>
      <c r="E13" s="616"/>
      <c r="F13" s="64"/>
      <c r="G13" s="64"/>
      <c r="H13" s="64"/>
      <c r="I13" s="64"/>
      <c r="J13" s="64"/>
      <c r="K13" s="66"/>
    </row>
    <row r="14" spans="2:11" ht="36">
      <c r="B14" s="72" t="s">
        <v>1967</v>
      </c>
      <c r="C14" s="72" t="s">
        <v>1968</v>
      </c>
      <c r="D14" s="72" t="s">
        <v>1969</v>
      </c>
      <c r="E14" s="73" t="s">
        <v>1783</v>
      </c>
      <c r="F14" s="73" t="s">
        <v>1784</v>
      </c>
      <c r="G14" s="73" t="s">
        <v>1785</v>
      </c>
      <c r="H14" s="73" t="s">
        <v>1786</v>
      </c>
      <c r="I14" s="73" t="s">
        <v>1787</v>
      </c>
      <c r="J14" s="73" t="s">
        <v>508</v>
      </c>
      <c r="K14" s="66"/>
    </row>
    <row r="15" spans="2:11" ht="18">
      <c r="B15" s="69"/>
      <c r="C15" s="69"/>
      <c r="D15" s="64"/>
      <c r="E15" s="68"/>
      <c r="F15" s="64"/>
      <c r="G15" s="64"/>
      <c r="H15" s="64"/>
      <c r="I15" s="64"/>
      <c r="J15" s="64"/>
      <c r="K15" s="66"/>
    </row>
    <row r="16" spans="2:11" ht="18">
      <c r="B16" s="77" t="s">
        <v>445</v>
      </c>
      <c r="C16" s="568" t="s">
        <v>530</v>
      </c>
      <c r="D16" s="77" t="s">
        <v>1702</v>
      </c>
      <c r="E16" s="617"/>
      <c r="F16" s="617"/>
      <c r="G16" s="617"/>
      <c r="H16" s="617"/>
      <c r="I16" s="617"/>
      <c r="J16" s="438">
        <f>SUM(E16:I16)</f>
        <v>0</v>
      </c>
      <c r="K16" s="66"/>
    </row>
    <row r="17" spans="2:11" ht="18">
      <c r="B17" s="77"/>
      <c r="C17" s="69"/>
      <c r="D17" s="64" t="s">
        <v>1703</v>
      </c>
      <c r="E17" s="68"/>
      <c r="F17" s="64"/>
      <c r="G17" s="64"/>
      <c r="H17" s="68"/>
      <c r="I17" s="64"/>
      <c r="J17" s="64"/>
      <c r="K17" s="66"/>
    </row>
    <row r="18" spans="2:11" ht="18">
      <c r="B18" s="77" t="s">
        <v>520</v>
      </c>
      <c r="C18" s="568" t="s">
        <v>531</v>
      </c>
      <c r="D18" s="77" t="s">
        <v>946</v>
      </c>
      <c r="E18" s="617"/>
      <c r="F18" s="617"/>
      <c r="G18" s="617"/>
      <c r="H18" s="617"/>
      <c r="I18" s="617"/>
      <c r="J18" s="438">
        <f>SUM(E18:I18)</f>
        <v>0</v>
      </c>
      <c r="K18" s="66"/>
    </row>
    <row r="19" spans="2:11" ht="18">
      <c r="B19" s="77"/>
      <c r="C19" s="562"/>
      <c r="D19" s="62"/>
      <c r="E19" s="62"/>
      <c r="F19" s="62"/>
      <c r="G19" s="62"/>
      <c r="H19" s="62"/>
      <c r="I19" s="62"/>
      <c r="J19" s="62"/>
      <c r="K19" s="66"/>
    </row>
    <row r="20" spans="2:11" ht="18">
      <c r="B20" s="77" t="s">
        <v>792</v>
      </c>
      <c r="C20" s="568" t="s">
        <v>1689</v>
      </c>
      <c r="D20" s="77" t="s">
        <v>117</v>
      </c>
      <c r="E20" s="617"/>
      <c r="F20" s="617"/>
      <c r="G20" s="617"/>
      <c r="H20" s="617"/>
      <c r="I20" s="617"/>
      <c r="J20" s="438">
        <f>SUM(E20:I20)</f>
        <v>0</v>
      </c>
      <c r="K20" s="66"/>
    </row>
    <row r="21" spans="2:11" ht="18">
      <c r="B21" s="77"/>
      <c r="C21" s="69"/>
      <c r="D21" s="583" t="s">
        <v>1415</v>
      </c>
      <c r="E21" s="62"/>
      <c r="F21" s="64"/>
      <c r="G21" s="64"/>
      <c r="H21" s="64"/>
      <c r="I21" s="64"/>
      <c r="J21" s="64"/>
      <c r="K21" s="66"/>
    </row>
    <row r="22" spans="2:11" ht="18">
      <c r="B22" s="77" t="s">
        <v>969</v>
      </c>
      <c r="C22" s="568" t="s">
        <v>1690</v>
      </c>
      <c r="D22" s="92" t="s">
        <v>1704</v>
      </c>
      <c r="E22" s="617"/>
      <c r="F22" s="617"/>
      <c r="G22" s="617"/>
      <c r="H22" s="617"/>
      <c r="I22" s="617"/>
      <c r="J22" s="438">
        <f>SUM(E22:I22)</f>
        <v>0</v>
      </c>
      <c r="K22" s="66"/>
    </row>
    <row r="23" spans="2:11" ht="18">
      <c r="B23" s="77"/>
      <c r="C23" s="69"/>
      <c r="D23" s="583" t="s">
        <v>1705</v>
      </c>
      <c r="E23" s="62"/>
      <c r="F23" s="64"/>
      <c r="G23" s="64"/>
      <c r="H23" s="64"/>
      <c r="I23" s="64"/>
      <c r="J23" s="64"/>
      <c r="K23" s="66"/>
    </row>
    <row r="24" spans="2:11" ht="18">
      <c r="B24" s="77" t="s">
        <v>794</v>
      </c>
      <c r="C24" s="568" t="s">
        <v>860</v>
      </c>
      <c r="D24" s="77" t="s">
        <v>1706</v>
      </c>
      <c r="E24" s="617"/>
      <c r="F24" s="617"/>
      <c r="G24" s="617"/>
      <c r="H24" s="617"/>
      <c r="I24" s="617"/>
      <c r="J24" s="438">
        <f>SUM(E24:I24)</f>
        <v>0</v>
      </c>
      <c r="K24" s="66"/>
    </row>
    <row r="25" spans="2:11" ht="18">
      <c r="B25" s="69"/>
      <c r="C25" s="568"/>
      <c r="D25" s="64" t="s">
        <v>1707</v>
      </c>
      <c r="E25" s="68"/>
      <c r="F25" s="64"/>
      <c r="G25" s="64"/>
      <c r="H25" s="64"/>
      <c r="I25" s="64"/>
      <c r="J25" s="64"/>
      <c r="K25" s="66"/>
    </row>
    <row r="26" spans="2:11" ht="18">
      <c r="B26" s="77" t="s">
        <v>94</v>
      </c>
      <c r="C26" s="568" t="s">
        <v>1691</v>
      </c>
      <c r="D26" s="74" t="s">
        <v>1708</v>
      </c>
      <c r="E26" s="617"/>
      <c r="F26" s="617"/>
      <c r="G26" s="617"/>
      <c r="H26" s="617"/>
      <c r="I26" s="617"/>
      <c r="J26" s="438">
        <f>SUM(E26:I26)</f>
        <v>0</v>
      </c>
      <c r="K26" s="66"/>
    </row>
    <row r="27" spans="2:11" ht="18">
      <c r="B27" s="77"/>
      <c r="C27" s="568"/>
      <c r="D27" s="64" t="s">
        <v>1709</v>
      </c>
      <c r="E27" s="68"/>
      <c r="F27" s="64"/>
      <c r="G27" s="64"/>
      <c r="H27" s="68"/>
      <c r="I27" s="64"/>
      <c r="J27" s="64"/>
      <c r="K27" s="66"/>
    </row>
    <row r="28" spans="2:11" ht="18">
      <c r="B28" s="77" t="s">
        <v>95</v>
      </c>
      <c r="C28" s="568" t="s">
        <v>1692</v>
      </c>
      <c r="D28" s="92" t="s">
        <v>1701</v>
      </c>
      <c r="E28" s="617"/>
      <c r="F28" s="617"/>
      <c r="G28" s="617"/>
      <c r="H28" s="617"/>
      <c r="I28" s="617"/>
      <c r="J28" s="438">
        <f>SUM(E28:I28)</f>
        <v>0</v>
      </c>
      <c r="K28" s="66"/>
    </row>
    <row r="29" spans="2:11" ht="18">
      <c r="B29" s="77"/>
      <c r="C29" s="562"/>
      <c r="D29" s="62"/>
      <c r="E29" s="62"/>
      <c r="F29" s="62"/>
      <c r="G29" s="62"/>
      <c r="H29" s="62"/>
      <c r="I29" s="62"/>
      <c r="J29" s="62"/>
      <c r="K29" s="66"/>
    </row>
    <row r="30" spans="2:11" ht="18">
      <c r="B30" s="77" t="s">
        <v>96</v>
      </c>
      <c r="C30" s="568" t="s">
        <v>1424</v>
      </c>
      <c r="D30" s="92" t="s">
        <v>1455</v>
      </c>
      <c r="E30" s="617"/>
      <c r="F30" s="617"/>
      <c r="G30" s="617"/>
      <c r="H30" s="617"/>
      <c r="I30" s="617"/>
      <c r="J30" s="438">
        <f>SUM(E30:I30)</f>
        <v>0</v>
      </c>
      <c r="K30" s="66"/>
    </row>
    <row r="31" spans="2:11" ht="18">
      <c r="B31" s="77"/>
      <c r="C31" s="69"/>
      <c r="D31" s="64"/>
      <c r="E31" s="62"/>
      <c r="F31" s="64"/>
      <c r="G31" s="64"/>
      <c r="H31" s="64"/>
      <c r="I31" s="64"/>
      <c r="J31" s="64"/>
      <c r="K31" s="66"/>
    </row>
    <row r="32" spans="2:11" ht="18">
      <c r="B32" s="77" t="s">
        <v>87</v>
      </c>
      <c r="C32" s="568" t="s">
        <v>1693</v>
      </c>
      <c r="D32" s="77" t="s">
        <v>1415</v>
      </c>
      <c r="E32" s="617"/>
      <c r="F32" s="617"/>
      <c r="G32" s="617"/>
      <c r="H32" s="617"/>
      <c r="I32" s="617"/>
      <c r="J32" s="438">
        <f>SUM(E32:I32)</f>
        <v>0</v>
      </c>
      <c r="K32" s="66"/>
    </row>
    <row r="33" spans="2:11" ht="18">
      <c r="B33" s="77"/>
      <c r="C33" s="69"/>
      <c r="D33" s="64"/>
      <c r="E33" s="68"/>
      <c r="F33" s="64"/>
      <c r="G33" s="64"/>
      <c r="H33" s="68"/>
      <c r="I33" s="64"/>
      <c r="J33" s="64"/>
      <c r="K33" s="66"/>
    </row>
    <row r="34" spans="2:11" ht="18">
      <c r="B34" s="77" t="s">
        <v>88</v>
      </c>
      <c r="C34" s="568" t="s">
        <v>1711</v>
      </c>
      <c r="D34" s="74" t="s">
        <v>1712</v>
      </c>
      <c r="E34" s="617"/>
      <c r="F34" s="617"/>
      <c r="G34" s="617"/>
      <c r="H34" s="617"/>
      <c r="I34" s="617"/>
      <c r="J34" s="438">
        <f>SUM(E34:I34)</f>
        <v>0</v>
      </c>
      <c r="K34" s="66"/>
    </row>
    <row r="35" spans="2:11" ht="18">
      <c r="B35" s="77"/>
      <c r="C35" s="562" t="s">
        <v>1710</v>
      </c>
      <c r="D35" s="62"/>
      <c r="E35" s="62"/>
      <c r="F35" s="62"/>
      <c r="G35" s="62"/>
      <c r="H35" s="62"/>
      <c r="I35" s="62"/>
      <c r="J35" s="62"/>
      <c r="K35" s="66"/>
    </row>
    <row r="36" spans="2:11" ht="18">
      <c r="B36" s="77" t="s">
        <v>89</v>
      </c>
      <c r="C36" s="568" t="s">
        <v>1718</v>
      </c>
      <c r="D36" s="77" t="s">
        <v>946</v>
      </c>
      <c r="E36" s="617"/>
      <c r="F36" s="617"/>
      <c r="G36" s="617"/>
      <c r="H36" s="617"/>
      <c r="I36" s="617"/>
      <c r="J36" s="438">
        <f>SUM(E36:I36)</f>
        <v>0</v>
      </c>
      <c r="K36" s="66"/>
    </row>
    <row r="37" spans="2:11" ht="18">
      <c r="B37" s="77"/>
      <c r="C37" s="69"/>
      <c r="D37" s="64"/>
      <c r="E37" s="62"/>
      <c r="F37" s="64"/>
      <c r="G37" s="64"/>
      <c r="H37" s="64"/>
      <c r="I37" s="64"/>
      <c r="J37" s="64"/>
      <c r="K37" s="66"/>
    </row>
    <row r="38" spans="2:11" ht="18">
      <c r="B38" s="77" t="s">
        <v>93</v>
      </c>
      <c r="C38" s="568" t="s">
        <v>1713</v>
      </c>
      <c r="D38" s="92" t="s">
        <v>1714</v>
      </c>
      <c r="E38" s="617"/>
      <c r="F38" s="617"/>
      <c r="G38" s="617"/>
      <c r="H38" s="617"/>
      <c r="I38" s="617"/>
      <c r="J38" s="438">
        <f>SUM(E38:I38)</f>
        <v>0</v>
      </c>
      <c r="K38" s="66"/>
    </row>
    <row r="39" spans="2:11" ht="18">
      <c r="B39" s="77"/>
      <c r="C39" s="69"/>
      <c r="D39" s="583" t="s">
        <v>1715</v>
      </c>
      <c r="E39" s="62"/>
      <c r="F39" s="64"/>
      <c r="G39" s="64"/>
      <c r="H39" s="64"/>
      <c r="I39" s="64"/>
      <c r="J39" s="64"/>
      <c r="K39" s="66"/>
    </row>
    <row r="40" spans="2:11" ht="18">
      <c r="B40" s="77" t="s">
        <v>522</v>
      </c>
      <c r="C40" s="568" t="s">
        <v>1694</v>
      </c>
      <c r="D40" s="74" t="s">
        <v>1716</v>
      </c>
      <c r="E40" s="617"/>
      <c r="F40" s="617"/>
      <c r="G40" s="617"/>
      <c r="H40" s="617"/>
      <c r="I40" s="617"/>
      <c r="J40" s="438">
        <f>SUM(E40:I40)</f>
        <v>0</v>
      </c>
      <c r="K40" s="66"/>
    </row>
    <row r="41" spans="2:11" ht="18">
      <c r="B41" s="69"/>
      <c r="C41" s="568" t="s">
        <v>1695</v>
      </c>
      <c r="D41" s="64"/>
      <c r="E41" s="68"/>
      <c r="F41" s="64"/>
      <c r="G41" s="64"/>
      <c r="H41" s="64"/>
      <c r="I41" s="64"/>
      <c r="J41" s="64"/>
      <c r="K41" s="66"/>
    </row>
    <row r="42" spans="2:11" ht="18">
      <c r="B42" s="77" t="s">
        <v>1802</v>
      </c>
      <c r="C42" s="568" t="s">
        <v>1696</v>
      </c>
      <c r="D42" s="77" t="s">
        <v>128</v>
      </c>
      <c r="E42" s="617"/>
      <c r="F42" s="617"/>
      <c r="G42" s="617"/>
      <c r="H42" s="617"/>
      <c r="I42" s="617"/>
      <c r="J42" s="438">
        <f>SUM(E42:I42)</f>
        <v>0</v>
      </c>
      <c r="K42" s="66"/>
    </row>
    <row r="43" spans="2:11" ht="18">
      <c r="B43" s="77"/>
      <c r="C43" s="568"/>
      <c r="D43" s="64"/>
      <c r="E43" s="68"/>
      <c r="F43" s="64"/>
      <c r="G43" s="64"/>
      <c r="H43" s="68"/>
      <c r="I43" s="64"/>
      <c r="J43" s="64"/>
      <c r="K43" s="66"/>
    </row>
    <row r="44" spans="2:11" ht="18">
      <c r="B44" s="77" t="s">
        <v>525</v>
      </c>
      <c r="C44" s="568" t="s">
        <v>1425</v>
      </c>
      <c r="D44" s="92" t="s">
        <v>1717</v>
      </c>
      <c r="E44" s="617"/>
      <c r="F44" s="617"/>
      <c r="G44" s="617"/>
      <c r="H44" s="617"/>
      <c r="I44" s="617"/>
      <c r="J44" s="438">
        <f>SUM(E44:I44)</f>
        <v>0</v>
      </c>
      <c r="K44" s="66"/>
    </row>
    <row r="45" spans="2:11" ht="18">
      <c r="B45" s="77"/>
      <c r="C45" s="562"/>
      <c r="D45" s="62"/>
      <c r="E45" s="62"/>
      <c r="F45" s="62"/>
      <c r="G45" s="62"/>
      <c r="H45" s="62"/>
      <c r="I45" s="62"/>
      <c r="J45" s="62"/>
      <c r="K45" s="66"/>
    </row>
    <row r="46" spans="2:11" ht="18">
      <c r="B46" s="77" t="s">
        <v>1804</v>
      </c>
      <c r="C46" s="568" t="s">
        <v>1697</v>
      </c>
      <c r="D46" s="92" t="s">
        <v>1418</v>
      </c>
      <c r="E46" s="617"/>
      <c r="F46" s="617"/>
      <c r="G46" s="617"/>
      <c r="H46" s="617"/>
      <c r="I46" s="617"/>
      <c r="J46" s="438">
        <f>SUM(E46:I46)</f>
        <v>0</v>
      </c>
      <c r="K46" s="66"/>
    </row>
    <row r="47" spans="2:11" ht="18">
      <c r="B47" s="77"/>
      <c r="C47" s="69" t="s">
        <v>1698</v>
      </c>
      <c r="D47" s="64"/>
      <c r="E47" s="62"/>
      <c r="F47" s="64"/>
      <c r="G47" s="64"/>
      <c r="H47" s="64"/>
      <c r="I47" s="64"/>
      <c r="J47" s="64"/>
      <c r="K47" s="66"/>
    </row>
    <row r="48" spans="2:11" ht="18">
      <c r="B48" s="77" t="s">
        <v>528</v>
      </c>
      <c r="C48" s="568" t="s">
        <v>1697</v>
      </c>
      <c r="D48" s="92" t="s">
        <v>1418</v>
      </c>
      <c r="E48" s="617"/>
      <c r="F48" s="617"/>
      <c r="G48" s="617"/>
      <c r="H48" s="617"/>
      <c r="I48" s="617"/>
      <c r="J48" s="438">
        <f>SUM(E48:I48)</f>
        <v>0</v>
      </c>
      <c r="K48" s="66"/>
    </row>
    <row r="49" spans="2:11" ht="18">
      <c r="B49" s="77"/>
      <c r="C49" s="586" t="s">
        <v>1576</v>
      </c>
      <c r="D49" s="62"/>
      <c r="E49" s="62"/>
      <c r="F49" s="62"/>
      <c r="G49" s="62"/>
      <c r="H49" s="62"/>
      <c r="I49" s="62"/>
      <c r="J49" s="62"/>
      <c r="K49" s="66"/>
    </row>
    <row r="50" spans="2:11" ht="18">
      <c r="B50" s="77" t="s">
        <v>1809</v>
      </c>
      <c r="C50" s="568" t="s">
        <v>1699</v>
      </c>
      <c r="D50" s="92" t="s">
        <v>137</v>
      </c>
      <c r="E50" s="617"/>
      <c r="F50" s="617"/>
      <c r="G50" s="617"/>
      <c r="H50" s="617"/>
      <c r="I50" s="617"/>
      <c r="J50" s="438">
        <f>SUM(E50:I50)</f>
        <v>0</v>
      </c>
      <c r="K50" s="66"/>
    </row>
    <row r="51" spans="2:11" ht="18">
      <c r="B51" s="69"/>
      <c r="C51" s="69"/>
      <c r="D51" s="64"/>
      <c r="E51" s="68"/>
      <c r="F51" s="64"/>
      <c r="G51" s="64"/>
      <c r="H51" s="64"/>
      <c r="I51" s="64"/>
      <c r="J51" s="64"/>
      <c r="K51" s="66"/>
    </row>
    <row r="52" spans="2:11" ht="18">
      <c r="B52" s="77"/>
      <c r="C52" s="568" t="s">
        <v>1700</v>
      </c>
      <c r="D52" s="92"/>
      <c r="E52" s="617"/>
      <c r="F52" s="617"/>
      <c r="G52" s="617"/>
      <c r="H52" s="617"/>
      <c r="I52" s="617"/>
      <c r="J52" s="64"/>
      <c r="K52" s="66"/>
    </row>
    <row r="53" spans="2:11" ht="18.75" thickBot="1">
      <c r="B53" s="517"/>
      <c r="C53" s="518"/>
      <c r="D53" s="517"/>
      <c r="E53" s="519"/>
      <c r="F53" s="520"/>
      <c r="G53" s="520"/>
      <c r="H53" s="521"/>
      <c r="I53" s="520"/>
      <c r="J53" s="522"/>
      <c r="K53" s="523"/>
    </row>
    <row r="54" spans="2:11" ht="18">
      <c r="B54" s="77"/>
      <c r="C54" s="62" t="s">
        <v>529</v>
      </c>
      <c r="D54" s="62"/>
      <c r="E54" s="63" t="s">
        <v>263</v>
      </c>
      <c r="F54" s="64"/>
      <c r="G54" s="64"/>
      <c r="H54" s="65"/>
      <c r="I54" s="64"/>
      <c r="J54" s="65" t="s">
        <v>1584</v>
      </c>
      <c r="K54" s="66"/>
    </row>
    <row r="55" spans="2:11" ht="18">
      <c r="B55" s="77"/>
      <c r="C55" s="80"/>
      <c r="D55" s="77"/>
      <c r="E55" s="82"/>
      <c r="F55" s="79"/>
      <c r="G55" s="79"/>
      <c r="H55" s="84"/>
      <c r="I55" s="79"/>
      <c r="J55" s="83"/>
      <c r="K55" s="66"/>
    </row>
    <row r="56" spans="2:11" ht="18">
      <c r="B56" s="77"/>
      <c r="C56" s="72" t="s">
        <v>217</v>
      </c>
      <c r="D56" s="72" t="s">
        <v>1969</v>
      </c>
      <c r="E56" s="72" t="s">
        <v>218</v>
      </c>
      <c r="F56" s="570"/>
      <c r="G56" s="570"/>
      <c r="H56" s="570"/>
      <c r="I56" s="570"/>
      <c r="J56" s="570"/>
      <c r="K56" s="66"/>
    </row>
    <row r="57" spans="2:11" ht="18">
      <c r="B57" s="77"/>
      <c r="C57" s="514" t="s">
        <v>216</v>
      </c>
      <c r="D57" s="515" t="s">
        <v>945</v>
      </c>
      <c r="E57" s="526"/>
      <c r="F57" s="571"/>
      <c r="G57" s="571"/>
      <c r="H57" s="571"/>
      <c r="I57" s="571"/>
      <c r="J57" s="571"/>
      <c r="K57" s="66"/>
    </row>
    <row r="58" spans="2:11" ht="18">
      <c r="B58" s="77"/>
      <c r="C58" s="514" t="s">
        <v>216</v>
      </c>
      <c r="D58" s="515" t="s">
        <v>1455</v>
      </c>
      <c r="E58" s="526">
        <f>J30</f>
        <v>0</v>
      </c>
      <c r="F58" s="571"/>
      <c r="G58" s="571"/>
      <c r="H58" s="571"/>
      <c r="I58" s="571"/>
      <c r="J58" s="571"/>
      <c r="K58" s="66"/>
    </row>
    <row r="59" spans="2:11" ht="18">
      <c r="B59" s="77"/>
      <c r="C59" s="514" t="s">
        <v>216</v>
      </c>
      <c r="D59" s="515" t="s">
        <v>946</v>
      </c>
      <c r="E59" s="526"/>
      <c r="F59" s="571"/>
      <c r="G59" s="571"/>
      <c r="H59" s="571"/>
      <c r="I59" s="571"/>
      <c r="J59" s="571"/>
      <c r="K59" s="66"/>
    </row>
    <row r="60" spans="2:11" ht="18">
      <c r="B60" s="77"/>
      <c r="C60" s="514" t="s">
        <v>216</v>
      </c>
      <c r="D60" s="515" t="s">
        <v>117</v>
      </c>
      <c r="E60" s="526"/>
      <c r="F60" s="571"/>
      <c r="G60" s="571"/>
      <c r="H60" s="571"/>
      <c r="I60" s="571"/>
      <c r="J60" s="571"/>
      <c r="K60" s="66"/>
    </row>
    <row r="61" spans="2:11" ht="18">
      <c r="B61" s="77"/>
      <c r="C61" s="514" t="s">
        <v>1417</v>
      </c>
      <c r="D61" s="515" t="s">
        <v>221</v>
      </c>
      <c r="E61" s="526"/>
      <c r="F61" s="582"/>
      <c r="G61" s="582" t="s">
        <v>404</v>
      </c>
      <c r="H61" s="582"/>
      <c r="I61" s="582"/>
      <c r="J61" s="571"/>
      <c r="K61" s="66"/>
    </row>
    <row r="62" spans="2:11" ht="18">
      <c r="B62" s="77"/>
      <c r="C62" s="514" t="s">
        <v>1451</v>
      </c>
      <c r="D62" s="515" t="s">
        <v>125</v>
      </c>
      <c r="E62" s="526">
        <f>J44</f>
        <v>0</v>
      </c>
      <c r="F62" s="582"/>
      <c r="G62" s="582" t="s">
        <v>405</v>
      </c>
      <c r="H62" s="582"/>
      <c r="I62" s="582"/>
      <c r="J62" s="571"/>
      <c r="K62" s="66"/>
    </row>
    <row r="63" spans="2:11" ht="18">
      <c r="B63" s="77"/>
      <c r="C63" s="514" t="s">
        <v>1451</v>
      </c>
      <c r="D63" s="515" t="s">
        <v>126</v>
      </c>
      <c r="E63" s="526"/>
      <c r="F63" s="582"/>
      <c r="G63" s="582"/>
      <c r="H63" s="582"/>
      <c r="I63" s="582"/>
      <c r="J63" s="571"/>
      <c r="K63" s="66"/>
    </row>
    <row r="64" spans="2:11" ht="18">
      <c r="B64" s="77"/>
      <c r="C64" s="514" t="s">
        <v>1451</v>
      </c>
      <c r="D64" s="515" t="s">
        <v>127</v>
      </c>
      <c r="E64" s="526"/>
      <c r="F64" s="582"/>
      <c r="G64" s="571" t="s">
        <v>406</v>
      </c>
      <c r="H64" s="582"/>
      <c r="I64" s="582"/>
      <c r="J64" s="571"/>
      <c r="K64" s="66"/>
    </row>
    <row r="65" spans="2:11" ht="18">
      <c r="B65" s="77"/>
      <c r="C65" s="514" t="s">
        <v>1555</v>
      </c>
      <c r="D65" s="515" t="s">
        <v>128</v>
      </c>
      <c r="E65" s="526">
        <f>J42</f>
        <v>0</v>
      </c>
      <c r="F65" s="571"/>
      <c r="G65" s="571" t="s">
        <v>407</v>
      </c>
      <c r="H65" s="571"/>
      <c r="I65" s="571"/>
      <c r="J65" s="571"/>
      <c r="K65" s="66"/>
    </row>
    <row r="66" spans="2:11" ht="18">
      <c r="B66" s="77"/>
      <c r="C66" s="514" t="s">
        <v>124</v>
      </c>
      <c r="D66" s="515" t="s">
        <v>129</v>
      </c>
      <c r="E66" s="526"/>
      <c r="F66" s="571"/>
      <c r="G66" s="571"/>
      <c r="H66" s="571"/>
      <c r="I66" s="571"/>
      <c r="J66" s="571"/>
      <c r="K66" s="66"/>
    </row>
    <row r="67" spans="2:11" ht="18">
      <c r="B67" s="77"/>
      <c r="C67" s="514" t="s">
        <v>124</v>
      </c>
      <c r="D67" s="515" t="s">
        <v>130</v>
      </c>
      <c r="E67" s="526"/>
      <c r="F67" s="571"/>
      <c r="G67" s="571" t="s">
        <v>408</v>
      </c>
      <c r="H67" s="571"/>
      <c r="I67" s="571"/>
      <c r="J67" s="571"/>
      <c r="K67" s="66"/>
    </row>
    <row r="68" spans="2:11" ht="18">
      <c r="B68" s="77"/>
      <c r="C68" s="514" t="s">
        <v>124</v>
      </c>
      <c r="D68" s="515" t="s">
        <v>119</v>
      </c>
      <c r="E68" s="526"/>
      <c r="F68" s="571"/>
      <c r="G68" s="571" t="s">
        <v>403</v>
      </c>
      <c r="H68" s="571"/>
      <c r="I68" s="571"/>
      <c r="J68" s="571"/>
      <c r="K68" s="66"/>
    </row>
    <row r="69" spans="2:11" ht="18">
      <c r="B69" s="77"/>
      <c r="C69" s="514" t="s">
        <v>124</v>
      </c>
      <c r="D69" s="515" t="s">
        <v>131</v>
      </c>
      <c r="E69" s="526">
        <f>J40</f>
        <v>0</v>
      </c>
      <c r="F69" s="571"/>
      <c r="G69" s="571"/>
      <c r="H69" s="571"/>
      <c r="I69" s="571"/>
      <c r="J69" s="571"/>
      <c r="K69" s="66"/>
    </row>
    <row r="70" spans="2:11" ht="18">
      <c r="B70" s="77"/>
      <c r="C70" s="514" t="s">
        <v>124</v>
      </c>
      <c r="D70" s="515" t="s">
        <v>120</v>
      </c>
      <c r="E70" s="526"/>
      <c r="F70" s="571" t="s">
        <v>1719</v>
      </c>
      <c r="G70" s="571"/>
      <c r="H70" s="571"/>
      <c r="I70" s="571"/>
      <c r="J70" s="571"/>
      <c r="K70" s="66"/>
    </row>
    <row r="71" spans="2:11" ht="18">
      <c r="B71" s="77"/>
      <c r="C71" s="514" t="s">
        <v>132</v>
      </c>
      <c r="D71" s="515" t="s">
        <v>1416</v>
      </c>
      <c r="E71" s="526"/>
      <c r="F71" s="571"/>
      <c r="G71" s="571"/>
      <c r="H71" s="571"/>
      <c r="I71" s="571"/>
      <c r="J71" s="571"/>
      <c r="K71" s="66"/>
    </row>
    <row r="72" spans="2:11" ht="18">
      <c r="B72" s="77"/>
      <c r="C72" s="514" t="s">
        <v>1556</v>
      </c>
      <c r="D72" s="515" t="s">
        <v>134</v>
      </c>
      <c r="E72" s="526"/>
      <c r="F72" s="571"/>
      <c r="G72" s="571"/>
      <c r="H72" s="571"/>
      <c r="I72" s="571"/>
      <c r="J72" s="571"/>
      <c r="K72" s="66"/>
    </row>
    <row r="73" spans="2:11" ht="18">
      <c r="B73" s="77"/>
      <c r="C73" s="514" t="s">
        <v>1556</v>
      </c>
      <c r="D73" s="515" t="s">
        <v>135</v>
      </c>
      <c r="E73" s="526"/>
      <c r="F73" s="571"/>
      <c r="G73" s="571"/>
      <c r="H73" s="571"/>
      <c r="I73" s="571"/>
      <c r="J73" s="571"/>
      <c r="K73" s="66"/>
    </row>
    <row r="74" spans="2:11" ht="18">
      <c r="B74" s="77"/>
      <c r="C74" s="514" t="s">
        <v>1556</v>
      </c>
      <c r="D74" s="515" t="s">
        <v>136</v>
      </c>
      <c r="E74" s="526"/>
      <c r="F74" s="571"/>
      <c r="G74" s="571"/>
      <c r="H74" s="571"/>
      <c r="I74" s="571"/>
      <c r="J74" s="571"/>
      <c r="K74" s="66"/>
    </row>
    <row r="75" spans="2:11" ht="18">
      <c r="B75" s="77"/>
      <c r="C75" s="514" t="s">
        <v>137</v>
      </c>
      <c r="D75" s="515"/>
      <c r="E75" s="526"/>
      <c r="F75" s="571"/>
      <c r="G75" s="571"/>
      <c r="H75" s="571"/>
      <c r="I75" s="571"/>
      <c r="J75" s="571"/>
      <c r="K75" s="66"/>
    </row>
    <row r="76" spans="2:11" ht="18">
      <c r="B76" s="77"/>
      <c r="C76" s="514" t="s">
        <v>1418</v>
      </c>
      <c r="D76" s="515"/>
      <c r="E76" s="526"/>
      <c r="F76" s="571"/>
      <c r="G76" s="571"/>
      <c r="H76" s="571"/>
      <c r="I76" s="571"/>
      <c r="J76" s="571"/>
      <c r="K76" s="66"/>
    </row>
    <row r="77" spans="2:11" ht="18">
      <c r="B77" s="77"/>
      <c r="C77" s="514" t="s">
        <v>1415</v>
      </c>
      <c r="D77" s="515"/>
      <c r="E77" s="526"/>
      <c r="F77" s="571"/>
      <c r="G77" s="571"/>
      <c r="H77" s="571"/>
      <c r="I77" s="571"/>
      <c r="J77" s="571"/>
      <c r="K77" s="66"/>
    </row>
    <row r="78" spans="2:11" ht="18">
      <c r="B78" s="77"/>
      <c r="C78" s="549"/>
      <c r="D78" s="550"/>
      <c r="E78" s="567"/>
      <c r="F78" s="571"/>
      <c r="G78" s="571"/>
      <c r="H78" s="571"/>
      <c r="I78" s="571"/>
      <c r="J78" s="571"/>
      <c r="K78" s="66"/>
    </row>
    <row r="79" spans="2:11" ht="18">
      <c r="B79" s="77"/>
      <c r="C79" s="551"/>
      <c r="D79" s="77"/>
      <c r="E79" s="571"/>
      <c r="F79" s="571"/>
      <c r="G79" s="571"/>
      <c r="H79" s="571"/>
      <c r="I79" s="571"/>
      <c r="J79" s="571"/>
      <c r="K79" s="66"/>
    </row>
    <row r="80" spans="2:4" ht="15">
      <c r="B80" s="89"/>
      <c r="D80" s="90"/>
    </row>
    <row r="81" spans="2:4" ht="15">
      <c r="B81" s="89"/>
      <c r="D81" s="90"/>
    </row>
    <row r="82" spans="2:4" ht="15">
      <c r="B82" s="89"/>
      <c r="D82" s="90"/>
    </row>
    <row r="83" spans="2:4" ht="15">
      <c r="B83" s="89"/>
      <c r="D83" s="90"/>
    </row>
    <row r="84" spans="2:4" ht="15">
      <c r="B84" s="89"/>
      <c r="D84" s="90"/>
    </row>
    <row r="85" spans="2:4" ht="15">
      <c r="B85" s="89"/>
      <c r="D85" s="90"/>
    </row>
    <row r="86" spans="2:4" ht="15">
      <c r="B86" s="89"/>
      <c r="D86" s="90"/>
    </row>
    <row r="87" spans="2:4" ht="15">
      <c r="B87" s="89"/>
      <c r="D87" s="90"/>
    </row>
    <row r="88" spans="2:4" ht="15">
      <c r="B88" s="89"/>
      <c r="D88" s="90"/>
    </row>
    <row r="89" spans="2:4" ht="15">
      <c r="B89" s="89"/>
      <c r="D89" s="90"/>
    </row>
    <row r="90" spans="2:4" ht="15">
      <c r="B90" s="89"/>
      <c r="D90" s="90"/>
    </row>
    <row r="91" spans="2:4" ht="15">
      <c r="B91" s="89"/>
      <c r="D91" s="90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K73"/>
  <sheetViews>
    <sheetView showGridLines="0" showRowColHeaders="0" zoomScale="60" zoomScaleNormal="60" workbookViewId="0" topLeftCell="A1">
      <selection activeCell="E24" sqref="E24"/>
    </sheetView>
  </sheetViews>
  <sheetFormatPr defaultColWidth="8.88671875" defaultRowHeight="15"/>
  <cols>
    <col min="1" max="1" width="2.99609375" style="67" customWidth="1"/>
    <col min="2" max="2" width="8.3359375" style="67" customWidth="1"/>
    <col min="3" max="3" width="33.99609375" style="67" customWidth="1"/>
    <col min="4" max="4" width="6.4453125" style="67" customWidth="1"/>
    <col min="5" max="10" width="12.21484375" style="67" customWidth="1"/>
    <col min="11" max="11" width="1.88671875" style="67" customWidth="1"/>
    <col min="12" max="16384" width="8.88671875" style="67" customWidth="1"/>
  </cols>
  <sheetData>
    <row r="1" spans="2:11" ht="18">
      <c r="B1" s="64"/>
      <c r="C1" s="62" t="s">
        <v>1583</v>
      </c>
      <c r="D1" s="62"/>
      <c r="E1" s="63" t="s">
        <v>1996</v>
      </c>
      <c r="F1" s="64"/>
      <c r="G1" s="64"/>
      <c r="H1" s="65"/>
      <c r="I1" s="64"/>
      <c r="J1" s="65" t="s">
        <v>1584</v>
      </c>
      <c r="K1" s="66"/>
    </row>
    <row r="2" spans="2:11" ht="15.75">
      <c r="B2" s="64"/>
      <c r="C2" s="64"/>
      <c r="D2" s="68"/>
      <c r="E2" s="66"/>
      <c r="F2" s="64"/>
      <c r="G2" s="64"/>
      <c r="H2" s="64"/>
      <c r="I2" s="64"/>
      <c r="J2" s="64"/>
      <c r="K2" s="66"/>
    </row>
    <row r="3" spans="2:11" ht="18">
      <c r="B3" s="69"/>
      <c r="C3" s="69" t="s">
        <v>1997</v>
      </c>
      <c r="D3" s="64"/>
      <c r="E3" s="68"/>
      <c r="F3" s="64"/>
      <c r="G3" s="64"/>
      <c r="H3" s="64"/>
      <c r="I3" s="64"/>
      <c r="J3" s="64"/>
      <c r="K3" s="66"/>
    </row>
    <row r="4" spans="2:11" ht="18">
      <c r="B4" s="69"/>
      <c r="C4" s="69" t="s">
        <v>641</v>
      </c>
      <c r="D4" s="64"/>
      <c r="E4" s="68"/>
      <c r="F4" s="64"/>
      <c r="G4" s="64"/>
      <c r="H4" s="64"/>
      <c r="I4" s="64"/>
      <c r="J4" s="64"/>
      <c r="K4" s="66"/>
    </row>
    <row r="5" spans="2:11" ht="18">
      <c r="B5" s="69"/>
      <c r="C5" s="69" t="s">
        <v>642</v>
      </c>
      <c r="D5" s="64"/>
      <c r="E5" s="68"/>
      <c r="F5" s="64"/>
      <c r="G5" s="64"/>
      <c r="H5" s="64"/>
      <c r="I5" s="64"/>
      <c r="J5" s="64"/>
      <c r="K5" s="66"/>
    </row>
    <row r="6" spans="2:11" ht="18">
      <c r="B6" s="69"/>
      <c r="C6" s="69" t="s">
        <v>877</v>
      </c>
      <c r="D6" s="64"/>
      <c r="E6" s="68"/>
      <c r="F6" s="64"/>
      <c r="G6" s="64"/>
      <c r="H6" s="64"/>
      <c r="I6" s="64"/>
      <c r="J6" s="64"/>
      <c r="K6" s="66"/>
    </row>
    <row r="7" spans="2:11" ht="18">
      <c r="B7" s="69"/>
      <c r="C7" s="69" t="s">
        <v>878</v>
      </c>
      <c r="D7" s="64"/>
      <c r="E7" s="68"/>
      <c r="F7" s="64"/>
      <c r="G7" s="64"/>
      <c r="H7" s="64"/>
      <c r="I7" s="64"/>
      <c r="J7" s="64"/>
      <c r="K7" s="66"/>
    </row>
    <row r="8" spans="2:11" ht="18">
      <c r="B8" s="69"/>
      <c r="C8" s="69" t="s">
        <v>1585</v>
      </c>
      <c r="D8" s="64"/>
      <c r="E8" s="68"/>
      <c r="F8" s="64"/>
      <c r="G8" s="64"/>
      <c r="H8" s="64"/>
      <c r="I8" s="64"/>
      <c r="J8" s="64"/>
      <c r="K8" s="66"/>
    </row>
    <row r="9" spans="2:11" ht="18">
      <c r="B9" s="69"/>
      <c r="C9" s="69" t="s">
        <v>1030</v>
      </c>
      <c r="D9" s="64"/>
      <c r="E9" s="68"/>
      <c r="F9" s="64"/>
      <c r="G9" s="64"/>
      <c r="H9" s="64"/>
      <c r="I9" s="64"/>
      <c r="J9" s="64"/>
      <c r="K9" s="66"/>
    </row>
    <row r="10" spans="2:11" ht="18">
      <c r="B10" s="69"/>
      <c r="C10" s="69" t="s">
        <v>1775</v>
      </c>
      <c r="D10" s="64"/>
      <c r="E10" s="68"/>
      <c r="F10" s="64"/>
      <c r="G10" s="64"/>
      <c r="H10" s="64"/>
      <c r="I10" s="64"/>
      <c r="J10" s="64"/>
      <c r="K10" s="66"/>
    </row>
    <row r="11" spans="2:11" ht="18">
      <c r="B11" s="69"/>
      <c r="C11" s="69" t="s">
        <v>1966</v>
      </c>
      <c r="D11" s="64"/>
      <c r="E11" s="68"/>
      <c r="F11" s="64"/>
      <c r="G11" s="64"/>
      <c r="H11" s="64"/>
      <c r="I11" s="64"/>
      <c r="J11" s="64"/>
      <c r="K11" s="66"/>
    </row>
    <row r="12" spans="2:11" ht="15.75">
      <c r="B12" s="70"/>
      <c r="C12" s="70"/>
      <c r="D12" s="70"/>
      <c r="E12" s="71"/>
      <c r="F12" s="70"/>
      <c r="G12" s="70"/>
      <c r="H12" s="70"/>
      <c r="I12" s="70"/>
      <c r="J12" s="70"/>
      <c r="K12" s="66"/>
    </row>
    <row r="13" spans="2:11" ht="36">
      <c r="B13" s="72" t="s">
        <v>1967</v>
      </c>
      <c r="C13" s="72" t="s">
        <v>1968</v>
      </c>
      <c r="D13" s="72" t="s">
        <v>1969</v>
      </c>
      <c r="E13" s="73" t="s">
        <v>1970</v>
      </c>
      <c r="F13" s="73" t="s">
        <v>1971</v>
      </c>
      <c r="G13" s="73" t="s">
        <v>1974</v>
      </c>
      <c r="H13" s="73" t="s">
        <v>1975</v>
      </c>
      <c r="I13" s="73" t="s">
        <v>507</v>
      </c>
      <c r="J13" s="73" t="s">
        <v>508</v>
      </c>
      <c r="K13" s="66"/>
    </row>
    <row r="14" spans="2:11" ht="18">
      <c r="B14" s="570"/>
      <c r="C14" s="907" t="s">
        <v>1156</v>
      </c>
      <c r="D14" s="570"/>
      <c r="E14" s="908"/>
      <c r="F14" s="908"/>
      <c r="G14" s="908"/>
      <c r="H14" s="908"/>
      <c r="I14" s="908"/>
      <c r="J14" s="584"/>
      <c r="K14" s="66"/>
    </row>
    <row r="15" spans="2:11" ht="15.75">
      <c r="B15" s="74"/>
      <c r="C15" s="75"/>
      <c r="D15" s="74"/>
      <c r="E15" s="76"/>
      <c r="F15" s="75"/>
      <c r="G15" s="75"/>
      <c r="H15" s="75"/>
      <c r="I15" s="75"/>
      <c r="J15" s="66"/>
      <c r="K15" s="66"/>
    </row>
    <row r="16" spans="2:11" ht="18">
      <c r="B16" s="77" t="s">
        <v>509</v>
      </c>
      <c r="C16" s="78" t="s">
        <v>510</v>
      </c>
      <c r="D16" s="77"/>
      <c r="E16" s="428"/>
      <c r="F16" s="429" t="s">
        <v>545</v>
      </c>
      <c r="G16" s="429" t="s">
        <v>545</v>
      </c>
      <c r="H16" s="429" t="s">
        <v>545</v>
      </c>
      <c r="I16" s="430" t="s">
        <v>545</v>
      </c>
      <c r="J16" s="66"/>
      <c r="K16" s="66"/>
    </row>
    <row r="17" spans="2:11" ht="18">
      <c r="B17" s="77"/>
      <c r="C17" s="79"/>
      <c r="D17" s="77"/>
      <c r="E17" s="76"/>
      <c r="F17" s="76"/>
      <c r="G17" s="75"/>
      <c r="H17" s="75"/>
      <c r="I17" s="75"/>
      <c r="J17" s="66"/>
      <c r="K17" s="66"/>
    </row>
    <row r="18" spans="2:11" ht="18">
      <c r="B18" s="77" t="s">
        <v>511</v>
      </c>
      <c r="C18" s="80" t="s">
        <v>1776</v>
      </c>
      <c r="D18" s="77" t="s">
        <v>512</v>
      </c>
      <c r="E18" s="435"/>
      <c r="F18" s="436"/>
      <c r="G18" s="436"/>
      <c r="H18" s="436"/>
      <c r="I18" s="437"/>
      <c r="J18" s="438">
        <f>SUM(E18:I18)</f>
        <v>0</v>
      </c>
      <c r="K18" s="66"/>
    </row>
    <row r="19" spans="2:11" ht="18">
      <c r="B19" s="77"/>
      <c r="C19" s="81"/>
      <c r="D19" s="77"/>
      <c r="E19" s="82"/>
      <c r="F19" s="79"/>
      <c r="G19" s="79"/>
      <c r="H19" s="79"/>
      <c r="I19" s="79"/>
      <c r="J19" s="83"/>
      <c r="K19" s="66"/>
    </row>
    <row r="20" spans="2:11" ht="18">
      <c r="B20" s="77" t="s">
        <v>513</v>
      </c>
      <c r="C20" s="80" t="s">
        <v>1778</v>
      </c>
      <c r="D20" s="77" t="s">
        <v>514</v>
      </c>
      <c r="E20" s="431"/>
      <c r="F20" s="432"/>
      <c r="G20" s="432"/>
      <c r="H20" s="432"/>
      <c r="I20" s="433"/>
      <c r="J20" s="434">
        <f>SUM(E20:I20)</f>
        <v>0</v>
      </c>
      <c r="K20" s="66"/>
    </row>
    <row r="21" spans="2:11" ht="18">
      <c r="B21" s="77"/>
      <c r="C21" s="81"/>
      <c r="D21" s="77"/>
      <c r="E21" s="82"/>
      <c r="F21" s="79"/>
      <c r="G21" s="79"/>
      <c r="H21" s="79"/>
      <c r="I21" s="79"/>
      <c r="J21" s="83"/>
      <c r="K21" s="66"/>
    </row>
    <row r="22" spans="2:11" ht="18">
      <c r="B22" s="77" t="s">
        <v>515</v>
      </c>
      <c r="C22" s="80" t="s">
        <v>1185</v>
      </c>
      <c r="D22" s="77" t="s">
        <v>514</v>
      </c>
      <c r="E22" s="431"/>
      <c r="F22" s="432"/>
      <c r="G22" s="432"/>
      <c r="H22" s="432"/>
      <c r="I22" s="433"/>
      <c r="J22" s="434">
        <f>SUM(E22:I22)</f>
        <v>0</v>
      </c>
      <c r="K22" s="66"/>
    </row>
    <row r="23" spans="2:11" ht="18">
      <c r="B23" s="77"/>
      <c r="C23" s="81"/>
      <c r="D23" s="77"/>
      <c r="E23" s="82"/>
      <c r="F23" s="79"/>
      <c r="G23" s="79"/>
      <c r="H23" s="84"/>
      <c r="I23" s="79"/>
      <c r="J23" s="83"/>
      <c r="K23" s="66"/>
    </row>
    <row r="24" spans="2:11" ht="18">
      <c r="B24" s="77" t="s">
        <v>516</v>
      </c>
      <c r="C24" s="80" t="s">
        <v>1186</v>
      </c>
      <c r="D24" s="77" t="s">
        <v>517</v>
      </c>
      <c r="E24" s="431"/>
      <c r="F24" s="432"/>
      <c r="G24" s="432"/>
      <c r="H24" s="432"/>
      <c r="I24" s="433"/>
      <c r="J24" s="434">
        <f>SUM(E24:I24)</f>
        <v>0</v>
      </c>
      <c r="K24" s="66"/>
    </row>
    <row r="25" spans="2:11" ht="18">
      <c r="B25" s="77"/>
      <c r="C25" s="81"/>
      <c r="D25" s="74" t="s">
        <v>834</v>
      </c>
      <c r="E25" s="82"/>
      <c r="F25" s="79"/>
      <c r="G25" s="79"/>
      <c r="H25" s="84"/>
      <c r="I25" s="79"/>
      <c r="J25" s="83"/>
      <c r="K25" s="66"/>
    </row>
    <row r="26" spans="2:11" ht="18">
      <c r="B26" s="77" t="s">
        <v>518</v>
      </c>
      <c r="C26" s="80" t="s">
        <v>1188</v>
      </c>
      <c r="D26" s="77" t="s">
        <v>519</v>
      </c>
      <c r="E26" s="431"/>
      <c r="F26" s="432"/>
      <c r="G26" s="432"/>
      <c r="H26" s="432"/>
      <c r="I26" s="433"/>
      <c r="J26" s="434">
        <f>SUM(E26:I26)</f>
        <v>0</v>
      </c>
      <c r="K26" s="66"/>
    </row>
    <row r="27" spans="2:11" ht="18">
      <c r="B27" s="77"/>
      <c r="C27" s="81"/>
      <c r="D27" s="77"/>
      <c r="E27" s="82"/>
      <c r="F27" s="79"/>
      <c r="G27" s="79"/>
      <c r="H27" s="84"/>
      <c r="I27" s="79"/>
      <c r="J27" s="83"/>
      <c r="K27" s="66"/>
    </row>
    <row r="28" spans="2:11" ht="18">
      <c r="B28" s="77" t="s">
        <v>520</v>
      </c>
      <c r="C28" s="80" t="s">
        <v>1777</v>
      </c>
      <c r="D28" s="77" t="s">
        <v>521</v>
      </c>
      <c r="E28" s="431"/>
      <c r="F28" s="432"/>
      <c r="G28" s="432"/>
      <c r="H28" s="432"/>
      <c r="I28" s="433"/>
      <c r="J28" s="434">
        <f>SUM(E28:I28)</f>
        <v>0</v>
      </c>
      <c r="K28" s="66"/>
    </row>
    <row r="29" spans="2:11" ht="18">
      <c r="B29" s="77"/>
      <c r="C29" s="80"/>
      <c r="D29" s="77"/>
      <c r="E29" s="82"/>
      <c r="F29" s="79"/>
      <c r="G29" s="79"/>
      <c r="H29" s="84"/>
      <c r="I29" s="79"/>
      <c r="J29" s="83"/>
      <c r="K29" s="66"/>
    </row>
    <row r="30" spans="2:11" ht="18">
      <c r="B30" s="77" t="s">
        <v>792</v>
      </c>
      <c r="C30" s="80" t="s">
        <v>793</v>
      </c>
      <c r="D30" s="77"/>
      <c r="E30" s="431"/>
      <c r="F30" s="432"/>
      <c r="G30" s="432"/>
      <c r="H30" s="432"/>
      <c r="I30" s="433"/>
      <c r="J30" s="434">
        <f>SUM(E30:I30)</f>
        <v>0</v>
      </c>
      <c r="K30" s="66"/>
    </row>
    <row r="31" spans="2:11" ht="18">
      <c r="B31" s="77"/>
      <c r="C31" s="80"/>
      <c r="D31" s="77"/>
      <c r="E31" s="82"/>
      <c r="F31" s="79"/>
      <c r="G31" s="79"/>
      <c r="H31" s="84"/>
      <c r="I31" s="79"/>
      <c r="J31" s="83"/>
      <c r="K31" s="66"/>
    </row>
    <row r="32" spans="2:11" ht="18">
      <c r="B32" s="77" t="s">
        <v>794</v>
      </c>
      <c r="C32" s="80" t="s">
        <v>795</v>
      </c>
      <c r="D32" s="92" t="s">
        <v>1331</v>
      </c>
      <c r="E32" s="431"/>
      <c r="F32" s="432"/>
      <c r="G32" s="432"/>
      <c r="H32" s="432"/>
      <c r="I32" s="433"/>
      <c r="J32" s="434">
        <f>SUM(E32:I32)</f>
        <v>0</v>
      </c>
      <c r="K32" s="66"/>
    </row>
    <row r="33" spans="2:11" ht="18">
      <c r="B33" s="77"/>
      <c r="C33" s="81"/>
      <c r="D33" s="77"/>
      <c r="E33" s="82"/>
      <c r="F33" s="79"/>
      <c r="G33" s="79"/>
      <c r="H33" s="84"/>
      <c r="I33" s="79"/>
      <c r="J33" s="83"/>
      <c r="K33" s="66"/>
    </row>
    <row r="34" spans="2:11" ht="36">
      <c r="B34" s="77" t="s">
        <v>522</v>
      </c>
      <c r="C34" s="85" t="s">
        <v>523</v>
      </c>
      <c r="D34" s="77" t="s">
        <v>524</v>
      </c>
      <c r="E34" s="431"/>
      <c r="F34" s="432"/>
      <c r="G34" s="432"/>
      <c r="H34" s="432"/>
      <c r="I34" s="433"/>
      <c r="J34" s="434">
        <f>SUM(E34:I34)</f>
        <v>0</v>
      </c>
      <c r="K34" s="66"/>
    </row>
    <row r="35" spans="2:11" ht="18">
      <c r="B35" s="77"/>
      <c r="C35" s="86"/>
      <c r="D35" s="77"/>
      <c r="E35" s="82"/>
      <c r="F35" s="79"/>
      <c r="G35" s="79"/>
      <c r="H35" s="84"/>
      <c r="I35" s="79"/>
      <c r="J35" s="83"/>
      <c r="K35" s="66"/>
    </row>
    <row r="36" spans="2:11" ht="54">
      <c r="B36" s="77" t="s">
        <v>525</v>
      </c>
      <c r="C36" s="85" t="s">
        <v>526</v>
      </c>
      <c r="D36" s="77" t="s">
        <v>527</v>
      </c>
      <c r="E36" s="435"/>
      <c r="F36" s="436"/>
      <c r="G36" s="436"/>
      <c r="H36" s="436"/>
      <c r="I36" s="437"/>
      <c r="J36" s="438">
        <f>SUM(E36:I36)</f>
        <v>0</v>
      </c>
      <c r="K36" s="66"/>
    </row>
    <row r="37" spans="2:11" ht="18">
      <c r="B37" s="77"/>
      <c r="C37" s="86"/>
      <c r="D37" s="77"/>
      <c r="E37" s="82"/>
      <c r="F37" s="79"/>
      <c r="G37" s="79"/>
      <c r="H37" s="84"/>
      <c r="I37" s="87"/>
      <c r="J37" s="88"/>
      <c r="K37" s="66"/>
    </row>
    <row r="38" spans="2:11" ht="54">
      <c r="B38" s="77" t="s">
        <v>528</v>
      </c>
      <c r="C38" s="85" t="s">
        <v>630</v>
      </c>
      <c r="D38" s="77" t="s">
        <v>527</v>
      </c>
      <c r="E38" s="435"/>
      <c r="F38" s="436"/>
      <c r="G38" s="436"/>
      <c r="H38" s="436"/>
      <c r="I38" s="437"/>
      <c r="J38" s="438">
        <f>SUM(E38:I38)</f>
        <v>0</v>
      </c>
      <c r="K38" s="66"/>
    </row>
    <row r="39" spans="2:11" ht="18">
      <c r="B39" s="77"/>
      <c r="C39" s="85"/>
      <c r="D39" s="77"/>
      <c r="E39" s="82"/>
      <c r="F39" s="79"/>
      <c r="G39" s="79"/>
      <c r="H39" s="84"/>
      <c r="I39" s="79"/>
      <c r="J39" s="83"/>
      <c r="K39" s="66"/>
    </row>
    <row r="40" spans="2:11" ht="18">
      <c r="B40" s="77" t="s">
        <v>631</v>
      </c>
      <c r="C40" s="85" t="s">
        <v>1029</v>
      </c>
      <c r="D40" s="77" t="s">
        <v>632</v>
      </c>
      <c r="E40" s="431"/>
      <c r="F40" s="432"/>
      <c r="G40" s="432"/>
      <c r="H40" s="432"/>
      <c r="I40" s="433"/>
      <c r="J40" s="434">
        <f>SUM(E40:I40)</f>
        <v>0</v>
      </c>
      <c r="K40" s="66"/>
    </row>
    <row r="41" spans="2:11" ht="18">
      <c r="B41" s="77"/>
      <c r="C41" s="86"/>
      <c r="D41" s="77"/>
      <c r="E41" s="77"/>
      <c r="F41" s="77"/>
      <c r="G41" s="77"/>
      <c r="H41" s="77"/>
      <c r="I41" s="77"/>
      <c r="J41" s="83"/>
      <c r="K41" s="66"/>
    </row>
    <row r="42" spans="2:11" ht="18">
      <c r="B42" s="77" t="s">
        <v>633</v>
      </c>
      <c r="C42" s="80" t="s">
        <v>1187</v>
      </c>
      <c r="D42" s="77" t="s">
        <v>634</v>
      </c>
      <c r="E42" s="431"/>
      <c r="F42" s="432"/>
      <c r="G42" s="432"/>
      <c r="H42" s="432"/>
      <c r="I42" s="433"/>
      <c r="J42" s="434">
        <f>SUM(E42:I42)</f>
        <v>0</v>
      </c>
      <c r="K42" s="66"/>
    </row>
    <row r="43" spans="2:11" ht="18">
      <c r="B43" s="77"/>
      <c r="C43" s="80"/>
      <c r="D43" s="77"/>
      <c r="E43" s="82"/>
      <c r="F43" s="79"/>
      <c r="G43" s="79"/>
      <c r="H43" s="84"/>
      <c r="I43" s="79"/>
      <c r="J43" s="83"/>
      <c r="K43" s="66"/>
    </row>
    <row r="44" spans="2:11" ht="18">
      <c r="B44" s="77" t="s">
        <v>635</v>
      </c>
      <c r="C44" s="80" t="s">
        <v>685</v>
      </c>
      <c r="D44" s="92" t="s">
        <v>1981</v>
      </c>
      <c r="E44" s="431"/>
      <c r="F44" s="432"/>
      <c r="G44" s="432"/>
      <c r="H44" s="432"/>
      <c r="I44" s="433"/>
      <c r="J44" s="434">
        <f>SUM(E44:I44)</f>
        <v>0</v>
      </c>
      <c r="K44" s="66"/>
    </row>
    <row r="45" spans="2:11" ht="18">
      <c r="B45" s="77"/>
      <c r="C45" s="80"/>
      <c r="D45" s="77"/>
      <c r="E45" s="82"/>
      <c r="F45" s="79"/>
      <c r="G45" s="79"/>
      <c r="H45" s="84"/>
      <c r="I45" s="79"/>
      <c r="J45" s="83"/>
      <c r="K45" s="66"/>
    </row>
    <row r="46" spans="2:11" ht="18">
      <c r="B46" s="77" t="s">
        <v>636</v>
      </c>
      <c r="C46" s="80" t="s">
        <v>687</v>
      </c>
      <c r="D46" s="77" t="s">
        <v>637</v>
      </c>
      <c r="E46" s="431"/>
      <c r="F46" s="432"/>
      <c r="G46" s="432"/>
      <c r="H46" s="432"/>
      <c r="I46" s="433"/>
      <c r="J46" s="434">
        <f>SUM(E46:I46)</f>
        <v>0</v>
      </c>
      <c r="K46" s="66"/>
    </row>
    <row r="47" spans="2:11" ht="18">
      <c r="B47" s="77"/>
      <c r="C47" s="80"/>
      <c r="D47" s="77"/>
      <c r="E47" s="82"/>
      <c r="F47" s="79"/>
      <c r="G47" s="79"/>
      <c r="H47" s="84"/>
      <c r="I47" s="79"/>
      <c r="J47" s="83"/>
      <c r="K47" s="66"/>
    </row>
    <row r="48" spans="2:11" ht="18">
      <c r="B48" s="77" t="s">
        <v>638</v>
      </c>
      <c r="C48" s="80" t="s">
        <v>639</v>
      </c>
      <c r="D48" s="77" t="s">
        <v>640</v>
      </c>
      <c r="E48" s="431"/>
      <c r="F48" s="432"/>
      <c r="G48" s="432"/>
      <c r="H48" s="432"/>
      <c r="I48" s="433"/>
      <c r="J48" s="434">
        <f>SUM(E48:I48)</f>
        <v>0</v>
      </c>
      <c r="K48" s="66"/>
    </row>
    <row r="49" spans="2:11" ht="18">
      <c r="B49" s="77"/>
      <c r="C49" s="79"/>
      <c r="D49" s="74" t="s">
        <v>572</v>
      </c>
      <c r="E49" s="82"/>
      <c r="F49" s="79"/>
      <c r="G49" s="79"/>
      <c r="H49" s="84"/>
      <c r="I49" s="79"/>
      <c r="J49" s="83"/>
      <c r="K49" s="66"/>
    </row>
    <row r="50" spans="2:11" ht="15">
      <c r="B50" s="548"/>
      <c r="C50" s="66"/>
      <c r="D50" s="74"/>
      <c r="E50" s="66"/>
      <c r="F50" s="66"/>
      <c r="G50" s="66"/>
      <c r="H50" s="66"/>
      <c r="I50" s="66"/>
      <c r="J50" s="66"/>
      <c r="K50" s="66"/>
    </row>
    <row r="51" spans="2:11" ht="15">
      <c r="B51" s="548"/>
      <c r="C51" s="66"/>
      <c r="D51" s="74"/>
      <c r="E51" s="66"/>
      <c r="F51" s="66"/>
      <c r="G51" s="66"/>
      <c r="H51" s="66"/>
      <c r="I51" s="66"/>
      <c r="J51" s="66"/>
      <c r="K51" s="66"/>
    </row>
    <row r="52" spans="2:11" ht="15.75" thickBot="1">
      <c r="B52" s="546"/>
      <c r="C52" s="523"/>
      <c r="D52" s="547"/>
      <c r="E52" s="523"/>
      <c r="F52" s="523"/>
      <c r="G52" s="523"/>
      <c r="H52" s="523"/>
      <c r="I52" s="523"/>
      <c r="J52" s="523"/>
      <c r="K52" s="66"/>
    </row>
    <row r="53" spans="2:11" ht="18">
      <c r="B53" s="548"/>
      <c r="C53" s="62" t="s">
        <v>1450</v>
      </c>
      <c r="D53" s="62"/>
      <c r="E53" s="63" t="s">
        <v>1996</v>
      </c>
      <c r="F53" s="64"/>
      <c r="G53" s="64"/>
      <c r="H53" s="65"/>
      <c r="I53" s="64"/>
      <c r="J53" s="65" t="s">
        <v>1584</v>
      </c>
      <c r="K53" s="66"/>
    </row>
    <row r="54" spans="2:11" ht="15">
      <c r="B54" s="548"/>
      <c r="C54" s="66"/>
      <c r="D54" s="74"/>
      <c r="E54" s="66"/>
      <c r="F54" s="66"/>
      <c r="G54" s="66"/>
      <c r="H54" s="66"/>
      <c r="I54" s="66"/>
      <c r="J54" s="66"/>
      <c r="K54" s="66"/>
    </row>
    <row r="55" spans="2:11" ht="18">
      <c r="B55" s="548"/>
      <c r="C55" s="72" t="s">
        <v>217</v>
      </c>
      <c r="D55" s="72" t="s">
        <v>1969</v>
      </c>
      <c r="E55" s="72" t="s">
        <v>218</v>
      </c>
      <c r="F55" s="66"/>
      <c r="G55" s="66"/>
      <c r="H55" s="66"/>
      <c r="I55" s="66"/>
      <c r="J55" s="66"/>
      <c r="K55" s="66"/>
    </row>
    <row r="56" spans="2:11" ht="15">
      <c r="B56" s="548"/>
      <c r="C56" s="66"/>
      <c r="D56" s="74"/>
      <c r="E56" s="66"/>
      <c r="F56" s="66"/>
      <c r="G56" s="66"/>
      <c r="H56" s="66"/>
      <c r="I56" s="66"/>
      <c r="J56" s="66"/>
      <c r="K56" s="66"/>
    </row>
    <row r="57" spans="2:11" ht="18">
      <c r="B57" s="548"/>
      <c r="C57" s="524" t="s">
        <v>216</v>
      </c>
      <c r="D57" s="525" t="s">
        <v>512</v>
      </c>
      <c r="E57" s="526">
        <f>J18</f>
        <v>0</v>
      </c>
      <c r="F57" s="66"/>
      <c r="G57" s="66"/>
      <c r="H57" s="66"/>
      <c r="I57" s="66"/>
      <c r="J57" s="66"/>
      <c r="K57" s="66"/>
    </row>
    <row r="58" spans="2:11" ht="18">
      <c r="B58" s="548"/>
      <c r="C58" s="514" t="s">
        <v>216</v>
      </c>
      <c r="D58" s="515" t="s">
        <v>632</v>
      </c>
      <c r="E58" s="526">
        <f>J40</f>
        <v>0</v>
      </c>
      <c r="F58" s="66"/>
      <c r="G58" s="66"/>
      <c r="H58" s="66"/>
      <c r="I58" s="66"/>
      <c r="J58" s="66"/>
      <c r="K58" s="66"/>
    </row>
    <row r="59" spans="2:11" ht="18">
      <c r="B59" s="548"/>
      <c r="C59" s="514" t="s">
        <v>220</v>
      </c>
      <c r="D59" s="515" t="s">
        <v>637</v>
      </c>
      <c r="E59" s="516">
        <f>J46</f>
        <v>0</v>
      </c>
      <c r="F59" s="66"/>
      <c r="G59" s="582" t="s">
        <v>404</v>
      </c>
      <c r="H59" s="66"/>
      <c r="I59" s="66"/>
      <c r="J59" s="66"/>
      <c r="K59" s="66"/>
    </row>
    <row r="60" spans="2:11" ht="18">
      <c r="B60" s="548"/>
      <c r="C60" s="514" t="s">
        <v>220</v>
      </c>
      <c r="D60" s="515" t="s">
        <v>519</v>
      </c>
      <c r="E60" s="516">
        <f>J26</f>
        <v>0</v>
      </c>
      <c r="F60" s="66"/>
      <c r="G60" s="582" t="s">
        <v>405</v>
      </c>
      <c r="H60" s="66"/>
      <c r="I60" s="66"/>
      <c r="J60" s="66"/>
      <c r="K60" s="66"/>
    </row>
    <row r="61" spans="2:11" ht="18">
      <c r="B61" s="66"/>
      <c r="C61" s="514" t="s">
        <v>220</v>
      </c>
      <c r="D61" s="515" t="s">
        <v>634</v>
      </c>
      <c r="E61" s="516">
        <f>J42</f>
        <v>0</v>
      </c>
      <c r="F61" s="66"/>
      <c r="G61" s="582"/>
      <c r="H61" s="66"/>
      <c r="I61" s="66"/>
      <c r="J61" s="66"/>
      <c r="K61" s="66"/>
    </row>
    <row r="62" spans="2:11" ht="18">
      <c r="B62" s="66"/>
      <c r="C62" s="514" t="s">
        <v>220</v>
      </c>
      <c r="D62" s="515" t="s">
        <v>524</v>
      </c>
      <c r="E62" s="516">
        <f>J34</f>
        <v>0</v>
      </c>
      <c r="F62" s="66"/>
      <c r="G62" s="571" t="s">
        <v>406</v>
      </c>
      <c r="H62" s="66"/>
      <c r="I62" s="66"/>
      <c r="J62" s="66"/>
      <c r="K62" s="66"/>
    </row>
    <row r="63" spans="2:11" ht="18">
      <c r="B63" s="66"/>
      <c r="C63" s="514" t="s">
        <v>220</v>
      </c>
      <c r="D63" s="515" t="s">
        <v>527</v>
      </c>
      <c r="E63" s="516">
        <f>J36+J38</f>
        <v>0</v>
      </c>
      <c r="F63" s="66"/>
      <c r="G63" s="571" t="s">
        <v>407</v>
      </c>
      <c r="H63" s="66"/>
      <c r="I63" s="66"/>
      <c r="J63" s="66"/>
      <c r="K63" s="66"/>
    </row>
    <row r="64" spans="2:11" ht="18">
      <c r="B64" s="66"/>
      <c r="C64" s="514" t="s">
        <v>1555</v>
      </c>
      <c r="D64" s="515" t="s">
        <v>521</v>
      </c>
      <c r="E64" s="516">
        <f>J28</f>
        <v>0</v>
      </c>
      <c r="F64" s="66"/>
      <c r="G64" s="571" t="s">
        <v>408</v>
      </c>
      <c r="H64" s="66"/>
      <c r="I64" s="66"/>
      <c r="J64" s="66"/>
      <c r="K64" s="66"/>
    </row>
    <row r="65" spans="2:11" ht="18">
      <c r="B65" s="66"/>
      <c r="C65" s="514" t="s">
        <v>1452</v>
      </c>
      <c r="D65" s="515" t="s">
        <v>304</v>
      </c>
      <c r="E65" s="516">
        <f>IF(E32=0,E18,E32)+IF(F32=0,F18,F32)+IF(G32=0,G18,G32)+IF(H32=0,H18,H32)+IF(I32=0,I18,I32)</f>
        <v>0</v>
      </c>
      <c r="F65" s="66"/>
      <c r="G65" s="571" t="s">
        <v>403</v>
      </c>
      <c r="H65" s="66"/>
      <c r="I65" s="66"/>
      <c r="J65" s="66"/>
      <c r="K65" s="66"/>
    </row>
    <row r="66" spans="2:11" ht="18">
      <c r="B66" s="66"/>
      <c r="C66" s="514" t="s">
        <v>1452</v>
      </c>
      <c r="D66" s="515" t="s">
        <v>887</v>
      </c>
      <c r="E66" s="516">
        <f>J20+J22</f>
        <v>0</v>
      </c>
      <c r="F66" s="66"/>
      <c r="G66" s="571"/>
      <c r="H66" s="66"/>
      <c r="I66" s="66"/>
      <c r="J66" s="66"/>
      <c r="K66" s="66"/>
    </row>
    <row r="67" spans="2:11" ht="18">
      <c r="B67" s="66"/>
      <c r="C67" s="514" t="s">
        <v>1556</v>
      </c>
      <c r="D67" s="515" t="s">
        <v>661</v>
      </c>
      <c r="E67" s="516">
        <f>J44</f>
        <v>0</v>
      </c>
      <c r="F67" s="66"/>
      <c r="G67" s="66"/>
      <c r="H67" s="66"/>
      <c r="I67" s="66"/>
      <c r="J67" s="66"/>
      <c r="K67" s="66"/>
    </row>
    <row r="68" spans="2:11" ht="18">
      <c r="B68" s="66"/>
      <c r="C68" s="514" t="s">
        <v>1414</v>
      </c>
      <c r="D68" s="515" t="s">
        <v>640</v>
      </c>
      <c r="E68" s="516">
        <f>J48</f>
        <v>0</v>
      </c>
      <c r="F68" s="66"/>
      <c r="G68" s="66"/>
      <c r="H68" s="66"/>
      <c r="I68" s="66"/>
      <c r="J68" s="66"/>
      <c r="K68" s="66"/>
    </row>
    <row r="69" spans="2:11" ht="18">
      <c r="B69" s="66"/>
      <c r="C69" s="514" t="s">
        <v>834</v>
      </c>
      <c r="D69" s="515" t="s">
        <v>1944</v>
      </c>
      <c r="E69" s="516">
        <f>IF(E32=0,E18,E32)+IF(F32=0,F18,F32)+IF(G32=0,G18,G32)+IF(H32=0,H18,H32)+IF(I32=0,I18,I32)</f>
        <v>0</v>
      </c>
      <c r="F69" s="66"/>
      <c r="G69" s="66"/>
      <c r="H69" s="66"/>
      <c r="I69" s="66"/>
      <c r="J69" s="66"/>
      <c r="K69" s="66"/>
    </row>
    <row r="70" spans="2:11" ht="18">
      <c r="B70" s="66"/>
      <c r="C70" s="514" t="s">
        <v>834</v>
      </c>
      <c r="D70" s="515" t="s">
        <v>1309</v>
      </c>
      <c r="E70" s="516">
        <f>J20+J22</f>
        <v>0</v>
      </c>
      <c r="F70" s="66"/>
      <c r="G70" s="66"/>
      <c r="H70" s="66"/>
      <c r="I70" s="66"/>
      <c r="J70" s="66"/>
      <c r="K70" s="66"/>
    </row>
    <row r="71" spans="2:11" ht="18">
      <c r="B71" s="66"/>
      <c r="C71" s="514" t="s">
        <v>834</v>
      </c>
      <c r="D71" s="515" t="s">
        <v>1839</v>
      </c>
      <c r="E71" s="516">
        <f>IF(E30=0,E18,E30)+IF(F30=0,F18,F30)+IF(G30=0,G18,G30)+IF(H30=0,H18,H30)+IF(I30=0,I18,I30)</f>
        <v>0</v>
      </c>
      <c r="F71" s="66"/>
      <c r="G71" s="66"/>
      <c r="H71" s="66"/>
      <c r="I71" s="66"/>
      <c r="J71" s="66"/>
      <c r="K71" s="66"/>
    </row>
    <row r="72" spans="2:11" ht="18">
      <c r="B72" s="66"/>
      <c r="C72" s="514" t="s">
        <v>834</v>
      </c>
      <c r="D72" s="515" t="s">
        <v>286</v>
      </c>
      <c r="E72" s="516">
        <f>J24</f>
        <v>0</v>
      </c>
      <c r="F72" s="66"/>
      <c r="G72" s="66"/>
      <c r="H72" s="66"/>
      <c r="I72" s="66"/>
      <c r="J72" s="66"/>
      <c r="K72" s="66"/>
    </row>
    <row r="73" spans="2:11" ht="18">
      <c r="B73" s="66"/>
      <c r="C73" s="551"/>
      <c r="D73" s="77"/>
      <c r="E73" s="552"/>
      <c r="F73" s="66"/>
      <c r="G73" s="66"/>
      <c r="H73" s="66"/>
      <c r="I73" s="66"/>
      <c r="J73" s="66"/>
      <c r="K73" s="66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K80"/>
  <sheetViews>
    <sheetView showGridLines="0" showRowColHeaders="0" zoomScale="60" zoomScaleNormal="60" workbookViewId="0" topLeftCell="A1">
      <selection activeCell="E24" sqref="E24"/>
    </sheetView>
  </sheetViews>
  <sheetFormatPr defaultColWidth="8.88671875" defaultRowHeight="15"/>
  <cols>
    <col min="1" max="1" width="5.21484375" style="67" customWidth="1"/>
    <col min="2" max="2" width="8.3359375" style="67" customWidth="1"/>
    <col min="3" max="3" width="34.77734375" style="67" customWidth="1"/>
    <col min="4" max="4" width="7.99609375" style="67" customWidth="1"/>
    <col min="5" max="10" width="12.21484375" style="67" customWidth="1"/>
    <col min="11" max="11" width="1.88671875" style="67" customWidth="1"/>
    <col min="12" max="16384" width="8.88671875" style="67" customWidth="1"/>
  </cols>
  <sheetData>
    <row r="1" spans="2:11" ht="18">
      <c r="B1" s="64"/>
      <c r="C1" s="62" t="s">
        <v>1850</v>
      </c>
      <c r="D1" s="62"/>
      <c r="E1" s="63" t="s">
        <v>1655</v>
      </c>
      <c r="F1" s="64"/>
      <c r="G1" s="64"/>
      <c r="H1" s="65"/>
      <c r="I1" s="64"/>
      <c r="J1" s="65" t="s">
        <v>1584</v>
      </c>
      <c r="K1" s="66"/>
    </row>
    <row r="2" spans="2:11" ht="15.75">
      <c r="B2" s="64"/>
      <c r="C2" s="64"/>
      <c r="D2" s="68"/>
      <c r="E2" s="66"/>
      <c r="F2" s="64"/>
      <c r="G2" s="64"/>
      <c r="H2" s="64"/>
      <c r="I2" s="64"/>
      <c r="J2" s="64"/>
      <c r="K2" s="66"/>
    </row>
    <row r="3" spans="2:11" ht="18">
      <c r="B3" s="69"/>
      <c r="C3" s="69" t="s">
        <v>1656</v>
      </c>
      <c r="D3" s="64"/>
      <c r="E3" s="68"/>
      <c r="F3" s="64"/>
      <c r="G3" s="64"/>
      <c r="H3" s="64"/>
      <c r="I3" s="64"/>
      <c r="J3" s="64"/>
      <c r="K3" s="66"/>
    </row>
    <row r="4" spans="2:11" ht="18">
      <c r="B4" s="69"/>
      <c r="C4" s="69" t="s">
        <v>1657</v>
      </c>
      <c r="D4" s="64"/>
      <c r="E4" s="68"/>
      <c r="F4" s="64"/>
      <c r="G4" s="64"/>
      <c r="H4" s="64"/>
      <c r="I4" s="64"/>
      <c r="J4" s="64"/>
      <c r="K4" s="66"/>
    </row>
    <row r="5" spans="2:11" ht="18">
      <c r="B5" s="69"/>
      <c r="C5" s="69" t="s">
        <v>1658</v>
      </c>
      <c r="D5" s="64"/>
      <c r="E5" s="68"/>
      <c r="F5" s="64"/>
      <c r="G5" s="64"/>
      <c r="H5" s="64"/>
      <c r="I5" s="64"/>
      <c r="J5" s="64"/>
      <c r="K5" s="66"/>
    </row>
    <row r="6" spans="2:11" ht="18">
      <c r="B6" s="69"/>
      <c r="C6" s="69" t="s">
        <v>1659</v>
      </c>
      <c r="D6" s="64"/>
      <c r="E6" s="68"/>
      <c r="F6" s="64"/>
      <c r="G6" s="64"/>
      <c r="H6" s="64"/>
      <c r="I6" s="64"/>
      <c r="J6" s="64"/>
      <c r="K6" s="66"/>
    </row>
    <row r="7" spans="2:11" ht="18">
      <c r="B7" s="69"/>
      <c r="C7" s="69" t="s">
        <v>928</v>
      </c>
      <c r="D7" s="64"/>
      <c r="E7" s="68"/>
      <c r="F7" s="64"/>
      <c r="G7" s="64"/>
      <c r="H7" s="64"/>
      <c r="I7" s="64"/>
      <c r="J7" s="64"/>
      <c r="K7" s="66"/>
    </row>
    <row r="8" spans="2:11" ht="18">
      <c r="B8" s="69"/>
      <c r="C8" s="69" t="s">
        <v>929</v>
      </c>
      <c r="D8" s="64"/>
      <c r="E8" s="68"/>
      <c r="F8" s="64"/>
      <c r="G8" s="64"/>
      <c r="H8" s="64"/>
      <c r="I8" s="64"/>
      <c r="J8" s="64"/>
      <c r="K8" s="66"/>
    </row>
    <row r="9" spans="2:11" ht="18">
      <c r="B9" s="69"/>
      <c r="C9" s="69" t="s">
        <v>1780</v>
      </c>
      <c r="D9" s="64"/>
      <c r="E9" s="68"/>
      <c r="F9" s="64"/>
      <c r="G9" s="64"/>
      <c r="H9" s="64"/>
      <c r="I9" s="64"/>
      <c r="J9" s="64"/>
      <c r="K9" s="66"/>
    </row>
    <row r="10" spans="2:11" ht="18">
      <c r="B10" s="69"/>
      <c r="C10" s="69" t="s">
        <v>1775</v>
      </c>
      <c r="D10" s="64"/>
      <c r="E10" s="68"/>
      <c r="F10" s="64"/>
      <c r="G10" s="64"/>
      <c r="H10" s="64"/>
      <c r="I10" s="64"/>
      <c r="J10" s="64"/>
      <c r="K10" s="66"/>
    </row>
    <row r="11" spans="2:11" ht="18">
      <c r="B11" s="69"/>
      <c r="C11" s="69" t="s">
        <v>1966</v>
      </c>
      <c r="D11" s="64"/>
      <c r="E11" s="68"/>
      <c r="F11" s="64"/>
      <c r="G11" s="64"/>
      <c r="H11" s="64"/>
      <c r="I11" s="64"/>
      <c r="J11" s="64"/>
      <c r="K11" s="66"/>
    </row>
    <row r="12" spans="2:11" ht="15.75">
      <c r="B12" s="70"/>
      <c r="C12" s="70"/>
      <c r="D12" s="70"/>
      <c r="E12" s="71"/>
      <c r="F12" s="70"/>
      <c r="G12" s="70"/>
      <c r="H12" s="70"/>
      <c r="I12" s="70"/>
      <c r="J12" s="70"/>
      <c r="K12" s="66"/>
    </row>
    <row r="13" spans="2:11" ht="36">
      <c r="B13" s="72" t="s">
        <v>1967</v>
      </c>
      <c r="C13" s="72" t="s">
        <v>1968</v>
      </c>
      <c r="D13" s="72" t="s">
        <v>1969</v>
      </c>
      <c r="E13" s="73" t="s">
        <v>930</v>
      </c>
      <c r="F13" s="73" t="s">
        <v>931</v>
      </c>
      <c r="G13" s="73" t="s">
        <v>932</v>
      </c>
      <c r="H13" s="73" t="s">
        <v>933</v>
      </c>
      <c r="I13" s="73" t="s">
        <v>934</v>
      </c>
      <c r="J13" s="73" t="s">
        <v>508</v>
      </c>
      <c r="K13" s="66"/>
    </row>
    <row r="14" spans="2:11" ht="15.75">
      <c r="B14" s="74"/>
      <c r="C14" s="75"/>
      <c r="D14" s="74"/>
      <c r="E14" s="76"/>
      <c r="F14" s="75"/>
      <c r="G14" s="75"/>
      <c r="H14" s="75"/>
      <c r="I14" s="75"/>
      <c r="J14" s="66"/>
      <c r="K14" s="66"/>
    </row>
    <row r="15" spans="2:11" ht="18">
      <c r="B15" s="77" t="s">
        <v>513</v>
      </c>
      <c r="C15" s="78" t="s">
        <v>936</v>
      </c>
      <c r="D15" s="77" t="s">
        <v>945</v>
      </c>
      <c r="E15" s="435"/>
      <c r="F15" s="436"/>
      <c r="G15" s="436"/>
      <c r="H15" s="436"/>
      <c r="I15" s="437"/>
      <c r="J15" s="438">
        <f>SUM(E15:I15)</f>
        <v>0</v>
      </c>
      <c r="K15" s="66"/>
    </row>
    <row r="16" spans="2:11" ht="18">
      <c r="B16" s="77"/>
      <c r="C16" s="79"/>
      <c r="D16" s="77"/>
      <c r="E16" s="76"/>
      <c r="F16" s="76"/>
      <c r="G16" s="75"/>
      <c r="H16" s="75"/>
      <c r="I16" s="75"/>
      <c r="J16" s="66"/>
      <c r="K16" s="66"/>
    </row>
    <row r="17" spans="2:11" ht="18">
      <c r="B17" s="77" t="s">
        <v>516</v>
      </c>
      <c r="C17" s="80" t="s">
        <v>937</v>
      </c>
      <c r="D17" s="77" t="s">
        <v>946</v>
      </c>
      <c r="E17" s="435"/>
      <c r="F17" s="436"/>
      <c r="G17" s="436"/>
      <c r="H17" s="436"/>
      <c r="I17" s="437"/>
      <c r="J17" s="438">
        <f>SUM(E17:I17)</f>
        <v>0</v>
      </c>
      <c r="K17" s="66"/>
    </row>
    <row r="18" spans="2:11" ht="18">
      <c r="B18" s="77"/>
      <c r="C18" s="81"/>
      <c r="D18" s="77"/>
      <c r="E18" s="82"/>
      <c r="F18" s="79"/>
      <c r="G18" s="79"/>
      <c r="H18" s="79"/>
      <c r="I18" s="79"/>
      <c r="J18" s="83"/>
      <c r="K18" s="66"/>
    </row>
    <row r="19" spans="2:11" ht="18">
      <c r="B19" s="77" t="s">
        <v>518</v>
      </c>
      <c r="C19" s="545" t="s">
        <v>1460</v>
      </c>
      <c r="D19" s="77" t="s">
        <v>947</v>
      </c>
      <c r="E19" s="431"/>
      <c r="F19" s="432"/>
      <c r="G19" s="432"/>
      <c r="H19" s="432"/>
      <c r="I19" s="433"/>
      <c r="J19" s="434">
        <f>SUM(E19:I19)</f>
        <v>0</v>
      </c>
      <c r="K19" s="66"/>
    </row>
    <row r="20" spans="2:11" ht="18">
      <c r="B20" s="77"/>
      <c r="C20" s="545" t="s">
        <v>1461</v>
      </c>
      <c r="D20" s="77"/>
      <c r="E20" s="431"/>
      <c r="F20" s="431"/>
      <c r="G20" s="431"/>
      <c r="H20" s="431"/>
      <c r="I20" s="431"/>
      <c r="J20" s="434">
        <f>SUM(E20:I20)</f>
        <v>0</v>
      </c>
      <c r="K20" s="66"/>
    </row>
    <row r="21" spans="2:11" ht="18">
      <c r="B21" s="77"/>
      <c r="C21" s="81"/>
      <c r="D21" s="77"/>
      <c r="E21" s="82"/>
      <c r="F21" s="79"/>
      <c r="G21" s="79"/>
      <c r="H21" s="79"/>
      <c r="I21" s="79"/>
      <c r="J21" s="83"/>
      <c r="K21" s="66"/>
    </row>
    <row r="22" spans="2:11" ht="18">
      <c r="B22" s="77" t="s">
        <v>520</v>
      </c>
      <c r="C22" s="80" t="s">
        <v>938</v>
      </c>
      <c r="D22" s="77" t="s">
        <v>521</v>
      </c>
      <c r="E22" s="431"/>
      <c r="F22" s="432"/>
      <c r="G22" s="432"/>
      <c r="H22" s="432"/>
      <c r="I22" s="433"/>
      <c r="J22" s="434">
        <f>SUM(E22:I22)</f>
        <v>0</v>
      </c>
      <c r="K22" s="66"/>
    </row>
    <row r="23" spans="2:11" ht="18">
      <c r="B23" s="77"/>
      <c r="C23" s="81"/>
      <c r="D23" s="77"/>
      <c r="E23" s="82"/>
      <c r="F23" s="79"/>
      <c r="G23" s="79"/>
      <c r="H23" s="84"/>
      <c r="I23" s="79"/>
      <c r="J23" s="83"/>
      <c r="K23" s="66"/>
    </row>
    <row r="24" spans="2:11" ht="54">
      <c r="B24" s="525" t="s">
        <v>792</v>
      </c>
      <c r="C24" s="887" t="s">
        <v>624</v>
      </c>
      <c r="D24" s="525" t="s">
        <v>1387</v>
      </c>
      <c r="E24" s="563"/>
      <c r="F24" s="564"/>
      <c r="G24" s="564"/>
      <c r="H24" s="564"/>
      <c r="I24" s="565"/>
      <c r="J24" s="566">
        <f>SUM(E24:I24)</f>
        <v>0</v>
      </c>
      <c r="K24" s="66"/>
    </row>
    <row r="25" spans="2:11" ht="54">
      <c r="B25" s="77" t="s">
        <v>792</v>
      </c>
      <c r="C25" s="85" t="s">
        <v>1388</v>
      </c>
      <c r="D25" s="77" t="s">
        <v>945</v>
      </c>
      <c r="E25" s="435"/>
      <c r="F25" s="436"/>
      <c r="G25" s="436"/>
      <c r="H25" s="436"/>
      <c r="I25" s="437"/>
      <c r="J25" s="438">
        <f>SUM(E25:I25)</f>
        <v>0</v>
      </c>
      <c r="K25" s="66"/>
    </row>
    <row r="26" spans="2:11" ht="18">
      <c r="B26" s="77"/>
      <c r="C26" s="81"/>
      <c r="D26" s="77"/>
      <c r="E26" s="82"/>
      <c r="F26" s="79"/>
      <c r="G26" s="79"/>
      <c r="H26" s="84"/>
      <c r="I26" s="79"/>
      <c r="J26" s="83"/>
      <c r="K26" s="66"/>
    </row>
    <row r="27" spans="2:11" ht="18">
      <c r="B27" s="77" t="s">
        <v>794</v>
      </c>
      <c r="C27" s="80" t="s">
        <v>939</v>
      </c>
      <c r="D27" s="77" t="s">
        <v>946</v>
      </c>
      <c r="E27" s="431"/>
      <c r="F27" s="432"/>
      <c r="G27" s="432"/>
      <c r="H27" s="432"/>
      <c r="I27" s="433"/>
      <c r="J27" s="434">
        <f>SUM(E27:I27)</f>
        <v>0</v>
      </c>
      <c r="K27" s="66"/>
    </row>
    <row r="28" spans="2:11" ht="18">
      <c r="B28" s="77"/>
      <c r="C28" s="81"/>
      <c r="D28" s="77"/>
      <c r="E28" s="82"/>
      <c r="F28" s="79"/>
      <c r="G28" s="79"/>
      <c r="H28" s="84"/>
      <c r="I28" s="79"/>
      <c r="J28" s="83"/>
      <c r="K28" s="66"/>
    </row>
    <row r="29" spans="2:11" ht="18">
      <c r="B29" s="77" t="s">
        <v>970</v>
      </c>
      <c r="C29" s="80" t="s">
        <v>940</v>
      </c>
      <c r="D29" s="77" t="s">
        <v>946</v>
      </c>
      <c r="E29" s="431"/>
      <c r="F29" s="432"/>
      <c r="G29" s="432"/>
      <c r="H29" s="432"/>
      <c r="I29" s="433"/>
      <c r="J29" s="434">
        <f>SUM(E29:I29)</f>
        <v>0</v>
      </c>
      <c r="K29" s="66"/>
    </row>
    <row r="30" spans="2:11" ht="18">
      <c r="B30" s="77"/>
      <c r="C30" s="80"/>
      <c r="D30" s="77"/>
      <c r="E30" s="82"/>
      <c r="F30" s="79"/>
      <c r="G30" s="79"/>
      <c r="H30" s="84"/>
      <c r="I30" s="79"/>
      <c r="J30" s="83"/>
      <c r="K30" s="66"/>
    </row>
    <row r="31" spans="2:11" ht="18">
      <c r="B31" s="77" t="s">
        <v>971</v>
      </c>
      <c r="C31" s="80" t="s">
        <v>860</v>
      </c>
      <c r="D31" s="77" t="s">
        <v>948</v>
      </c>
      <c r="E31" s="431"/>
      <c r="F31" s="432"/>
      <c r="G31" s="432"/>
      <c r="H31" s="432"/>
      <c r="I31" s="433"/>
      <c r="J31" s="434">
        <f>SUM(E31:I31)</f>
        <v>0</v>
      </c>
      <c r="K31" s="66"/>
    </row>
    <row r="32" spans="2:11" ht="18">
      <c r="B32" s="77"/>
      <c r="C32" s="80"/>
      <c r="D32" s="77"/>
      <c r="E32" s="82"/>
      <c r="F32" s="79"/>
      <c r="G32" s="79"/>
      <c r="H32" s="84"/>
      <c r="I32" s="79"/>
      <c r="J32" s="83"/>
      <c r="K32" s="66"/>
    </row>
    <row r="33" spans="2:11" ht="18">
      <c r="B33" s="77" t="s">
        <v>94</v>
      </c>
      <c r="C33" s="80" t="s">
        <v>941</v>
      </c>
      <c r="D33" s="92" t="s">
        <v>946</v>
      </c>
      <c r="E33" s="431"/>
      <c r="F33" s="432"/>
      <c r="G33" s="432"/>
      <c r="H33" s="432"/>
      <c r="I33" s="433"/>
      <c r="J33" s="434">
        <f>SUM(E33:I33)</f>
        <v>0</v>
      </c>
      <c r="K33" s="66"/>
    </row>
    <row r="34" spans="2:11" ht="18">
      <c r="B34" s="77"/>
      <c r="C34" s="81"/>
      <c r="D34" s="77"/>
      <c r="E34" s="82"/>
      <c r="F34" s="79"/>
      <c r="G34" s="79"/>
      <c r="H34" s="84"/>
      <c r="I34" s="79"/>
      <c r="J34" s="83"/>
      <c r="K34" s="66"/>
    </row>
    <row r="35" spans="2:11" ht="36">
      <c r="B35" s="77" t="s">
        <v>96</v>
      </c>
      <c r="C35" s="85" t="s">
        <v>942</v>
      </c>
      <c r="D35" s="77" t="s">
        <v>519</v>
      </c>
      <c r="E35" s="431"/>
      <c r="F35" s="432"/>
      <c r="G35" s="432"/>
      <c r="H35" s="432"/>
      <c r="I35" s="433"/>
      <c r="J35" s="434">
        <f>SUM(E35:I35)</f>
        <v>0</v>
      </c>
      <c r="K35" s="66"/>
    </row>
    <row r="36" spans="2:11" ht="18">
      <c r="B36" s="77"/>
      <c r="C36" s="86"/>
      <c r="D36" s="77"/>
      <c r="E36" s="82"/>
      <c r="F36" s="79"/>
      <c r="G36" s="79"/>
      <c r="H36" s="84"/>
      <c r="I36" s="79"/>
      <c r="J36" s="83"/>
      <c r="K36" s="66"/>
    </row>
    <row r="37" spans="2:11" ht="18">
      <c r="B37" s="77" t="s">
        <v>88</v>
      </c>
      <c r="C37" s="85" t="s">
        <v>687</v>
      </c>
      <c r="D37" s="77" t="s">
        <v>637</v>
      </c>
      <c r="E37" s="435"/>
      <c r="F37" s="436"/>
      <c r="G37" s="436"/>
      <c r="H37" s="436"/>
      <c r="I37" s="437"/>
      <c r="J37" s="438">
        <f>SUM(E37:I37)</f>
        <v>0</v>
      </c>
      <c r="K37" s="66"/>
    </row>
    <row r="38" spans="2:11" ht="18">
      <c r="B38" s="77"/>
      <c r="C38" s="86"/>
      <c r="D38" s="77"/>
      <c r="E38" s="82"/>
      <c r="F38" s="79"/>
      <c r="G38" s="79"/>
      <c r="H38" s="84"/>
      <c r="I38" s="87"/>
      <c r="J38" s="88"/>
      <c r="K38" s="66"/>
    </row>
    <row r="39" spans="2:11" ht="36">
      <c r="B39" s="77" t="s">
        <v>1804</v>
      </c>
      <c r="C39" s="85" t="s">
        <v>943</v>
      </c>
      <c r="D39" s="530" t="s">
        <v>1534</v>
      </c>
      <c r="E39" s="435"/>
      <c r="F39" s="436"/>
      <c r="G39" s="436"/>
      <c r="H39" s="436"/>
      <c r="I39" s="437"/>
      <c r="J39" s="438">
        <f>SUM(E39:I39)</f>
        <v>0</v>
      </c>
      <c r="K39" s="66"/>
    </row>
    <row r="40" spans="2:11" ht="18">
      <c r="B40" s="77"/>
      <c r="C40" s="85"/>
      <c r="D40" s="77"/>
      <c r="E40" s="82"/>
      <c r="F40" s="79"/>
      <c r="G40" s="79"/>
      <c r="H40" s="84"/>
      <c r="I40" s="79"/>
      <c r="J40" s="83"/>
      <c r="K40" s="66"/>
    </row>
    <row r="41" spans="2:11" ht="36">
      <c r="B41" s="77" t="s">
        <v>631</v>
      </c>
      <c r="C41" s="85" t="s">
        <v>944</v>
      </c>
      <c r="D41" s="77" t="s">
        <v>946</v>
      </c>
      <c r="E41" s="431"/>
      <c r="F41" s="432"/>
      <c r="G41" s="432"/>
      <c r="H41" s="432"/>
      <c r="I41" s="433"/>
      <c r="J41" s="434">
        <f>SUM(E41:I41)</f>
        <v>0</v>
      </c>
      <c r="K41" s="66"/>
    </row>
    <row r="42" spans="2:11" ht="18">
      <c r="B42" s="77"/>
      <c r="C42" s="86"/>
      <c r="D42" s="77"/>
      <c r="E42" s="77"/>
      <c r="F42" s="77"/>
      <c r="G42" s="77"/>
      <c r="H42" s="77"/>
      <c r="I42" s="77"/>
      <c r="J42" s="83"/>
      <c r="K42" s="66"/>
    </row>
    <row r="43" spans="2:11" ht="18">
      <c r="B43" s="77" t="s">
        <v>635</v>
      </c>
      <c r="C43" s="80" t="s">
        <v>685</v>
      </c>
      <c r="D43" s="92" t="s">
        <v>1981</v>
      </c>
      <c r="E43" s="431"/>
      <c r="F43" s="432"/>
      <c r="G43" s="432"/>
      <c r="H43" s="432"/>
      <c r="I43" s="433"/>
      <c r="J43" s="434">
        <f>SUM(E43:I43)</f>
        <v>0</v>
      </c>
      <c r="K43" s="66"/>
    </row>
    <row r="44" spans="2:11" ht="18">
      <c r="B44" s="77"/>
      <c r="C44" s="80"/>
      <c r="D44" s="77"/>
      <c r="E44" s="82"/>
      <c r="F44" s="79"/>
      <c r="G44" s="79"/>
      <c r="H44" s="84"/>
      <c r="I44" s="79"/>
      <c r="J44" s="83"/>
      <c r="K44" s="66"/>
    </row>
    <row r="45" spans="2:11" ht="18">
      <c r="B45" s="77" t="s">
        <v>1802</v>
      </c>
      <c r="C45" s="80" t="s">
        <v>935</v>
      </c>
      <c r="D45" s="77" t="s">
        <v>637</v>
      </c>
      <c r="E45" s="511"/>
      <c r="F45" s="512"/>
      <c r="G45" s="512"/>
      <c r="H45" s="512"/>
      <c r="I45" s="513"/>
      <c r="J45" s="83"/>
      <c r="K45" s="66"/>
    </row>
    <row r="46" spans="2:11" ht="18">
      <c r="B46" s="77"/>
      <c r="C46" s="80"/>
      <c r="D46" s="77"/>
      <c r="E46" s="82"/>
      <c r="F46" s="79"/>
      <c r="G46" s="79"/>
      <c r="H46" s="84"/>
      <c r="I46" s="79"/>
      <c r="J46" s="83"/>
      <c r="K46" s="66"/>
    </row>
    <row r="47" spans="2:11" ht="18.75" thickBot="1">
      <c r="B47" s="517"/>
      <c r="C47" s="518"/>
      <c r="D47" s="517"/>
      <c r="E47" s="519"/>
      <c r="F47" s="520"/>
      <c r="G47" s="520"/>
      <c r="H47" s="521"/>
      <c r="I47" s="520"/>
      <c r="J47" s="522"/>
      <c r="K47" s="523"/>
    </row>
    <row r="48" spans="2:11" ht="18">
      <c r="B48" s="77"/>
      <c r="C48" s="62" t="s">
        <v>215</v>
      </c>
      <c r="D48" s="62"/>
      <c r="E48" s="63" t="s">
        <v>1655</v>
      </c>
      <c r="F48" s="64"/>
      <c r="G48" s="64"/>
      <c r="H48" s="65"/>
      <c r="I48" s="64"/>
      <c r="J48" s="65" t="s">
        <v>1584</v>
      </c>
      <c r="K48" s="66"/>
    </row>
    <row r="49" spans="2:11" ht="18">
      <c r="B49" s="77"/>
      <c r="C49" s="80"/>
      <c r="D49" s="77"/>
      <c r="E49" s="82"/>
      <c r="F49" s="79"/>
      <c r="G49" s="79"/>
      <c r="H49" s="84"/>
      <c r="I49" s="79"/>
      <c r="J49" s="83"/>
      <c r="K49" s="66"/>
    </row>
    <row r="50" spans="2:11" ht="18">
      <c r="B50" s="77"/>
      <c r="C50" s="72" t="s">
        <v>217</v>
      </c>
      <c r="D50" s="72" t="s">
        <v>1969</v>
      </c>
      <c r="E50" s="72" t="s">
        <v>218</v>
      </c>
      <c r="F50" s="79"/>
      <c r="G50" s="79"/>
      <c r="H50" s="84"/>
      <c r="I50" s="79"/>
      <c r="J50" s="83"/>
      <c r="K50" s="66"/>
    </row>
    <row r="51" spans="2:11" ht="18">
      <c r="B51" s="77"/>
      <c r="C51" s="527"/>
      <c r="D51" s="528"/>
      <c r="E51" s="529"/>
      <c r="F51" s="79"/>
      <c r="G51" s="531"/>
      <c r="H51" s="84"/>
      <c r="I51" s="79"/>
      <c r="J51" s="83"/>
      <c r="K51" s="66"/>
    </row>
    <row r="52" spans="2:11" ht="18">
      <c r="B52" s="77"/>
      <c r="C52" s="524" t="s">
        <v>216</v>
      </c>
      <c r="D52" s="525" t="s">
        <v>219</v>
      </c>
      <c r="E52" s="526">
        <f>E31*HLOOKUP(E45,A65:K67,2,FALSE)+F31*HLOOKUP(F45,A65:K67,2,FALSE)+G31*HLOOKUP(G45,A65:K67,2,FALSE)+H31*HLOOKUP(H45,A65:K67,2,FALSE)+I31*HLOOKUP(I45,A65:K67,2,FALSE)</f>
        <v>0</v>
      </c>
      <c r="F52" s="79"/>
      <c r="G52" s="79"/>
      <c r="H52" s="84"/>
      <c r="I52" s="79"/>
      <c r="J52" s="83"/>
      <c r="K52" s="66"/>
    </row>
    <row r="53" spans="2:11" ht="18">
      <c r="B53" s="77"/>
      <c r="C53" s="514" t="s">
        <v>216</v>
      </c>
      <c r="D53" s="515" t="s">
        <v>945</v>
      </c>
      <c r="E53" s="526">
        <f>J15+J25+IF(DATE('T1 GEN-1'!$T$13,'T1 GEN-1'!$U$13,'T1 GEN-1'!$W$13)&lt;DATE(1937,1,1),$J$24,0)</f>
        <v>0</v>
      </c>
      <c r="F53" s="79"/>
      <c r="G53" s="582" t="s">
        <v>404</v>
      </c>
      <c r="H53" s="84"/>
      <c r="I53" s="79"/>
      <c r="J53" s="83"/>
      <c r="K53" s="66"/>
    </row>
    <row r="54" spans="2:11" ht="18">
      <c r="B54" s="77"/>
      <c r="C54" s="514" t="s">
        <v>216</v>
      </c>
      <c r="D54" s="515" t="s">
        <v>946</v>
      </c>
      <c r="E54" s="516">
        <f>J17+J27+J29+J33+J39+J41+IF(DATE('T1 GEN-1'!$T$13,'T1 GEN-1'!$U$13,'T1 GEN-1'!$W$13)&lt;DATE(1937,1,1),0,$J$24)+E31*HLOOKUP(E45,A65:K67,3,FALSE)+F31*HLOOKUP(F45,A65:K67,3,FALSE)+G31*HLOOKUP(G45,A65:K67,3,FALSE)+H31*HLOOKUP(H45,A65:K67,3,FALSE)+I31*HLOOKUP(I45,A65:K67,3,FALSE)</f>
        <v>0</v>
      </c>
      <c r="F54" s="79"/>
      <c r="G54" s="582" t="s">
        <v>405</v>
      </c>
      <c r="H54" s="84"/>
      <c r="I54" s="79"/>
      <c r="J54" s="83"/>
      <c r="K54" s="66"/>
    </row>
    <row r="55" spans="2:11" ht="18">
      <c r="B55" s="77"/>
      <c r="C55" s="514" t="s">
        <v>216</v>
      </c>
      <c r="D55" s="515" t="s">
        <v>1462</v>
      </c>
      <c r="E55" s="516">
        <f>J20</f>
        <v>0</v>
      </c>
      <c r="F55" s="79"/>
      <c r="G55" s="582"/>
      <c r="H55" s="84"/>
      <c r="I55" s="79"/>
      <c r="J55" s="83"/>
      <c r="K55" s="66"/>
    </row>
    <row r="56" spans="2:11" ht="18">
      <c r="B56" s="77"/>
      <c r="C56" s="514" t="s">
        <v>216</v>
      </c>
      <c r="D56" s="515" t="s">
        <v>947</v>
      </c>
      <c r="E56" s="516">
        <f>J19</f>
        <v>0</v>
      </c>
      <c r="F56" s="79"/>
      <c r="G56" s="571" t="s">
        <v>406</v>
      </c>
      <c r="H56" s="84"/>
      <c r="I56" s="79"/>
      <c r="J56" s="83"/>
      <c r="K56" s="66"/>
    </row>
    <row r="57" spans="2:11" ht="18">
      <c r="B57" s="77"/>
      <c r="C57" s="514" t="s">
        <v>220</v>
      </c>
      <c r="D57" s="515" t="s">
        <v>637</v>
      </c>
      <c r="E57" s="516">
        <f>J37</f>
        <v>0</v>
      </c>
      <c r="F57" s="79"/>
      <c r="G57" s="571" t="s">
        <v>407</v>
      </c>
      <c r="H57" s="84"/>
      <c r="I57" s="79"/>
      <c r="J57" s="83"/>
      <c r="K57" s="66"/>
    </row>
    <row r="58" spans="2:11" ht="18">
      <c r="B58" s="77"/>
      <c r="C58" s="514" t="s">
        <v>220</v>
      </c>
      <c r="D58" s="515" t="s">
        <v>519</v>
      </c>
      <c r="E58" s="516">
        <f>J35</f>
        <v>0</v>
      </c>
      <c r="F58" s="79"/>
      <c r="G58" s="571"/>
      <c r="H58" s="84"/>
      <c r="I58" s="79"/>
      <c r="J58" s="83"/>
      <c r="K58" s="66"/>
    </row>
    <row r="59" spans="2:11" ht="18">
      <c r="B59" s="77"/>
      <c r="C59" s="514"/>
      <c r="D59" s="515"/>
      <c r="E59" s="82"/>
      <c r="F59" s="79"/>
      <c r="G59" s="571" t="s">
        <v>408</v>
      </c>
      <c r="H59" s="84"/>
      <c r="I59" s="79"/>
      <c r="J59" s="83"/>
      <c r="K59" s="66"/>
    </row>
    <row r="60" spans="2:11" ht="18">
      <c r="B60" s="77"/>
      <c r="C60" s="514" t="s">
        <v>1555</v>
      </c>
      <c r="D60" s="515" t="s">
        <v>521</v>
      </c>
      <c r="E60" s="516">
        <f>J22</f>
        <v>0</v>
      </c>
      <c r="F60" s="79"/>
      <c r="G60" s="571" t="s">
        <v>403</v>
      </c>
      <c r="H60" s="84"/>
      <c r="I60" s="79"/>
      <c r="J60" s="83"/>
      <c r="K60" s="66"/>
    </row>
    <row r="61" spans="2:11" ht="18">
      <c r="B61" s="77"/>
      <c r="C61" s="514" t="s">
        <v>1556</v>
      </c>
      <c r="D61" s="515" t="s">
        <v>661</v>
      </c>
      <c r="E61" s="516">
        <f>J43</f>
        <v>0</v>
      </c>
      <c r="F61" s="79"/>
      <c r="G61" s="79"/>
      <c r="H61" s="84"/>
      <c r="I61" s="79"/>
      <c r="J61" s="83"/>
      <c r="K61" s="66"/>
    </row>
    <row r="62" spans="2:11" ht="18">
      <c r="B62" s="77"/>
      <c r="C62" s="514" t="s">
        <v>1419</v>
      </c>
      <c r="D62" s="515"/>
      <c r="E62" s="516">
        <f>J39</f>
        <v>0</v>
      </c>
      <c r="F62" s="79"/>
      <c r="G62" s="79"/>
      <c r="H62" s="84"/>
      <c r="I62" s="79"/>
      <c r="J62" s="83"/>
      <c r="K62" s="66"/>
    </row>
    <row r="63" spans="2:11" ht="18">
      <c r="B63" s="77"/>
      <c r="C63" s="80"/>
      <c r="D63" s="77"/>
      <c r="E63" s="82"/>
      <c r="F63" s="79"/>
      <c r="G63" s="79"/>
      <c r="H63" s="84"/>
      <c r="I63" s="79"/>
      <c r="J63" s="83"/>
      <c r="K63" s="66"/>
    </row>
    <row r="64" spans="2:11" ht="18">
      <c r="B64" s="77"/>
      <c r="C64" s="80"/>
      <c r="D64" s="77"/>
      <c r="E64" s="82"/>
      <c r="F64" s="79"/>
      <c r="G64" s="79"/>
      <c r="H64" s="84"/>
      <c r="I64" s="79"/>
      <c r="J64" s="83"/>
      <c r="K64" s="66"/>
    </row>
    <row r="65" spans="1:11" ht="15">
      <c r="A65" s="540">
        <v>0</v>
      </c>
      <c r="B65" s="541">
        <v>4</v>
      </c>
      <c r="C65" s="542">
        <v>5</v>
      </c>
      <c r="D65" s="541">
        <v>6</v>
      </c>
      <c r="E65" s="543">
        <v>7</v>
      </c>
      <c r="F65" s="543">
        <v>16</v>
      </c>
      <c r="G65" s="543">
        <v>17</v>
      </c>
      <c r="H65" s="543">
        <v>18</v>
      </c>
      <c r="I65" s="543">
        <v>19</v>
      </c>
      <c r="J65" s="544">
        <v>23</v>
      </c>
      <c r="K65" s="539">
        <v>25</v>
      </c>
    </row>
    <row r="66" spans="1:11" ht="15">
      <c r="A66" s="540">
        <v>0</v>
      </c>
      <c r="B66" s="541">
        <v>1</v>
      </c>
      <c r="C66" s="542">
        <v>0</v>
      </c>
      <c r="D66" s="541">
        <v>0</v>
      </c>
      <c r="E66" s="543">
        <v>1</v>
      </c>
      <c r="F66" s="543">
        <v>0</v>
      </c>
      <c r="G66" s="543">
        <v>0</v>
      </c>
      <c r="H66" s="543">
        <v>1</v>
      </c>
      <c r="I66" s="543">
        <v>1</v>
      </c>
      <c r="J66" s="544">
        <v>0</v>
      </c>
      <c r="K66" s="539">
        <v>0</v>
      </c>
    </row>
    <row r="67" spans="1:11" ht="15">
      <c r="A67" s="540">
        <v>0</v>
      </c>
      <c r="B67" s="541">
        <v>0</v>
      </c>
      <c r="C67" s="542">
        <v>1</v>
      </c>
      <c r="D67" s="541">
        <v>1</v>
      </c>
      <c r="E67" s="543">
        <v>0</v>
      </c>
      <c r="F67" s="543">
        <v>1</v>
      </c>
      <c r="G67" s="543">
        <v>1</v>
      </c>
      <c r="H67" s="543">
        <v>0</v>
      </c>
      <c r="I67" s="543">
        <v>0</v>
      </c>
      <c r="J67" s="544">
        <v>1</v>
      </c>
      <c r="K67" s="539">
        <v>1</v>
      </c>
    </row>
    <row r="68" spans="1:11" ht="18">
      <c r="A68" s="540"/>
      <c r="B68" s="532"/>
      <c r="C68" s="533"/>
      <c r="D68" s="532"/>
      <c r="E68" s="534"/>
      <c r="F68" s="535"/>
      <c r="G68" s="535"/>
      <c r="H68" s="536"/>
      <c r="I68" s="535"/>
      <c r="J68" s="537"/>
      <c r="K68" s="538"/>
    </row>
    <row r="69" spans="2:4" ht="15">
      <c r="B69" s="89"/>
      <c r="D69" s="90"/>
    </row>
    <row r="70" spans="2:4" ht="15">
      <c r="B70" s="89"/>
      <c r="D70" s="90"/>
    </row>
    <row r="71" spans="2:4" ht="15">
      <c r="B71" s="89"/>
      <c r="D71" s="90"/>
    </row>
    <row r="72" spans="2:4" ht="15">
      <c r="B72" s="89"/>
      <c r="D72" s="90"/>
    </row>
    <row r="73" spans="2:4" ht="15">
      <c r="B73" s="89"/>
      <c r="D73" s="90"/>
    </row>
    <row r="74" spans="2:4" ht="15">
      <c r="B74" s="89"/>
      <c r="D74" s="90"/>
    </row>
    <row r="75" spans="2:4" ht="15">
      <c r="B75" s="89"/>
      <c r="D75" s="90"/>
    </row>
    <row r="76" spans="2:4" ht="15">
      <c r="B76" s="89"/>
      <c r="D76" s="90"/>
    </row>
    <row r="77" spans="2:4" ht="15">
      <c r="B77" s="89"/>
      <c r="D77" s="90"/>
    </row>
    <row r="78" spans="2:4" ht="15">
      <c r="B78" s="89"/>
      <c r="D78" s="90"/>
    </row>
    <row r="79" spans="2:4" ht="15">
      <c r="B79" s="89"/>
      <c r="D79" s="90"/>
    </row>
    <row r="80" spans="2:4" ht="15">
      <c r="B80" s="89"/>
      <c r="D80" s="90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4" r:id="rId4"/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11111">
    <pageSetUpPr fitToPage="1"/>
  </sheetPr>
  <dimension ref="B1:K51"/>
  <sheetViews>
    <sheetView showGridLines="0" showRowColHeaders="0" zoomScale="60" zoomScaleNormal="60" workbookViewId="0" topLeftCell="A1">
      <selection activeCell="B1" sqref="B1"/>
    </sheetView>
  </sheetViews>
  <sheetFormatPr defaultColWidth="8.88671875" defaultRowHeight="15"/>
  <cols>
    <col min="1" max="1" width="1.77734375" style="67" customWidth="1"/>
    <col min="2" max="2" width="8.3359375" style="67" customWidth="1"/>
    <col min="3" max="3" width="34.77734375" style="67" customWidth="1"/>
    <col min="4" max="4" width="7.99609375" style="67" customWidth="1"/>
    <col min="5" max="10" width="12.21484375" style="67" customWidth="1"/>
    <col min="11" max="11" width="1.88671875" style="67" customWidth="1"/>
    <col min="12" max="16384" width="8.88671875" style="67" customWidth="1"/>
  </cols>
  <sheetData>
    <row r="1" spans="2:11" ht="18">
      <c r="B1" s="64"/>
      <c r="C1" s="62" t="s">
        <v>560</v>
      </c>
      <c r="D1" s="62"/>
      <c r="E1" s="562" t="s">
        <v>1788</v>
      </c>
      <c r="F1" s="64"/>
      <c r="G1" s="64"/>
      <c r="H1" s="65"/>
      <c r="I1" s="64"/>
      <c r="J1" s="65" t="s">
        <v>1584</v>
      </c>
      <c r="K1" s="66"/>
    </row>
    <row r="2" spans="2:11" ht="15.75">
      <c r="B2" s="64"/>
      <c r="C2" s="64"/>
      <c r="D2" s="68"/>
      <c r="E2" s="66"/>
      <c r="F2" s="64"/>
      <c r="G2" s="64"/>
      <c r="H2" s="64"/>
      <c r="I2" s="64"/>
      <c r="J2" s="64"/>
      <c r="K2" s="66"/>
    </row>
    <row r="3" spans="2:11" ht="18">
      <c r="B3" s="69"/>
      <c r="C3" s="69" t="s">
        <v>159</v>
      </c>
      <c r="D3" s="64"/>
      <c r="E3" s="68"/>
      <c r="F3" s="64"/>
      <c r="G3" s="64"/>
      <c r="H3" s="64"/>
      <c r="I3" s="64"/>
      <c r="J3" s="64"/>
      <c r="K3" s="66"/>
    </row>
    <row r="4" spans="2:11" ht="18">
      <c r="B4" s="69"/>
      <c r="C4" s="69" t="s">
        <v>32</v>
      </c>
      <c r="D4" s="64"/>
      <c r="E4" s="68"/>
      <c r="F4" s="64"/>
      <c r="G4" s="64"/>
      <c r="H4" s="64"/>
      <c r="I4" s="64"/>
      <c r="J4" s="64"/>
      <c r="K4" s="66"/>
    </row>
    <row r="5" spans="2:11" ht="18">
      <c r="B5" s="69"/>
      <c r="C5" s="69" t="s">
        <v>33</v>
      </c>
      <c r="D5" s="64"/>
      <c r="E5" s="68"/>
      <c r="F5" s="64"/>
      <c r="G5" s="64"/>
      <c r="H5" s="64"/>
      <c r="I5" s="64"/>
      <c r="J5" s="64"/>
      <c r="K5" s="66"/>
    </row>
    <row r="6" spans="2:11" ht="18">
      <c r="B6" s="69"/>
      <c r="C6" s="69" t="s">
        <v>319</v>
      </c>
      <c r="D6" s="64"/>
      <c r="E6" s="68"/>
      <c r="F6" s="64"/>
      <c r="G6" s="64"/>
      <c r="H6" s="64"/>
      <c r="I6" s="64"/>
      <c r="J6" s="64"/>
      <c r="K6" s="66"/>
    </row>
    <row r="7" spans="2:11" ht="18">
      <c r="B7" s="69"/>
      <c r="C7" s="69" t="s">
        <v>320</v>
      </c>
      <c r="D7" s="64"/>
      <c r="E7" s="68"/>
      <c r="F7" s="64"/>
      <c r="G7" s="64"/>
      <c r="H7" s="64"/>
      <c r="I7" s="64"/>
      <c r="J7" s="64"/>
      <c r="K7" s="66"/>
    </row>
    <row r="8" spans="2:11" ht="18">
      <c r="B8" s="69"/>
      <c r="C8" s="69" t="s">
        <v>34</v>
      </c>
      <c r="D8" s="64"/>
      <c r="E8" s="68"/>
      <c r="F8" s="64"/>
      <c r="G8" s="64"/>
      <c r="H8" s="64"/>
      <c r="I8" s="64"/>
      <c r="J8" s="64"/>
      <c r="K8" s="66"/>
    </row>
    <row r="9" spans="2:11" ht="18">
      <c r="B9" s="69"/>
      <c r="C9" s="69" t="s">
        <v>1779</v>
      </c>
      <c r="D9" s="64"/>
      <c r="E9" s="68"/>
      <c r="F9" s="64"/>
      <c r="G9" s="64"/>
      <c r="H9" s="64"/>
      <c r="I9" s="64"/>
      <c r="J9" s="64"/>
      <c r="K9" s="66"/>
    </row>
    <row r="10" spans="2:11" ht="18">
      <c r="B10" s="69"/>
      <c r="C10" s="69" t="s">
        <v>321</v>
      </c>
      <c r="D10" s="64"/>
      <c r="E10" s="68"/>
      <c r="F10" s="64"/>
      <c r="G10" s="64"/>
      <c r="H10" s="64"/>
      <c r="I10" s="64"/>
      <c r="J10" s="64"/>
      <c r="K10" s="66"/>
    </row>
    <row r="11" spans="2:11" ht="18">
      <c r="B11" s="69"/>
      <c r="C11" s="69" t="s">
        <v>1775</v>
      </c>
      <c r="D11" s="64"/>
      <c r="E11" s="68"/>
      <c r="F11" s="64"/>
      <c r="G11" s="64"/>
      <c r="H11" s="64"/>
      <c r="I11" s="64"/>
      <c r="J11" s="64"/>
      <c r="K11" s="66"/>
    </row>
    <row r="12" spans="2:11" ht="18">
      <c r="B12" s="69"/>
      <c r="C12" s="69" t="s">
        <v>71</v>
      </c>
      <c r="D12" s="64"/>
      <c r="E12" s="68"/>
      <c r="F12" s="64"/>
      <c r="G12" s="64"/>
      <c r="H12" s="64"/>
      <c r="I12" s="64"/>
      <c r="J12" s="64"/>
      <c r="K12" s="66"/>
    </row>
    <row r="13" spans="2:11" ht="18">
      <c r="B13" s="69"/>
      <c r="C13" s="69"/>
      <c r="D13" s="64"/>
      <c r="E13" s="68"/>
      <c r="F13" s="64"/>
      <c r="G13" s="64"/>
      <c r="H13" s="64"/>
      <c r="I13" s="64"/>
      <c r="J13" s="64"/>
      <c r="K13" s="66"/>
    </row>
    <row r="14" spans="2:11" ht="18">
      <c r="B14" s="69"/>
      <c r="C14" s="69"/>
      <c r="D14" s="64"/>
      <c r="E14" s="68"/>
      <c r="F14" s="64"/>
      <c r="G14" s="64"/>
      <c r="H14" s="64"/>
      <c r="I14" s="64"/>
      <c r="J14" s="64"/>
      <c r="K14" s="66"/>
    </row>
    <row r="15" spans="2:11" ht="54">
      <c r="B15" s="72" t="s">
        <v>1967</v>
      </c>
      <c r="C15" s="72" t="s">
        <v>1968</v>
      </c>
      <c r="D15" s="72" t="s">
        <v>1969</v>
      </c>
      <c r="E15" s="72" t="s">
        <v>36</v>
      </c>
      <c r="F15" s="72" t="s">
        <v>315</v>
      </c>
      <c r="G15" s="72" t="s">
        <v>316</v>
      </c>
      <c r="H15" s="72" t="s">
        <v>317</v>
      </c>
      <c r="I15" s="72" t="s">
        <v>318</v>
      </c>
      <c r="J15" s="73" t="s">
        <v>508</v>
      </c>
      <c r="K15" s="66"/>
    </row>
    <row r="16" spans="2:11" ht="18">
      <c r="B16" s="69"/>
      <c r="C16" s="69"/>
      <c r="D16" s="64"/>
      <c r="E16" s="68"/>
      <c r="F16" s="64"/>
      <c r="G16" s="64"/>
      <c r="H16" s="64"/>
      <c r="I16" s="64"/>
      <c r="J16" s="64"/>
      <c r="K16" s="66"/>
    </row>
    <row r="17" spans="2:11" ht="18">
      <c r="B17" s="77">
        <v>18</v>
      </c>
      <c r="C17" s="572" t="s">
        <v>1840</v>
      </c>
      <c r="D17" s="77">
        <v>113</v>
      </c>
      <c r="E17" s="569"/>
      <c r="F17" s="569"/>
      <c r="G17" s="569"/>
      <c r="H17" s="569"/>
      <c r="I17" s="569"/>
      <c r="J17" s="438">
        <f>SUM(E17:I17)</f>
        <v>0</v>
      </c>
      <c r="K17" s="66"/>
    </row>
    <row r="18" spans="2:11" ht="18">
      <c r="B18" s="77"/>
      <c r="C18" s="69"/>
      <c r="D18" s="64"/>
      <c r="E18" s="68"/>
      <c r="F18" s="64"/>
      <c r="G18" s="64"/>
      <c r="H18" s="64"/>
      <c r="I18" s="64"/>
      <c r="J18" s="64"/>
      <c r="K18" s="66"/>
    </row>
    <row r="19" spans="2:11" ht="18">
      <c r="B19" s="77" t="s">
        <v>581</v>
      </c>
      <c r="C19" s="568" t="s">
        <v>1841</v>
      </c>
      <c r="D19" s="77"/>
      <c r="E19" s="569"/>
      <c r="F19" s="569"/>
      <c r="G19" s="569"/>
      <c r="H19" s="569"/>
      <c r="I19" s="569"/>
      <c r="J19" s="438">
        <f>SUM(E19:I19)</f>
        <v>0</v>
      </c>
      <c r="K19" s="66"/>
    </row>
    <row r="20" spans="2:11" ht="18">
      <c r="B20" s="69"/>
      <c r="C20" s="69"/>
      <c r="D20" s="64"/>
      <c r="E20" s="68"/>
      <c r="F20" s="64"/>
      <c r="G20" s="64"/>
      <c r="H20" s="64"/>
      <c r="I20" s="64"/>
      <c r="J20" s="64"/>
      <c r="K20" s="66"/>
    </row>
    <row r="21" spans="2:11" ht="18">
      <c r="B21" s="77">
        <v>20</v>
      </c>
      <c r="C21" s="568" t="s">
        <v>1842</v>
      </c>
      <c r="D21" s="77" t="s">
        <v>122</v>
      </c>
      <c r="E21" s="569"/>
      <c r="F21" s="569"/>
      <c r="G21" s="569"/>
      <c r="H21" s="569"/>
      <c r="I21" s="569"/>
      <c r="J21" s="438">
        <f>SUM(E21:I21)</f>
        <v>0</v>
      </c>
      <c r="K21" s="66"/>
    </row>
    <row r="22" spans="2:11" ht="18">
      <c r="B22" s="69"/>
      <c r="C22" s="69"/>
      <c r="D22" s="64"/>
      <c r="E22" s="68"/>
      <c r="F22" s="64"/>
      <c r="G22" s="64"/>
      <c r="H22" s="64"/>
      <c r="I22" s="64"/>
      <c r="J22" s="64"/>
      <c r="K22" s="66"/>
    </row>
    <row r="23" spans="2:11" ht="18">
      <c r="B23" s="77">
        <v>21</v>
      </c>
      <c r="C23" s="568" t="s">
        <v>1843</v>
      </c>
      <c r="D23" s="77" t="s">
        <v>1845</v>
      </c>
      <c r="E23" s="569"/>
      <c r="F23" s="569"/>
      <c r="G23" s="569"/>
      <c r="H23" s="569"/>
      <c r="I23" s="569"/>
      <c r="J23" s="438">
        <f>SUM(E23:I23)</f>
        <v>0</v>
      </c>
      <c r="K23" s="66"/>
    </row>
    <row r="24" spans="2:11" ht="18">
      <c r="B24" s="69"/>
      <c r="C24" s="69"/>
      <c r="D24" s="64"/>
      <c r="E24" s="62"/>
      <c r="F24" s="64"/>
      <c r="G24" s="64"/>
      <c r="H24" s="64"/>
      <c r="I24" s="64"/>
      <c r="J24" s="64"/>
      <c r="K24" s="66"/>
    </row>
    <row r="25" spans="2:11" ht="18">
      <c r="B25" s="77">
        <v>22</v>
      </c>
      <c r="C25" s="568" t="s">
        <v>1777</v>
      </c>
      <c r="D25" s="77" t="s">
        <v>521</v>
      </c>
      <c r="E25" s="569"/>
      <c r="F25" s="569"/>
      <c r="G25" s="569"/>
      <c r="H25" s="569"/>
      <c r="I25" s="569"/>
      <c r="J25" s="438">
        <f>SUM(E25:I25)</f>
        <v>0</v>
      </c>
      <c r="K25" s="66"/>
    </row>
    <row r="26" spans="2:11" ht="18">
      <c r="B26" s="69"/>
      <c r="C26" s="69"/>
      <c r="D26" s="64"/>
      <c r="E26" s="62"/>
      <c r="F26" s="64"/>
      <c r="G26" s="64"/>
      <c r="H26" s="64"/>
      <c r="I26" s="64"/>
      <c r="J26" s="64"/>
      <c r="K26" s="66"/>
    </row>
    <row r="27" spans="2:11" ht="18">
      <c r="B27" s="77">
        <v>23</v>
      </c>
      <c r="C27" s="568" t="s">
        <v>1844</v>
      </c>
      <c r="D27" s="77" t="s">
        <v>521</v>
      </c>
      <c r="E27" s="569"/>
      <c r="F27" s="569"/>
      <c r="G27" s="569"/>
      <c r="H27" s="569"/>
      <c r="I27" s="569"/>
      <c r="J27" s="438">
        <f>SUM(E27:I27)</f>
        <v>0</v>
      </c>
      <c r="K27" s="66"/>
    </row>
    <row r="28" spans="2:11" ht="18">
      <c r="B28" s="69"/>
      <c r="C28" s="69"/>
      <c r="D28" s="64"/>
      <c r="E28" s="68"/>
      <c r="F28" s="64"/>
      <c r="G28" s="64"/>
      <c r="H28" s="64"/>
      <c r="I28" s="64"/>
      <c r="J28" s="64"/>
      <c r="K28" s="66"/>
    </row>
    <row r="29" spans="2:11" ht="18.75" thickBot="1">
      <c r="B29" s="517"/>
      <c r="C29" s="518"/>
      <c r="D29" s="517"/>
      <c r="E29" s="519"/>
      <c r="F29" s="520"/>
      <c r="G29" s="520"/>
      <c r="H29" s="521"/>
      <c r="I29" s="520"/>
      <c r="J29" s="522"/>
      <c r="K29" s="523"/>
    </row>
    <row r="30" spans="2:11" ht="18">
      <c r="B30" s="77"/>
      <c r="C30" s="62" t="s">
        <v>35</v>
      </c>
      <c r="D30" s="62"/>
      <c r="E30" s="63" t="s">
        <v>1788</v>
      </c>
      <c r="F30" s="64"/>
      <c r="G30" s="64"/>
      <c r="H30" s="65"/>
      <c r="I30" s="64"/>
      <c r="J30" s="65" t="s">
        <v>1584</v>
      </c>
      <c r="K30" s="66"/>
    </row>
    <row r="31" spans="2:11" ht="18">
      <c r="B31" s="77"/>
      <c r="C31" s="80"/>
      <c r="D31" s="77"/>
      <c r="E31" s="82"/>
      <c r="F31" s="79"/>
      <c r="G31" s="79"/>
      <c r="H31" s="84"/>
      <c r="I31" s="79"/>
      <c r="J31" s="83"/>
      <c r="K31" s="66"/>
    </row>
    <row r="32" spans="2:11" ht="18">
      <c r="B32" s="77"/>
      <c r="C32" s="72" t="s">
        <v>217</v>
      </c>
      <c r="D32" s="72" t="s">
        <v>1969</v>
      </c>
      <c r="E32" s="72" t="s">
        <v>218</v>
      </c>
      <c r="F32" s="570"/>
      <c r="G32" s="582" t="s">
        <v>404</v>
      </c>
      <c r="H32" s="570"/>
      <c r="I32" s="570"/>
      <c r="J32" s="570"/>
      <c r="K32" s="66"/>
    </row>
    <row r="33" spans="2:11" ht="18">
      <c r="B33" s="77"/>
      <c r="C33" s="524" t="s">
        <v>216</v>
      </c>
      <c r="D33" s="525" t="s">
        <v>1453</v>
      </c>
      <c r="E33" s="526">
        <f>J17</f>
        <v>0</v>
      </c>
      <c r="F33" s="571"/>
      <c r="G33" s="582" t="s">
        <v>405</v>
      </c>
      <c r="H33" s="571"/>
      <c r="I33" s="571"/>
      <c r="J33" s="571"/>
      <c r="K33" s="66"/>
    </row>
    <row r="34" spans="2:11" ht="18">
      <c r="B34" s="77"/>
      <c r="C34" s="514" t="s">
        <v>216</v>
      </c>
      <c r="D34" s="515" t="s">
        <v>118</v>
      </c>
      <c r="E34" s="526">
        <f>IF(J23&lt;0,0,J23)</f>
        <v>0</v>
      </c>
      <c r="F34" s="571"/>
      <c r="G34" s="582"/>
      <c r="H34" s="571"/>
      <c r="I34" s="571"/>
      <c r="J34" s="571"/>
      <c r="K34" s="66"/>
    </row>
    <row r="35" spans="2:11" ht="18">
      <c r="B35" s="77"/>
      <c r="C35" s="514" t="s">
        <v>220</v>
      </c>
      <c r="D35" s="515" t="s">
        <v>122</v>
      </c>
      <c r="E35" s="526">
        <f>J21</f>
        <v>0</v>
      </c>
      <c r="F35" s="571"/>
      <c r="G35" s="571" t="s">
        <v>406</v>
      </c>
      <c r="H35" s="571"/>
      <c r="I35" s="571"/>
      <c r="J35" s="571"/>
      <c r="K35" s="66"/>
    </row>
    <row r="36" spans="2:11" ht="18">
      <c r="B36" s="77"/>
      <c r="C36" s="514" t="s">
        <v>220</v>
      </c>
      <c r="D36" s="515" t="s">
        <v>123</v>
      </c>
      <c r="E36" s="526">
        <f>J23</f>
        <v>0</v>
      </c>
      <c r="F36" s="571"/>
      <c r="G36" s="571" t="s">
        <v>407</v>
      </c>
      <c r="H36" s="571"/>
      <c r="I36" s="571"/>
      <c r="J36" s="571"/>
      <c r="K36" s="66"/>
    </row>
    <row r="37" spans="2:11" ht="18">
      <c r="B37" s="77"/>
      <c r="C37" s="514" t="s">
        <v>1555</v>
      </c>
      <c r="D37" s="515" t="s">
        <v>521</v>
      </c>
      <c r="E37" s="526">
        <f>J25+J27</f>
        <v>0</v>
      </c>
      <c r="F37" s="571"/>
      <c r="G37" s="571"/>
      <c r="H37" s="571"/>
      <c r="I37" s="571"/>
      <c r="J37" s="571"/>
      <c r="K37" s="66"/>
    </row>
    <row r="38" spans="2:11" ht="18">
      <c r="B38" s="77"/>
      <c r="C38" s="549"/>
      <c r="D38" s="550"/>
      <c r="E38" s="567"/>
      <c r="F38" s="571"/>
      <c r="G38" s="571" t="s">
        <v>408</v>
      </c>
      <c r="H38" s="571"/>
      <c r="I38" s="571"/>
      <c r="J38" s="571"/>
      <c r="K38" s="66"/>
    </row>
    <row r="39" spans="2:11" ht="18">
      <c r="B39" s="77"/>
      <c r="C39" s="80"/>
      <c r="D39" s="77"/>
      <c r="E39" s="82"/>
      <c r="F39" s="79"/>
      <c r="G39" s="571" t="s">
        <v>403</v>
      </c>
      <c r="H39" s="84"/>
      <c r="I39" s="79"/>
      <c r="J39" s="83"/>
      <c r="K39" s="66"/>
    </row>
    <row r="40" spans="2:4" ht="15">
      <c r="B40" s="89"/>
      <c r="D40" s="90"/>
    </row>
    <row r="41" spans="2:4" ht="15">
      <c r="B41" s="89"/>
      <c r="D41" s="90"/>
    </row>
    <row r="42" spans="2:4" ht="15">
      <c r="B42" s="89"/>
      <c r="D42" s="90"/>
    </row>
    <row r="43" spans="2:4" ht="15">
      <c r="B43" s="89"/>
      <c r="D43" s="90"/>
    </row>
    <row r="44" spans="2:4" ht="15">
      <c r="B44" s="89"/>
      <c r="D44" s="90"/>
    </row>
    <row r="45" spans="2:4" ht="15">
      <c r="B45" s="89"/>
      <c r="D45" s="90"/>
    </row>
    <row r="46" spans="2:4" ht="15">
      <c r="B46" s="89"/>
      <c r="D46" s="90"/>
    </row>
    <row r="47" spans="2:4" ht="15">
      <c r="B47" s="89"/>
      <c r="D47" s="90"/>
    </row>
    <row r="48" spans="2:4" ht="15">
      <c r="B48" s="89"/>
      <c r="D48" s="90"/>
    </row>
    <row r="49" spans="2:4" ht="15">
      <c r="B49" s="89"/>
      <c r="D49" s="90"/>
    </row>
    <row r="50" spans="2:4" ht="15">
      <c r="B50" s="89"/>
      <c r="D50" s="90"/>
    </row>
    <row r="51" spans="2:4" ht="15">
      <c r="B51" s="89"/>
      <c r="D51" s="90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6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11111">
    <pageSetUpPr fitToPage="1"/>
  </sheetPr>
  <dimension ref="B1:K88"/>
  <sheetViews>
    <sheetView showGridLines="0" showRowColHeaders="0" zoomScale="60" zoomScaleNormal="60" workbookViewId="0" topLeftCell="A1">
      <selection activeCell="B1" sqref="B1"/>
    </sheetView>
  </sheetViews>
  <sheetFormatPr defaultColWidth="8.88671875" defaultRowHeight="15"/>
  <cols>
    <col min="1" max="1" width="1.77734375" style="67" customWidth="1"/>
    <col min="2" max="2" width="8.3359375" style="67" customWidth="1"/>
    <col min="3" max="3" width="34.77734375" style="67" customWidth="1"/>
    <col min="4" max="4" width="7.99609375" style="67" customWidth="1"/>
    <col min="5" max="10" width="12.21484375" style="67" customWidth="1"/>
    <col min="11" max="11" width="1.88671875" style="67" customWidth="1"/>
    <col min="12" max="16384" width="8.88671875" style="67" customWidth="1"/>
  </cols>
  <sheetData>
    <row r="1" spans="2:11" ht="18">
      <c r="B1" s="64"/>
      <c r="C1" s="62" t="s">
        <v>1789</v>
      </c>
      <c r="D1" s="62"/>
      <c r="E1" s="562" t="s">
        <v>1641</v>
      </c>
      <c r="F1" s="64"/>
      <c r="G1" s="64"/>
      <c r="H1" s="65"/>
      <c r="I1" s="64"/>
      <c r="J1" s="65" t="s">
        <v>1584</v>
      </c>
      <c r="K1" s="66"/>
    </row>
    <row r="2" spans="2:11" ht="15.75">
      <c r="B2" s="64"/>
      <c r="C2" s="64"/>
      <c r="D2" s="68"/>
      <c r="E2" s="66"/>
      <c r="F2" s="64"/>
      <c r="G2" s="64"/>
      <c r="H2" s="64"/>
      <c r="I2" s="64"/>
      <c r="J2" s="64"/>
      <c r="K2" s="66"/>
    </row>
    <row r="3" spans="2:11" ht="18">
      <c r="B3" s="69"/>
      <c r="C3" s="69" t="s">
        <v>1790</v>
      </c>
      <c r="D3" s="64"/>
      <c r="E3" s="68"/>
      <c r="F3" s="64"/>
      <c r="G3" s="64"/>
      <c r="H3" s="64"/>
      <c r="I3" s="64"/>
      <c r="J3" s="64"/>
      <c r="K3" s="66"/>
    </row>
    <row r="4" spans="2:11" ht="18">
      <c r="B4" s="69"/>
      <c r="C4" s="69" t="s">
        <v>1791</v>
      </c>
      <c r="D4" s="64"/>
      <c r="E4" s="68"/>
      <c r="F4" s="64"/>
      <c r="G4" s="64"/>
      <c r="H4" s="64"/>
      <c r="I4" s="64"/>
      <c r="J4" s="64"/>
      <c r="K4" s="66"/>
    </row>
    <row r="5" spans="2:11" ht="18">
      <c r="B5" s="69"/>
      <c r="C5" s="69" t="s">
        <v>1792</v>
      </c>
      <c r="D5" s="64"/>
      <c r="E5" s="68"/>
      <c r="F5" s="64"/>
      <c r="G5" s="64"/>
      <c r="H5" s="64"/>
      <c r="I5" s="64"/>
      <c r="J5" s="64"/>
      <c r="K5" s="66"/>
    </row>
    <row r="6" spans="2:11" ht="18">
      <c r="B6" s="69"/>
      <c r="C6" s="69" t="s">
        <v>160</v>
      </c>
      <c r="D6" s="64"/>
      <c r="E6" s="68"/>
      <c r="F6" s="64"/>
      <c r="G6" s="64"/>
      <c r="H6" s="64"/>
      <c r="I6" s="64"/>
      <c r="J6" s="64"/>
      <c r="K6" s="66"/>
    </row>
    <row r="7" spans="2:11" ht="18">
      <c r="B7" s="69"/>
      <c r="C7" s="69" t="s">
        <v>320</v>
      </c>
      <c r="D7" s="64"/>
      <c r="E7" s="68"/>
      <c r="F7" s="64"/>
      <c r="G7" s="64"/>
      <c r="H7" s="64"/>
      <c r="I7" s="64"/>
      <c r="J7" s="64"/>
      <c r="K7" s="66"/>
    </row>
    <row r="8" spans="2:11" ht="18">
      <c r="B8" s="69"/>
      <c r="C8" s="69" t="s">
        <v>1618</v>
      </c>
      <c r="D8" s="64"/>
      <c r="E8" s="68"/>
      <c r="F8" s="64"/>
      <c r="G8" s="64"/>
      <c r="H8" s="64"/>
      <c r="I8" s="64"/>
      <c r="J8" s="64"/>
      <c r="K8" s="66"/>
    </row>
    <row r="9" spans="2:11" ht="18">
      <c r="B9" s="69"/>
      <c r="C9" s="69" t="s">
        <v>1585</v>
      </c>
      <c r="D9" s="64"/>
      <c r="E9" s="68"/>
      <c r="F9" s="64"/>
      <c r="G9" s="64"/>
      <c r="H9" s="64"/>
      <c r="I9" s="64"/>
      <c r="J9" s="64"/>
      <c r="K9" s="66"/>
    </row>
    <row r="10" spans="2:11" ht="18">
      <c r="B10" s="69"/>
      <c r="C10" s="69" t="s">
        <v>1625</v>
      </c>
      <c r="D10" s="64"/>
      <c r="E10" s="68"/>
      <c r="F10" s="64"/>
      <c r="G10" s="64"/>
      <c r="H10" s="64"/>
      <c r="I10" s="64"/>
      <c r="J10" s="64"/>
      <c r="K10" s="66"/>
    </row>
    <row r="11" spans="2:11" ht="18">
      <c r="B11" s="69"/>
      <c r="C11" s="69" t="s">
        <v>1775</v>
      </c>
      <c r="D11" s="64"/>
      <c r="E11" s="68"/>
      <c r="F11" s="64"/>
      <c r="G11" s="64"/>
      <c r="H11" s="64"/>
      <c r="I11" s="64"/>
      <c r="J11" s="64"/>
      <c r="K11" s="66"/>
    </row>
    <row r="12" spans="2:11" ht="18">
      <c r="B12" s="69"/>
      <c r="C12" s="69" t="s">
        <v>71</v>
      </c>
      <c r="D12" s="64"/>
      <c r="E12" s="68"/>
      <c r="F12" s="64"/>
      <c r="G12" s="64"/>
      <c r="H12" s="64"/>
      <c r="I12" s="64"/>
      <c r="J12" s="64"/>
      <c r="K12" s="66"/>
    </row>
    <row r="13" spans="2:11" ht="18">
      <c r="B13" s="69"/>
      <c r="C13" s="69"/>
      <c r="D13" s="64"/>
      <c r="E13" s="68"/>
      <c r="F13" s="64"/>
      <c r="G13" s="64"/>
      <c r="H13" s="64"/>
      <c r="I13" s="64"/>
      <c r="J13" s="64"/>
      <c r="K13" s="66"/>
    </row>
    <row r="14" spans="2:11" ht="18">
      <c r="B14" s="69"/>
      <c r="C14" s="69"/>
      <c r="D14" s="64"/>
      <c r="E14" s="68"/>
      <c r="F14" s="64"/>
      <c r="G14" s="64"/>
      <c r="H14" s="64"/>
      <c r="I14" s="64"/>
      <c r="J14" s="64"/>
      <c r="K14" s="66"/>
    </row>
    <row r="15" spans="2:11" ht="36">
      <c r="B15" s="72" t="s">
        <v>1967</v>
      </c>
      <c r="C15" s="72" t="s">
        <v>1968</v>
      </c>
      <c r="D15" s="72" t="s">
        <v>1969</v>
      </c>
      <c r="E15" s="72" t="s">
        <v>1619</v>
      </c>
      <c r="F15" s="72" t="s">
        <v>1620</v>
      </c>
      <c r="G15" s="72" t="s">
        <v>1621</v>
      </c>
      <c r="H15" s="72" t="s">
        <v>1622</v>
      </c>
      <c r="I15" s="72" t="s">
        <v>1623</v>
      </c>
      <c r="J15" s="73" t="s">
        <v>508</v>
      </c>
      <c r="K15" s="66"/>
    </row>
    <row r="16" spans="2:11" ht="18">
      <c r="B16" s="69"/>
      <c r="C16" s="69"/>
      <c r="D16" s="64"/>
      <c r="E16" s="68"/>
      <c r="F16" s="64"/>
      <c r="G16" s="64"/>
      <c r="H16" s="64"/>
      <c r="I16" s="64"/>
      <c r="J16" s="64"/>
      <c r="K16" s="66"/>
    </row>
    <row r="17" spans="2:11" ht="18">
      <c r="B17" s="77" t="s">
        <v>1402</v>
      </c>
      <c r="C17" s="572" t="s">
        <v>329</v>
      </c>
      <c r="D17" s="77"/>
      <c r="E17" s="578"/>
      <c r="F17" s="578"/>
      <c r="G17" s="578"/>
      <c r="H17" s="578"/>
      <c r="I17" s="578"/>
      <c r="J17" s="579">
        <f>MAX(E17,F17,G17,H17,I17)</f>
        <v>0</v>
      </c>
      <c r="K17" s="66"/>
    </row>
    <row r="18" spans="2:11" ht="18">
      <c r="B18" s="77"/>
      <c r="C18" s="69"/>
      <c r="D18" s="64"/>
      <c r="E18" s="68"/>
      <c r="F18" s="64"/>
      <c r="G18" s="64"/>
      <c r="H18" s="64"/>
      <c r="I18" s="64"/>
      <c r="J18" s="64"/>
      <c r="K18" s="66"/>
    </row>
    <row r="19" spans="2:11" ht="18">
      <c r="B19" s="77" t="s">
        <v>511</v>
      </c>
      <c r="C19" s="568" t="s">
        <v>330</v>
      </c>
      <c r="D19" s="77" t="s">
        <v>1454</v>
      </c>
      <c r="E19" s="569"/>
      <c r="F19" s="569"/>
      <c r="G19" s="569"/>
      <c r="H19" s="569"/>
      <c r="I19" s="569"/>
      <c r="J19" s="438">
        <f>SUM(E19:I19)</f>
        <v>0</v>
      </c>
      <c r="K19" s="66"/>
    </row>
    <row r="20" spans="2:11" ht="18">
      <c r="B20" s="77"/>
      <c r="C20" s="568"/>
      <c r="D20" s="77"/>
      <c r="E20" s="68"/>
      <c r="F20" s="64"/>
      <c r="G20" s="64"/>
      <c r="H20" s="64"/>
      <c r="I20" s="64"/>
      <c r="J20" s="64"/>
      <c r="K20" s="66"/>
    </row>
    <row r="21" spans="2:11" ht="18">
      <c r="B21" s="77" t="s">
        <v>444</v>
      </c>
      <c r="C21" s="568" t="s">
        <v>331</v>
      </c>
      <c r="D21" s="77"/>
      <c r="E21" s="569"/>
      <c r="F21" s="569"/>
      <c r="G21" s="569"/>
      <c r="H21" s="569"/>
      <c r="I21" s="569"/>
      <c r="J21" s="438">
        <f>SUM(E21:I21)</f>
        <v>0</v>
      </c>
      <c r="K21" s="66"/>
    </row>
    <row r="22" spans="2:11" ht="18">
      <c r="B22" s="62"/>
      <c r="C22" s="62"/>
      <c r="D22" s="62"/>
      <c r="E22" s="62"/>
      <c r="F22" s="62"/>
      <c r="G22" s="62"/>
      <c r="H22" s="62"/>
      <c r="I22" s="62"/>
      <c r="J22" s="62"/>
      <c r="K22" s="66"/>
    </row>
    <row r="23" spans="2:11" ht="18">
      <c r="B23" s="77" t="s">
        <v>513</v>
      </c>
      <c r="C23" s="568" t="s">
        <v>332</v>
      </c>
      <c r="D23" s="77"/>
      <c r="E23" s="569"/>
      <c r="F23" s="569"/>
      <c r="G23" s="569"/>
      <c r="H23" s="569"/>
      <c r="I23" s="569"/>
      <c r="J23" s="438">
        <f>SUM(E23:I23)</f>
        <v>0</v>
      </c>
      <c r="K23" s="66"/>
    </row>
    <row r="24" spans="2:11" ht="18">
      <c r="B24" s="69"/>
      <c r="C24" s="69"/>
      <c r="D24" s="64"/>
      <c r="E24" s="62"/>
      <c r="F24" s="64"/>
      <c r="G24" s="64"/>
      <c r="H24" s="64"/>
      <c r="I24" s="64"/>
      <c r="J24" s="64"/>
      <c r="K24" s="66"/>
    </row>
    <row r="25" spans="2:11" ht="18">
      <c r="B25" s="77" t="s">
        <v>515</v>
      </c>
      <c r="C25" s="568" t="s">
        <v>1115</v>
      </c>
      <c r="D25" s="77"/>
      <c r="E25" s="569"/>
      <c r="F25" s="569"/>
      <c r="G25" s="569"/>
      <c r="H25" s="569"/>
      <c r="I25" s="569"/>
      <c r="J25" s="438">
        <f>SUM(E25:I25)</f>
        <v>0</v>
      </c>
      <c r="K25" s="66"/>
    </row>
    <row r="26" spans="2:11" ht="18">
      <c r="B26" s="69"/>
      <c r="C26" s="568" t="s">
        <v>1116</v>
      </c>
      <c r="D26" s="64"/>
      <c r="E26" s="62"/>
      <c r="F26" s="64"/>
      <c r="G26" s="64"/>
      <c r="H26" s="64"/>
      <c r="I26" s="64"/>
      <c r="J26" s="64"/>
      <c r="K26" s="66"/>
    </row>
    <row r="27" spans="2:11" ht="18">
      <c r="B27" s="77">
        <v>22</v>
      </c>
      <c r="C27" s="572" t="s">
        <v>1117</v>
      </c>
      <c r="D27" s="77" t="s">
        <v>521</v>
      </c>
      <c r="E27" s="569"/>
      <c r="F27" s="569"/>
      <c r="G27" s="569"/>
      <c r="H27" s="569"/>
      <c r="I27" s="569"/>
      <c r="J27" s="438">
        <f>SUM(E27:I27)</f>
        <v>0</v>
      </c>
      <c r="K27" s="66"/>
    </row>
    <row r="28" spans="2:11" ht="18">
      <c r="B28" s="77"/>
      <c r="C28" s="69"/>
      <c r="D28" s="64"/>
      <c r="E28" s="68"/>
      <c r="F28" s="64"/>
      <c r="G28" s="64"/>
      <c r="H28" s="64"/>
      <c r="I28" s="64"/>
      <c r="J28" s="64"/>
      <c r="K28" s="66"/>
    </row>
    <row r="29" spans="2:11" ht="18">
      <c r="B29" s="77">
        <v>23</v>
      </c>
      <c r="C29" s="568" t="s">
        <v>1844</v>
      </c>
      <c r="D29" s="77" t="s">
        <v>521</v>
      </c>
      <c r="E29" s="569"/>
      <c r="F29" s="569"/>
      <c r="G29" s="569"/>
      <c r="H29" s="569"/>
      <c r="I29" s="569"/>
      <c r="J29" s="438">
        <f>SUM(E29:I29)</f>
        <v>0</v>
      </c>
      <c r="K29" s="66"/>
    </row>
    <row r="30" spans="2:11" ht="18">
      <c r="B30" s="69"/>
      <c r="C30" s="69"/>
      <c r="D30" s="64"/>
      <c r="E30" s="68"/>
      <c r="F30" s="64"/>
      <c r="G30" s="64"/>
      <c r="H30" s="64"/>
      <c r="I30" s="64"/>
      <c r="J30" s="64"/>
      <c r="K30" s="66"/>
    </row>
    <row r="31" spans="2:11" ht="18">
      <c r="B31" s="77">
        <v>24</v>
      </c>
      <c r="C31" s="568" t="s">
        <v>921</v>
      </c>
      <c r="D31" s="77" t="s">
        <v>521</v>
      </c>
      <c r="E31" s="569"/>
      <c r="F31" s="569"/>
      <c r="G31" s="569"/>
      <c r="H31" s="569"/>
      <c r="I31" s="569"/>
      <c r="J31" s="438">
        <f>SUM(E31:I31)</f>
        <v>0</v>
      </c>
      <c r="K31" s="66"/>
    </row>
    <row r="32" spans="2:11" ht="18">
      <c r="B32" s="62"/>
      <c r="C32" s="62"/>
      <c r="D32" s="62"/>
      <c r="E32" s="62"/>
      <c r="F32" s="62"/>
      <c r="G32" s="62"/>
      <c r="H32" s="62"/>
      <c r="I32" s="62"/>
      <c r="J32" s="62"/>
      <c r="K32" s="66"/>
    </row>
    <row r="33" spans="2:11" ht="18">
      <c r="B33" s="77">
        <v>26</v>
      </c>
      <c r="C33" s="568" t="s">
        <v>923</v>
      </c>
      <c r="D33" s="77"/>
      <c r="E33" s="569"/>
      <c r="F33" s="569"/>
      <c r="G33" s="569"/>
      <c r="H33" s="569"/>
      <c r="I33" s="569"/>
      <c r="J33" s="438">
        <f>SUM(E33:I33)</f>
        <v>0</v>
      </c>
      <c r="K33" s="66"/>
    </row>
    <row r="34" spans="2:11" ht="18">
      <c r="B34" s="69"/>
      <c r="C34" s="69"/>
      <c r="D34" s="64"/>
      <c r="E34" s="62"/>
      <c r="F34" s="64"/>
      <c r="G34" s="64"/>
      <c r="H34" s="64"/>
      <c r="I34" s="64"/>
      <c r="J34" s="64"/>
      <c r="K34" s="66"/>
    </row>
    <row r="35" spans="2:11" ht="18">
      <c r="B35" s="77" t="s">
        <v>970</v>
      </c>
      <c r="C35" s="568" t="s">
        <v>924</v>
      </c>
      <c r="D35" s="77"/>
      <c r="E35" s="569"/>
      <c r="F35" s="569"/>
      <c r="G35" s="569"/>
      <c r="H35" s="569"/>
      <c r="I35" s="569"/>
      <c r="J35" s="438">
        <f>SUM(E35:I35)</f>
        <v>0</v>
      </c>
      <c r="K35" s="66"/>
    </row>
    <row r="36" spans="2:11" ht="18">
      <c r="B36" s="69"/>
      <c r="C36" s="69"/>
      <c r="D36" s="64"/>
      <c r="E36" s="62"/>
      <c r="F36" s="64"/>
      <c r="G36" s="64"/>
      <c r="H36" s="64"/>
      <c r="I36" s="64"/>
      <c r="J36" s="64"/>
      <c r="K36" s="66"/>
    </row>
    <row r="37" spans="2:11" ht="18">
      <c r="B37" s="77" t="s">
        <v>94</v>
      </c>
      <c r="C37" s="568" t="s">
        <v>922</v>
      </c>
      <c r="D37" s="77" t="s">
        <v>122</v>
      </c>
      <c r="E37" s="569"/>
      <c r="F37" s="569"/>
      <c r="G37" s="569"/>
      <c r="H37" s="569"/>
      <c r="I37" s="569"/>
      <c r="J37" s="438">
        <f>SUM(E37:I37)</f>
        <v>0</v>
      </c>
      <c r="K37" s="66"/>
    </row>
    <row r="38" spans="2:11" ht="18">
      <c r="B38" s="69"/>
      <c r="C38" s="69"/>
      <c r="D38" s="64"/>
      <c r="E38" s="68"/>
      <c r="F38" s="64"/>
      <c r="G38" s="64"/>
      <c r="H38" s="64"/>
      <c r="I38" s="64"/>
      <c r="J38" s="64"/>
      <c r="K38" s="66"/>
    </row>
    <row r="39" spans="2:11" ht="18.75" thickBot="1">
      <c r="B39" s="517"/>
      <c r="C39" s="518"/>
      <c r="D39" s="517"/>
      <c r="E39" s="519"/>
      <c r="F39" s="520"/>
      <c r="G39" s="520"/>
      <c r="H39" s="521"/>
      <c r="I39" s="520"/>
      <c r="J39" s="522"/>
      <c r="K39" s="523"/>
    </row>
    <row r="40" spans="2:11" ht="18">
      <c r="B40" s="77"/>
      <c r="C40" s="62" t="s">
        <v>1624</v>
      </c>
      <c r="D40" s="62"/>
      <c r="E40" s="562" t="s">
        <v>1641</v>
      </c>
      <c r="F40" s="64"/>
      <c r="G40" s="64"/>
      <c r="H40" s="65"/>
      <c r="I40" s="64"/>
      <c r="J40" s="65" t="s">
        <v>1584</v>
      </c>
      <c r="K40" s="66"/>
    </row>
    <row r="41" spans="2:11" ht="18">
      <c r="B41" s="77"/>
      <c r="C41" s="80"/>
      <c r="D41" s="77"/>
      <c r="E41" s="82"/>
      <c r="F41" s="79"/>
      <c r="G41" s="79"/>
      <c r="H41" s="84"/>
      <c r="I41" s="79"/>
      <c r="J41" s="83"/>
      <c r="K41" s="66"/>
    </row>
    <row r="42" spans="2:11" ht="18">
      <c r="B42" s="77"/>
      <c r="C42" s="72" t="s">
        <v>217</v>
      </c>
      <c r="D42" s="72" t="s">
        <v>1969</v>
      </c>
      <c r="E42" s="72" t="s">
        <v>218</v>
      </c>
      <c r="F42" s="570"/>
      <c r="G42" s="582" t="s">
        <v>404</v>
      </c>
      <c r="H42" s="570"/>
      <c r="I42" s="570"/>
      <c r="J42" s="570"/>
      <c r="K42" s="66"/>
    </row>
    <row r="43" spans="2:11" ht="18">
      <c r="B43" s="77"/>
      <c r="C43" s="514" t="s">
        <v>216</v>
      </c>
      <c r="D43" s="515" t="s">
        <v>1454</v>
      </c>
      <c r="E43" s="526">
        <f>J19</f>
        <v>0</v>
      </c>
      <c r="F43" s="570"/>
      <c r="G43" s="582" t="s">
        <v>405</v>
      </c>
      <c r="H43" s="570"/>
      <c r="I43" s="570"/>
      <c r="J43" s="570"/>
      <c r="K43" s="66"/>
    </row>
    <row r="44" spans="2:11" ht="18">
      <c r="B44" s="77"/>
      <c r="C44" s="514" t="s">
        <v>220</v>
      </c>
      <c r="D44" s="515" t="s">
        <v>122</v>
      </c>
      <c r="E44" s="526">
        <f>J37</f>
        <v>0</v>
      </c>
      <c r="F44" s="570"/>
      <c r="G44" s="582"/>
      <c r="H44" s="570"/>
      <c r="I44" s="570"/>
      <c r="J44" s="570"/>
      <c r="K44" s="66"/>
    </row>
    <row r="45" spans="2:11" ht="18">
      <c r="B45" s="77"/>
      <c r="C45" s="514" t="s">
        <v>220</v>
      </c>
      <c r="D45" s="515" t="s">
        <v>165</v>
      </c>
      <c r="E45" s="526">
        <f>E70</f>
        <v>0</v>
      </c>
      <c r="F45" s="570"/>
      <c r="G45" s="582"/>
      <c r="H45" s="570"/>
      <c r="I45" s="570"/>
      <c r="J45" s="570"/>
      <c r="K45" s="66"/>
    </row>
    <row r="46" spans="2:11" ht="18">
      <c r="B46" s="77"/>
      <c r="C46" s="514" t="s">
        <v>1555</v>
      </c>
      <c r="D46" s="515" t="s">
        <v>166</v>
      </c>
      <c r="E46" s="526">
        <f>E70</f>
        <v>0</v>
      </c>
      <c r="F46" s="570"/>
      <c r="G46" s="582"/>
      <c r="H46" s="570"/>
      <c r="I46" s="570"/>
      <c r="J46" s="570"/>
      <c r="K46" s="66"/>
    </row>
    <row r="47" spans="2:11" ht="18">
      <c r="B47" s="77"/>
      <c r="C47" s="514" t="s">
        <v>1555</v>
      </c>
      <c r="D47" s="515" t="s">
        <v>521</v>
      </c>
      <c r="E47" s="526">
        <f>J27+J29+J31</f>
        <v>0</v>
      </c>
      <c r="F47" s="570"/>
      <c r="G47" s="571" t="s">
        <v>406</v>
      </c>
      <c r="H47" s="570"/>
      <c r="I47" s="570"/>
      <c r="J47" s="570"/>
      <c r="K47" s="66"/>
    </row>
    <row r="48" spans="2:11" ht="18">
      <c r="B48" s="77"/>
      <c r="C48" s="549"/>
      <c r="D48" s="550"/>
      <c r="E48" s="567"/>
      <c r="F48" s="571"/>
      <c r="G48" s="571" t="s">
        <v>407</v>
      </c>
      <c r="H48" s="571"/>
      <c r="I48" s="571"/>
      <c r="J48" s="571"/>
      <c r="K48" s="66"/>
    </row>
    <row r="49" spans="2:11" ht="18">
      <c r="B49" s="77"/>
      <c r="C49" s="551"/>
      <c r="D49" s="77"/>
      <c r="E49" s="571"/>
      <c r="F49" s="571"/>
      <c r="G49" s="571"/>
      <c r="H49" s="571"/>
      <c r="I49" s="571"/>
      <c r="J49" s="571"/>
      <c r="K49" s="66"/>
    </row>
    <row r="50" spans="2:11" ht="18">
      <c r="B50" s="77"/>
      <c r="C50" s="551"/>
      <c r="D50" s="77"/>
      <c r="E50" s="571"/>
      <c r="F50" s="571"/>
      <c r="G50" s="571" t="s">
        <v>408</v>
      </c>
      <c r="H50" s="571"/>
      <c r="I50" s="571"/>
      <c r="J50" s="571"/>
      <c r="K50" s="66"/>
    </row>
    <row r="51" spans="2:11" ht="18">
      <c r="B51" s="77"/>
      <c r="C51" s="572" t="s">
        <v>925</v>
      </c>
      <c r="D51" s="77"/>
      <c r="E51" s="571"/>
      <c r="F51" s="571"/>
      <c r="G51" s="571" t="s">
        <v>403</v>
      </c>
      <c r="H51" s="571"/>
      <c r="I51" s="571"/>
      <c r="J51" s="571"/>
      <c r="K51" s="66"/>
    </row>
    <row r="52" spans="2:11" ht="18">
      <c r="B52" s="77"/>
      <c r="C52" s="551"/>
      <c r="D52" s="77"/>
      <c r="E52" s="571"/>
      <c r="F52" s="571"/>
      <c r="G52" s="571"/>
      <c r="H52" s="571"/>
      <c r="I52" s="571"/>
      <c r="J52" s="571"/>
      <c r="K52" s="66"/>
    </row>
    <row r="53" spans="2:11" ht="18">
      <c r="B53" s="77"/>
      <c r="C53" s="573" t="s">
        <v>1295</v>
      </c>
      <c r="D53" s="77"/>
      <c r="E53" s="571"/>
      <c r="F53" s="571"/>
      <c r="G53" s="571"/>
      <c r="H53" s="571"/>
      <c r="I53" s="571"/>
      <c r="J53" s="571"/>
      <c r="K53" s="66"/>
    </row>
    <row r="54" spans="2:11" ht="18">
      <c r="B54" s="77"/>
      <c r="C54" s="574" t="s">
        <v>1296</v>
      </c>
      <c r="D54" s="77"/>
      <c r="E54" s="575">
        <f>IF(J17=0.3,J21,0)</f>
        <v>0</v>
      </c>
      <c r="F54" s="576" t="s">
        <v>1056</v>
      </c>
      <c r="G54" s="571"/>
      <c r="H54" s="571"/>
      <c r="I54" s="571"/>
      <c r="J54" s="571"/>
      <c r="K54" s="66"/>
    </row>
    <row r="55" spans="2:11" ht="18">
      <c r="B55" s="77"/>
      <c r="C55" s="573"/>
      <c r="D55" s="77"/>
      <c r="E55" s="571"/>
      <c r="F55" s="571"/>
      <c r="G55" s="571"/>
      <c r="H55" s="571"/>
      <c r="I55" s="571"/>
      <c r="J55" s="571"/>
      <c r="K55" s="66"/>
    </row>
    <row r="56" spans="2:11" ht="18">
      <c r="B56" s="77"/>
      <c r="C56" s="574" t="s">
        <v>204</v>
      </c>
      <c r="D56" s="77"/>
      <c r="E56" s="575">
        <f>J37</f>
        <v>0</v>
      </c>
      <c r="F56" s="576" t="s">
        <v>1869</v>
      </c>
      <c r="G56" s="571"/>
      <c r="H56" s="571"/>
      <c r="I56" s="571"/>
      <c r="J56" s="571"/>
      <c r="K56" s="66"/>
    </row>
    <row r="57" spans="2:11" ht="18">
      <c r="B57" s="77"/>
      <c r="C57" s="573"/>
      <c r="D57" s="77"/>
      <c r="E57" s="571"/>
      <c r="F57" s="571"/>
      <c r="G57" s="571"/>
      <c r="H57" s="571"/>
      <c r="I57" s="571"/>
      <c r="J57" s="571"/>
      <c r="K57" s="66"/>
    </row>
    <row r="58" spans="2:11" ht="18.75" thickBot="1">
      <c r="B58" s="77"/>
      <c r="C58" s="574" t="s">
        <v>1570</v>
      </c>
      <c r="D58" s="77"/>
      <c r="E58" s="577">
        <f>MAX(E54-E56,0)</f>
        <v>0</v>
      </c>
      <c r="F58" s="576" t="s">
        <v>1057</v>
      </c>
      <c r="G58" s="571"/>
      <c r="H58" s="571"/>
      <c r="I58" s="571"/>
      <c r="J58" s="571"/>
      <c r="K58" s="66"/>
    </row>
    <row r="59" spans="2:11" ht="18.75" thickTop="1">
      <c r="B59" s="77"/>
      <c r="C59" s="573"/>
      <c r="D59" s="77"/>
      <c r="E59" s="571"/>
      <c r="F59" s="571"/>
      <c r="G59" s="571"/>
      <c r="H59" s="571"/>
      <c r="I59" s="571"/>
      <c r="J59" s="571"/>
      <c r="K59" s="66"/>
    </row>
    <row r="60" spans="2:11" ht="18">
      <c r="B60" s="77"/>
      <c r="C60" s="574" t="s">
        <v>205</v>
      </c>
      <c r="D60" s="77"/>
      <c r="E60" s="575">
        <f>'T1 GEN-2-3-4'!K80</f>
        <v>0</v>
      </c>
      <c r="F60" s="576" t="s">
        <v>1058</v>
      </c>
      <c r="G60" s="571"/>
      <c r="H60" s="571"/>
      <c r="I60" s="571"/>
      <c r="J60" s="571"/>
      <c r="K60" s="66"/>
    </row>
    <row r="61" spans="2:11" ht="18">
      <c r="B61" s="77"/>
      <c r="C61" s="573"/>
      <c r="D61" s="77"/>
      <c r="E61" s="571"/>
      <c r="F61" s="571"/>
      <c r="G61" s="571"/>
      <c r="H61" s="571"/>
      <c r="I61" s="571"/>
      <c r="J61" s="571"/>
      <c r="K61" s="66"/>
    </row>
    <row r="62" spans="2:11" ht="18">
      <c r="B62" s="77"/>
      <c r="C62" s="574" t="s">
        <v>206</v>
      </c>
      <c r="D62" s="77"/>
      <c r="E62" s="575">
        <v>48750</v>
      </c>
      <c r="F62" s="576" t="s">
        <v>1059</v>
      </c>
      <c r="G62" s="571"/>
      <c r="H62" s="571"/>
      <c r="I62" s="571"/>
      <c r="J62" s="571"/>
      <c r="K62" s="66"/>
    </row>
    <row r="63" spans="2:11" ht="18">
      <c r="B63" s="77"/>
      <c r="C63" s="573"/>
      <c r="D63" s="77"/>
      <c r="E63" s="571"/>
      <c r="F63" s="571"/>
      <c r="G63" s="571"/>
      <c r="H63" s="571"/>
      <c r="I63" s="571"/>
      <c r="J63" s="571"/>
      <c r="K63" s="66"/>
    </row>
    <row r="64" spans="2:11" ht="18.75" thickBot="1">
      <c r="B64" s="77"/>
      <c r="C64" s="574" t="s">
        <v>207</v>
      </c>
      <c r="D64" s="77"/>
      <c r="E64" s="577">
        <f>MAX(E60-E62,0)</f>
        <v>0</v>
      </c>
      <c r="F64" s="576" t="s">
        <v>1060</v>
      </c>
      <c r="G64" s="571"/>
      <c r="H64" s="571"/>
      <c r="I64" s="571"/>
      <c r="J64" s="571"/>
      <c r="K64" s="66"/>
    </row>
    <row r="65" spans="2:11" ht="18.75" thickTop="1">
      <c r="B65" s="77"/>
      <c r="C65" s="573"/>
      <c r="D65" s="77"/>
      <c r="E65" s="571"/>
      <c r="F65" s="571"/>
      <c r="G65" s="571"/>
      <c r="H65" s="571"/>
      <c r="I65" s="571"/>
      <c r="J65" s="571"/>
      <c r="K65" s="66"/>
    </row>
    <row r="66" spans="2:11" ht="18">
      <c r="B66" s="77"/>
      <c r="C66" s="573" t="s">
        <v>208</v>
      </c>
      <c r="D66" s="77"/>
      <c r="E66" s="571"/>
      <c r="F66" s="571"/>
      <c r="G66" s="571"/>
      <c r="H66" s="571"/>
      <c r="I66" s="571"/>
      <c r="J66" s="571"/>
      <c r="K66" s="66"/>
    </row>
    <row r="67" spans="2:11" ht="18">
      <c r="B67" s="77"/>
      <c r="C67" s="574" t="s">
        <v>209</v>
      </c>
      <c r="D67" s="77"/>
      <c r="E67" s="575">
        <f>MIN(E58,E64)</f>
        <v>0</v>
      </c>
      <c r="F67" s="576" t="s">
        <v>1061</v>
      </c>
      <c r="G67" s="571"/>
      <c r="H67" s="571"/>
      <c r="I67" s="571"/>
      <c r="J67" s="571"/>
      <c r="K67" s="66"/>
    </row>
    <row r="68" spans="2:11" ht="18">
      <c r="B68" s="77"/>
      <c r="C68" s="573"/>
      <c r="D68" s="77"/>
      <c r="E68" s="580" t="s">
        <v>1063</v>
      </c>
      <c r="F68" s="571"/>
      <c r="G68" s="571"/>
      <c r="H68" s="571"/>
      <c r="I68" s="571"/>
      <c r="J68" s="571"/>
      <c r="K68" s="66"/>
    </row>
    <row r="69" spans="2:11" ht="18">
      <c r="B69" s="77"/>
      <c r="C69" s="573" t="s">
        <v>210</v>
      </c>
      <c r="D69" s="77"/>
      <c r="E69" s="571"/>
      <c r="F69" s="571"/>
      <c r="G69" s="571"/>
      <c r="H69" s="571"/>
      <c r="I69" s="571"/>
      <c r="J69" s="571"/>
      <c r="K69" s="66"/>
    </row>
    <row r="70" spans="2:11" ht="18">
      <c r="B70" s="77"/>
      <c r="C70" s="574" t="s">
        <v>211</v>
      </c>
      <c r="D70" s="77"/>
      <c r="E70" s="575">
        <f>E67*0.3</f>
        <v>0</v>
      </c>
      <c r="F70" s="576" t="s">
        <v>1062</v>
      </c>
      <c r="G70" s="571"/>
      <c r="H70" s="571"/>
      <c r="I70" s="571"/>
      <c r="J70" s="571"/>
      <c r="K70" s="66"/>
    </row>
    <row r="71" spans="2:11" ht="18">
      <c r="B71" s="77"/>
      <c r="C71" s="573"/>
      <c r="D71" s="77"/>
      <c r="E71" s="571"/>
      <c r="F71" s="571"/>
      <c r="G71" s="571"/>
      <c r="H71" s="571"/>
      <c r="I71" s="571"/>
      <c r="J71" s="571"/>
      <c r="K71" s="66"/>
    </row>
    <row r="72" spans="2:11" ht="18">
      <c r="B72" s="77"/>
      <c r="C72" s="572" t="s">
        <v>1052</v>
      </c>
      <c r="D72" s="77"/>
      <c r="E72" s="571"/>
      <c r="F72" s="571"/>
      <c r="G72" s="571"/>
      <c r="H72" s="571"/>
      <c r="I72" s="571"/>
      <c r="J72" s="571"/>
      <c r="K72" s="66"/>
    </row>
    <row r="73" spans="2:11" ht="18">
      <c r="B73" s="77"/>
      <c r="C73" s="572" t="s">
        <v>1053</v>
      </c>
      <c r="D73" s="77"/>
      <c r="E73" s="82"/>
      <c r="F73" s="79"/>
      <c r="G73" s="79"/>
      <c r="H73" s="84"/>
      <c r="I73" s="79"/>
      <c r="J73" s="83"/>
      <c r="K73" s="66"/>
    </row>
    <row r="74" spans="2:11" ht="18">
      <c r="B74" s="77"/>
      <c r="C74" s="572" t="s">
        <v>1054</v>
      </c>
      <c r="D74" s="77"/>
      <c r="E74" s="82"/>
      <c r="F74" s="79"/>
      <c r="G74" s="79"/>
      <c r="H74" s="84"/>
      <c r="I74" s="79"/>
      <c r="J74" s="83"/>
      <c r="K74" s="66"/>
    </row>
    <row r="75" spans="2:11" ht="18">
      <c r="B75" s="77"/>
      <c r="C75" s="572" t="s">
        <v>1055</v>
      </c>
      <c r="D75" s="77"/>
      <c r="E75" s="82"/>
      <c r="F75" s="79"/>
      <c r="G75" s="79"/>
      <c r="H75" s="84"/>
      <c r="I75" s="79"/>
      <c r="J75" s="83"/>
      <c r="K75" s="66"/>
    </row>
    <row r="76" spans="2:11" ht="18">
      <c r="B76" s="77"/>
      <c r="C76" s="573"/>
      <c r="D76" s="77"/>
      <c r="E76" s="82"/>
      <c r="F76" s="79"/>
      <c r="G76" s="79"/>
      <c r="H76" s="84"/>
      <c r="I76" s="79"/>
      <c r="J76" s="83"/>
      <c r="K76" s="66"/>
    </row>
    <row r="77" spans="2:4" ht="15">
      <c r="B77" s="89"/>
      <c r="D77" s="90"/>
    </row>
    <row r="78" spans="2:4" ht="15">
      <c r="B78" s="89"/>
      <c r="D78" s="90"/>
    </row>
    <row r="79" spans="2:4" ht="15">
      <c r="B79" s="89"/>
      <c r="D79" s="90"/>
    </row>
    <row r="80" spans="2:4" ht="15">
      <c r="B80" s="89"/>
      <c r="D80" s="90"/>
    </row>
    <row r="81" spans="2:4" ht="15">
      <c r="B81" s="89"/>
      <c r="D81" s="90"/>
    </row>
    <row r="82" spans="2:4" ht="15">
      <c r="B82" s="89"/>
      <c r="D82" s="90"/>
    </row>
    <row r="83" spans="2:4" ht="15">
      <c r="B83" s="89"/>
      <c r="D83" s="90"/>
    </row>
    <row r="84" spans="2:4" ht="15">
      <c r="B84" s="89"/>
      <c r="D84" s="90"/>
    </row>
    <row r="85" spans="2:4" ht="15">
      <c r="B85" s="89"/>
      <c r="D85" s="90"/>
    </row>
    <row r="86" spans="2:4" ht="15">
      <c r="B86" s="89"/>
      <c r="D86" s="90"/>
    </row>
    <row r="87" spans="2:4" ht="15">
      <c r="B87" s="89"/>
      <c r="D87" s="90"/>
    </row>
    <row r="88" spans="2:4" ht="15">
      <c r="B88" s="89"/>
      <c r="D88" s="90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2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1111112">
    <pageSetUpPr fitToPage="1"/>
  </sheetPr>
  <dimension ref="A1:IV50"/>
  <sheetViews>
    <sheetView showGridLines="0" showRowColHeaders="0" zoomScale="65" zoomScaleNormal="65" workbookViewId="0" topLeftCell="A1">
      <selection activeCell="B1" sqref="B1"/>
    </sheetView>
  </sheetViews>
  <sheetFormatPr defaultColWidth="8.88671875" defaultRowHeight="15"/>
  <cols>
    <col min="1" max="1" width="1.77734375" style="67" customWidth="1"/>
    <col min="2" max="2" width="8.3359375" style="67" customWidth="1"/>
    <col min="3" max="3" width="34.77734375" style="67" customWidth="1"/>
    <col min="4" max="4" width="7.99609375" style="67" customWidth="1"/>
    <col min="5" max="10" width="12.21484375" style="67" customWidth="1"/>
    <col min="11" max="11" width="1.88671875" style="67" customWidth="1"/>
    <col min="12" max="16384" width="8.88671875" style="67" customWidth="1"/>
  </cols>
  <sheetData>
    <row r="1" spans="2:11" ht="18">
      <c r="B1" s="64"/>
      <c r="C1" s="62" t="s">
        <v>1626</v>
      </c>
      <c r="D1" s="62"/>
      <c r="E1" s="562" t="s">
        <v>1640</v>
      </c>
      <c r="F1" s="64"/>
      <c r="G1" s="64"/>
      <c r="H1" s="65"/>
      <c r="I1" s="64"/>
      <c r="J1" s="65" t="s">
        <v>1584</v>
      </c>
      <c r="K1" s="66"/>
    </row>
    <row r="2" spans="2:11" ht="15.75">
      <c r="B2" s="64"/>
      <c r="C2" s="64"/>
      <c r="D2" s="68"/>
      <c r="E2" s="66"/>
      <c r="F2" s="64"/>
      <c r="G2" s="64"/>
      <c r="H2" s="64"/>
      <c r="I2" s="64"/>
      <c r="J2" s="64"/>
      <c r="K2" s="66"/>
    </row>
    <row r="3" spans="2:11" ht="18">
      <c r="B3" s="69"/>
      <c r="C3" s="69" t="s">
        <v>1627</v>
      </c>
      <c r="D3" s="64"/>
      <c r="E3" s="68"/>
      <c r="F3" s="64"/>
      <c r="G3" s="64"/>
      <c r="H3" s="64"/>
      <c r="I3" s="64"/>
      <c r="J3" s="64"/>
      <c r="K3" s="66"/>
    </row>
    <row r="4" spans="2:11" ht="18">
      <c r="B4" s="69"/>
      <c r="C4" s="69" t="s">
        <v>1628</v>
      </c>
      <c r="D4" s="64"/>
      <c r="E4" s="68"/>
      <c r="F4" s="64"/>
      <c r="G4" s="64"/>
      <c r="H4" s="64"/>
      <c r="I4" s="64"/>
      <c r="J4" s="64"/>
      <c r="K4" s="66"/>
    </row>
    <row r="5" spans="2:11" ht="18">
      <c r="B5" s="69"/>
      <c r="C5" s="69" t="s">
        <v>1629</v>
      </c>
      <c r="D5" s="64"/>
      <c r="E5" s="68"/>
      <c r="F5" s="64"/>
      <c r="G5" s="64"/>
      <c r="H5" s="64"/>
      <c r="I5" s="64"/>
      <c r="J5" s="64"/>
      <c r="K5" s="66"/>
    </row>
    <row r="6" spans="2:11" ht="18">
      <c r="B6" s="69"/>
      <c r="C6" s="69" t="s">
        <v>1630</v>
      </c>
      <c r="D6" s="64"/>
      <c r="E6" s="68"/>
      <c r="F6" s="64"/>
      <c r="G6" s="64"/>
      <c r="H6" s="64"/>
      <c r="I6" s="64"/>
      <c r="J6" s="64"/>
      <c r="K6" s="66"/>
    </row>
    <row r="7" spans="2:11" ht="18">
      <c r="B7" s="69"/>
      <c r="C7" s="69" t="s">
        <v>320</v>
      </c>
      <c r="D7" s="64"/>
      <c r="E7" s="68"/>
      <c r="F7" s="64"/>
      <c r="G7" s="64"/>
      <c r="H7" s="64"/>
      <c r="I7" s="64"/>
      <c r="J7" s="64"/>
      <c r="K7" s="66"/>
    </row>
    <row r="8" spans="2:11" ht="18">
      <c r="B8" s="69"/>
      <c r="C8" s="69" t="s">
        <v>1631</v>
      </c>
      <c r="D8" s="64"/>
      <c r="E8" s="68"/>
      <c r="F8" s="64"/>
      <c r="G8" s="64"/>
      <c r="H8" s="64"/>
      <c r="I8" s="64"/>
      <c r="J8" s="64"/>
      <c r="K8" s="66"/>
    </row>
    <row r="9" spans="2:11" ht="18">
      <c r="B9" s="69"/>
      <c r="C9" s="69" t="s">
        <v>1779</v>
      </c>
      <c r="D9" s="64"/>
      <c r="E9" s="68"/>
      <c r="F9" s="64"/>
      <c r="G9" s="64"/>
      <c r="H9" s="64"/>
      <c r="I9" s="64"/>
      <c r="J9" s="64"/>
      <c r="K9" s="66"/>
    </row>
    <row r="10" spans="2:11" ht="18">
      <c r="B10" s="69"/>
      <c r="C10" s="69" t="s">
        <v>1638</v>
      </c>
      <c r="D10" s="64"/>
      <c r="E10" s="68"/>
      <c r="F10" s="64"/>
      <c r="G10" s="64"/>
      <c r="H10" s="64"/>
      <c r="I10" s="64"/>
      <c r="J10" s="64"/>
      <c r="K10" s="66"/>
    </row>
    <row r="11" spans="2:11" ht="18">
      <c r="B11" s="69"/>
      <c r="C11" s="69" t="s">
        <v>1775</v>
      </c>
      <c r="D11" s="64"/>
      <c r="E11" s="68"/>
      <c r="F11" s="64"/>
      <c r="G11" s="64"/>
      <c r="H11" s="64"/>
      <c r="I11" s="64"/>
      <c r="J11" s="64"/>
      <c r="K11" s="66"/>
    </row>
    <row r="12" spans="2:11" ht="18">
      <c r="B12" s="69"/>
      <c r="C12" s="69" t="s">
        <v>71</v>
      </c>
      <c r="D12" s="64"/>
      <c r="E12" s="68"/>
      <c r="F12" s="64"/>
      <c r="G12" s="64"/>
      <c r="H12" s="64"/>
      <c r="I12" s="64"/>
      <c r="J12" s="64"/>
      <c r="K12" s="66"/>
    </row>
    <row r="13" spans="2:11" ht="18">
      <c r="B13" s="69"/>
      <c r="C13" s="69"/>
      <c r="D13" s="64"/>
      <c r="E13" s="68"/>
      <c r="F13" s="64"/>
      <c r="G13" s="64"/>
      <c r="H13" s="64"/>
      <c r="I13" s="64"/>
      <c r="J13" s="64"/>
      <c r="K13" s="66"/>
    </row>
    <row r="14" spans="2:11" ht="18">
      <c r="B14" s="69"/>
      <c r="C14" s="69"/>
      <c r="D14" s="64"/>
      <c r="E14" s="68"/>
      <c r="F14" s="64"/>
      <c r="G14" s="64"/>
      <c r="H14" s="64"/>
      <c r="I14" s="64"/>
      <c r="J14" s="64"/>
      <c r="K14" s="66"/>
    </row>
    <row r="15" spans="2:11" ht="36">
      <c r="B15" s="72" t="s">
        <v>1967</v>
      </c>
      <c r="C15" s="72" t="s">
        <v>1968</v>
      </c>
      <c r="D15" s="72" t="s">
        <v>1969</v>
      </c>
      <c r="E15" s="72" t="s">
        <v>1632</v>
      </c>
      <c r="F15" s="72" t="s">
        <v>1633</v>
      </c>
      <c r="G15" s="72" t="s">
        <v>1634</v>
      </c>
      <c r="H15" s="72" t="s">
        <v>1635</v>
      </c>
      <c r="I15" s="72" t="s">
        <v>1636</v>
      </c>
      <c r="J15" s="73" t="s">
        <v>508</v>
      </c>
      <c r="K15" s="66"/>
    </row>
    <row r="16" spans="2:11" ht="18">
      <c r="B16" s="69"/>
      <c r="C16" s="69"/>
      <c r="D16" s="64"/>
      <c r="E16" s="68"/>
      <c r="F16" s="64"/>
      <c r="G16" s="64"/>
      <c r="H16" s="64"/>
      <c r="I16" s="64"/>
      <c r="J16" s="64"/>
      <c r="K16" s="66"/>
    </row>
    <row r="17" spans="2:11" ht="18">
      <c r="B17" s="77">
        <v>14</v>
      </c>
      <c r="C17" s="568" t="s">
        <v>827</v>
      </c>
      <c r="D17" s="77">
        <v>170</v>
      </c>
      <c r="E17" s="569"/>
      <c r="F17" s="569"/>
      <c r="G17" s="569"/>
      <c r="H17" s="569"/>
      <c r="I17" s="569"/>
      <c r="J17" s="438">
        <f>SUM(E17:I17)</f>
        <v>0</v>
      </c>
      <c r="K17" s="66"/>
    </row>
    <row r="18" spans="2:11" ht="18">
      <c r="B18" s="77"/>
      <c r="C18" s="69"/>
      <c r="D18" s="64"/>
      <c r="E18" s="68"/>
      <c r="F18" s="64"/>
      <c r="G18" s="64"/>
      <c r="H18" s="68"/>
      <c r="I18" s="64"/>
      <c r="J18" s="64"/>
      <c r="K18" s="66"/>
    </row>
    <row r="19" spans="2:11" ht="18">
      <c r="B19" s="77">
        <v>16</v>
      </c>
      <c r="C19" s="568" t="s">
        <v>828</v>
      </c>
      <c r="D19" s="64"/>
      <c r="E19" s="569"/>
      <c r="F19" s="569"/>
      <c r="G19" s="569"/>
      <c r="H19" s="569"/>
      <c r="I19" s="569"/>
      <c r="J19" s="438">
        <f>SUM(E19:I19)</f>
        <v>0</v>
      </c>
      <c r="K19" s="66"/>
    </row>
    <row r="20" spans="2:11" ht="18">
      <c r="B20" s="77"/>
      <c r="C20" s="562" t="s">
        <v>833</v>
      </c>
      <c r="D20" s="64"/>
      <c r="E20" s="68"/>
      <c r="F20" s="68"/>
      <c r="G20" s="68"/>
      <c r="H20" s="68"/>
      <c r="I20" s="68"/>
      <c r="J20" s="68"/>
      <c r="K20" s="66"/>
    </row>
    <row r="21" spans="1:256" ht="18">
      <c r="A21" s="62"/>
      <c r="B21" s="77"/>
      <c r="C21" s="5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</row>
    <row r="22" spans="2:11" ht="18">
      <c r="B22" s="77">
        <v>18</v>
      </c>
      <c r="C22" s="568" t="s">
        <v>829</v>
      </c>
      <c r="D22" s="92" t="s">
        <v>831</v>
      </c>
      <c r="E22" s="569"/>
      <c r="F22" s="569"/>
      <c r="G22" s="569"/>
      <c r="H22" s="569"/>
      <c r="I22" s="569"/>
      <c r="J22" s="438">
        <f>SUM(E22:I22)</f>
        <v>0</v>
      </c>
      <c r="K22" s="66"/>
    </row>
    <row r="23" spans="2:11" ht="18">
      <c r="B23" s="77"/>
      <c r="C23" s="69"/>
      <c r="D23" s="583" t="s">
        <v>834</v>
      </c>
      <c r="E23" s="62"/>
      <c r="F23" s="64"/>
      <c r="G23" s="64"/>
      <c r="H23" s="64"/>
      <c r="I23" s="64"/>
      <c r="J23" s="64"/>
      <c r="K23" s="66"/>
    </row>
    <row r="24" spans="2:11" ht="18">
      <c r="B24" s="77">
        <v>22</v>
      </c>
      <c r="C24" s="568" t="s">
        <v>830</v>
      </c>
      <c r="D24" s="77">
        <v>437</v>
      </c>
      <c r="E24" s="569"/>
      <c r="F24" s="569"/>
      <c r="G24" s="569"/>
      <c r="H24" s="569"/>
      <c r="I24" s="569"/>
      <c r="J24" s="438">
        <f>SUM(E24:I24)</f>
        <v>0</v>
      </c>
      <c r="K24" s="66"/>
    </row>
    <row r="25" spans="2:11" ht="18">
      <c r="B25" s="69"/>
      <c r="C25" s="69"/>
      <c r="D25" s="64"/>
      <c r="E25" s="68"/>
      <c r="F25" s="64"/>
      <c r="G25" s="64"/>
      <c r="H25" s="64"/>
      <c r="I25" s="64"/>
      <c r="J25" s="64"/>
      <c r="K25" s="66"/>
    </row>
    <row r="26" spans="2:11" ht="18.75" thickBot="1">
      <c r="B26" s="517"/>
      <c r="C26" s="518"/>
      <c r="D26" s="517"/>
      <c r="E26" s="519"/>
      <c r="F26" s="520"/>
      <c r="G26" s="520"/>
      <c r="H26" s="521"/>
      <c r="I26" s="520"/>
      <c r="J26" s="522"/>
      <c r="K26" s="523"/>
    </row>
    <row r="27" spans="2:11" ht="18">
      <c r="B27" s="77"/>
      <c r="C27" s="62" t="s">
        <v>1637</v>
      </c>
      <c r="D27" s="62"/>
      <c r="E27" s="562" t="s">
        <v>1640</v>
      </c>
      <c r="F27" s="64"/>
      <c r="G27" s="64"/>
      <c r="H27" s="65"/>
      <c r="I27" s="64"/>
      <c r="J27" s="65" t="s">
        <v>1584</v>
      </c>
      <c r="K27" s="66"/>
    </row>
    <row r="28" spans="2:11" ht="18">
      <c r="B28" s="77"/>
      <c r="C28" s="80"/>
      <c r="D28" s="77"/>
      <c r="E28" s="82"/>
      <c r="F28" s="79"/>
      <c r="G28" s="79"/>
      <c r="H28" s="84"/>
      <c r="I28" s="79"/>
      <c r="J28" s="83"/>
      <c r="K28" s="66"/>
    </row>
    <row r="29" spans="2:11" ht="18">
      <c r="B29" s="77"/>
      <c r="C29" s="72" t="s">
        <v>217</v>
      </c>
      <c r="D29" s="72" t="s">
        <v>1969</v>
      </c>
      <c r="E29" s="73" t="s">
        <v>218</v>
      </c>
      <c r="F29" s="570"/>
      <c r="G29" s="582" t="s">
        <v>404</v>
      </c>
      <c r="H29" s="570"/>
      <c r="I29" s="570"/>
      <c r="J29" s="570"/>
      <c r="K29" s="66"/>
    </row>
    <row r="30" spans="2:11" ht="18">
      <c r="B30" s="77"/>
      <c r="C30" s="514" t="s">
        <v>216</v>
      </c>
      <c r="D30" s="515" t="s">
        <v>1639</v>
      </c>
      <c r="E30" s="526">
        <f>J17</f>
        <v>0</v>
      </c>
      <c r="F30" s="570"/>
      <c r="G30" s="582" t="s">
        <v>405</v>
      </c>
      <c r="H30" s="570"/>
      <c r="I30" s="570"/>
      <c r="J30" s="570"/>
      <c r="K30" s="66"/>
    </row>
    <row r="31" spans="2:11" ht="18">
      <c r="B31" s="77"/>
      <c r="C31" s="514" t="s">
        <v>1555</v>
      </c>
      <c r="D31" s="515" t="s">
        <v>521</v>
      </c>
      <c r="E31" s="526">
        <f>J24</f>
        <v>0</v>
      </c>
      <c r="F31" s="570"/>
      <c r="G31" s="79"/>
      <c r="H31" s="570"/>
      <c r="I31" s="570"/>
      <c r="J31" s="570"/>
      <c r="K31" s="66"/>
    </row>
    <row r="32" spans="2:11" ht="18">
      <c r="B32" s="77"/>
      <c r="C32" s="514" t="s">
        <v>834</v>
      </c>
      <c r="D32" s="515" t="s">
        <v>835</v>
      </c>
      <c r="E32" s="526">
        <f>IF(E19=0,E17,E19)+IF(F19=0,F17,F19)+IF(G19=0,G17,G19)+IF(H19=0,H17,H19)+IF(I19=0,I17,I19)</f>
        <v>0</v>
      </c>
      <c r="F32" s="570"/>
      <c r="G32" s="571" t="s">
        <v>406</v>
      </c>
      <c r="H32" s="570"/>
      <c r="I32" s="570"/>
      <c r="J32" s="570"/>
      <c r="K32" s="66"/>
    </row>
    <row r="33" spans="2:11" ht="18">
      <c r="B33" s="77"/>
      <c r="C33" s="514" t="s">
        <v>834</v>
      </c>
      <c r="D33" s="515" t="s">
        <v>287</v>
      </c>
      <c r="E33" s="526">
        <f>J22</f>
        <v>0</v>
      </c>
      <c r="F33" s="570"/>
      <c r="G33" s="571" t="s">
        <v>407</v>
      </c>
      <c r="H33" s="571"/>
      <c r="I33" s="571"/>
      <c r="J33" s="571"/>
      <c r="K33" s="66"/>
    </row>
    <row r="34" spans="2:11" ht="18">
      <c r="B34" s="77"/>
      <c r="C34" s="514" t="s">
        <v>657</v>
      </c>
      <c r="D34" s="515" t="s">
        <v>431</v>
      </c>
      <c r="E34" s="526">
        <f>J22</f>
        <v>0</v>
      </c>
      <c r="F34" s="570"/>
      <c r="G34" s="571"/>
      <c r="H34" s="571"/>
      <c r="I34" s="571"/>
      <c r="J34" s="571"/>
      <c r="K34" s="66"/>
    </row>
    <row r="35" spans="2:11" ht="18">
      <c r="B35" s="77"/>
      <c r="C35" s="549"/>
      <c r="D35" s="550"/>
      <c r="E35" s="567"/>
      <c r="F35" s="571"/>
      <c r="G35" s="571" t="s">
        <v>408</v>
      </c>
      <c r="H35" s="571"/>
      <c r="I35" s="571"/>
      <c r="J35" s="571"/>
      <c r="K35" s="66"/>
    </row>
    <row r="36" spans="2:11" ht="18">
      <c r="B36" s="77"/>
      <c r="C36" s="551"/>
      <c r="D36" s="77"/>
      <c r="E36" s="571"/>
      <c r="F36" s="571"/>
      <c r="G36" s="571" t="s">
        <v>403</v>
      </c>
      <c r="H36" s="571"/>
      <c r="I36" s="571"/>
      <c r="J36" s="571"/>
      <c r="K36" s="66"/>
    </row>
    <row r="37" spans="2:11" ht="18">
      <c r="B37" s="77"/>
      <c r="C37" s="80"/>
      <c r="D37" s="77"/>
      <c r="E37" s="82"/>
      <c r="F37" s="79"/>
      <c r="G37" s="79"/>
      <c r="H37" s="84"/>
      <c r="I37" s="79"/>
      <c r="J37" s="83"/>
      <c r="K37" s="66"/>
    </row>
    <row r="38" spans="2:11" ht="18">
      <c r="B38" s="77"/>
      <c r="C38" s="80"/>
      <c r="D38" s="77"/>
      <c r="E38" s="82"/>
      <c r="F38" s="79"/>
      <c r="G38" s="79"/>
      <c r="H38" s="84"/>
      <c r="I38" s="79"/>
      <c r="J38" s="83"/>
      <c r="K38" s="66"/>
    </row>
    <row r="39" spans="2:4" ht="15">
      <c r="B39" s="89"/>
      <c r="D39" s="90"/>
    </row>
    <row r="40" spans="2:4" ht="15">
      <c r="B40" s="89"/>
      <c r="D40" s="90"/>
    </row>
    <row r="41" spans="2:4" ht="15">
      <c r="B41" s="89"/>
      <c r="D41" s="90"/>
    </row>
    <row r="42" spans="2:4" ht="15">
      <c r="B42" s="89"/>
      <c r="D42" s="90"/>
    </row>
    <row r="43" spans="2:4" ht="15">
      <c r="B43" s="89"/>
      <c r="D43" s="90"/>
    </row>
    <row r="44" spans="2:4" ht="15">
      <c r="B44" s="89"/>
      <c r="D44" s="90"/>
    </row>
    <row r="45" spans="2:4" ht="15">
      <c r="B45" s="89"/>
      <c r="D45" s="90"/>
    </row>
    <row r="46" spans="2:4" ht="15">
      <c r="B46" s="89"/>
      <c r="D46" s="90"/>
    </row>
    <row r="47" spans="2:4" ht="15">
      <c r="B47" s="89"/>
      <c r="D47" s="90"/>
    </row>
    <row r="48" spans="2:4" ht="15">
      <c r="B48" s="89"/>
      <c r="D48" s="90"/>
    </row>
    <row r="49" spans="2:4" ht="15">
      <c r="B49" s="89"/>
      <c r="D49" s="90"/>
    </row>
    <row r="50" spans="2:4" ht="15">
      <c r="B50" s="89"/>
      <c r="D50" s="90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1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1111111">
    <pageSetUpPr fitToPage="1"/>
  </sheetPr>
  <dimension ref="B1:K62"/>
  <sheetViews>
    <sheetView showGridLines="0" showRowColHeaders="0" zoomScale="65" zoomScaleNormal="65" workbookViewId="0" topLeftCell="A1">
      <selection activeCell="B1" sqref="B1"/>
    </sheetView>
  </sheetViews>
  <sheetFormatPr defaultColWidth="8.88671875" defaultRowHeight="15"/>
  <cols>
    <col min="1" max="1" width="1.77734375" style="67" customWidth="1"/>
    <col min="2" max="2" width="8.3359375" style="67" customWidth="1"/>
    <col min="3" max="3" width="35.77734375" style="67" customWidth="1"/>
    <col min="4" max="4" width="7.99609375" style="67" customWidth="1"/>
    <col min="5" max="10" width="12.21484375" style="67" customWidth="1"/>
    <col min="11" max="11" width="1.88671875" style="67" customWidth="1"/>
    <col min="12" max="16384" width="8.88671875" style="67" customWidth="1"/>
  </cols>
  <sheetData>
    <row r="1" spans="2:11" ht="18">
      <c r="B1" s="64"/>
      <c r="C1" s="62" t="s">
        <v>1642</v>
      </c>
      <c r="D1" s="562" t="s">
        <v>1649</v>
      </c>
      <c r="E1" s="562"/>
      <c r="F1" s="64"/>
      <c r="G1" s="64"/>
      <c r="H1" s="65"/>
      <c r="I1" s="64"/>
      <c r="J1" s="65"/>
      <c r="K1" s="65" t="s">
        <v>1584</v>
      </c>
    </row>
    <row r="2" spans="2:11" ht="18">
      <c r="B2" s="64"/>
      <c r="C2" s="64"/>
      <c r="D2" s="562" t="s">
        <v>1644</v>
      </c>
      <c r="E2" s="66"/>
      <c r="F2" s="64"/>
      <c r="G2" s="64"/>
      <c r="H2" s="64"/>
      <c r="I2" s="64"/>
      <c r="J2" s="64"/>
      <c r="K2" s="66"/>
    </row>
    <row r="3" spans="2:11" ht="18">
      <c r="B3" s="69"/>
      <c r="C3" s="69" t="s">
        <v>72</v>
      </c>
      <c r="D3" s="64"/>
      <c r="E3" s="68"/>
      <c r="F3" s="64"/>
      <c r="G3" s="64"/>
      <c r="H3" s="64"/>
      <c r="I3" s="64"/>
      <c r="J3" s="64"/>
      <c r="K3" s="66"/>
    </row>
    <row r="4" spans="2:11" ht="18">
      <c r="B4" s="69"/>
      <c r="C4" s="69" t="s">
        <v>73</v>
      </c>
      <c r="D4" s="64"/>
      <c r="E4" s="68"/>
      <c r="F4" s="64"/>
      <c r="G4" s="64"/>
      <c r="H4" s="64"/>
      <c r="I4" s="64"/>
      <c r="J4" s="64"/>
      <c r="K4" s="66"/>
    </row>
    <row r="5" spans="2:11" ht="18">
      <c r="B5" s="69"/>
      <c r="C5" s="69" t="s">
        <v>74</v>
      </c>
      <c r="D5" s="64"/>
      <c r="E5" s="68"/>
      <c r="F5" s="64"/>
      <c r="G5" s="64"/>
      <c r="H5" s="64"/>
      <c r="I5" s="64"/>
      <c r="J5" s="64"/>
      <c r="K5" s="66"/>
    </row>
    <row r="6" spans="2:11" ht="18">
      <c r="B6" s="69"/>
      <c r="C6" s="69" t="s">
        <v>309</v>
      </c>
      <c r="D6" s="64"/>
      <c r="E6" s="68"/>
      <c r="F6" s="64"/>
      <c r="G6" s="64"/>
      <c r="H6" s="64"/>
      <c r="I6" s="64"/>
      <c r="J6" s="64"/>
      <c r="K6" s="66"/>
    </row>
    <row r="7" spans="2:11" ht="18">
      <c r="B7" s="69"/>
      <c r="C7" s="69" t="s">
        <v>320</v>
      </c>
      <c r="D7" s="64"/>
      <c r="E7" s="68"/>
      <c r="F7" s="64"/>
      <c r="G7" s="64"/>
      <c r="H7" s="64"/>
      <c r="I7" s="64"/>
      <c r="J7" s="64"/>
      <c r="K7" s="66"/>
    </row>
    <row r="8" spans="2:11" ht="18">
      <c r="B8" s="69"/>
      <c r="C8" s="69" t="s">
        <v>310</v>
      </c>
      <c r="D8" s="64"/>
      <c r="E8" s="68"/>
      <c r="F8" s="64"/>
      <c r="G8" s="64"/>
      <c r="H8" s="64"/>
      <c r="I8" s="64"/>
      <c r="J8" s="64"/>
      <c r="K8" s="66"/>
    </row>
    <row r="9" spans="2:11" ht="18">
      <c r="B9" s="69"/>
      <c r="C9" s="69" t="s">
        <v>411</v>
      </c>
      <c r="D9" s="64"/>
      <c r="E9" s="68"/>
      <c r="F9" s="64"/>
      <c r="G9" s="64"/>
      <c r="H9" s="64"/>
      <c r="I9" s="64"/>
      <c r="J9" s="64"/>
      <c r="K9" s="66"/>
    </row>
    <row r="10" spans="2:11" ht="18">
      <c r="B10" s="69"/>
      <c r="C10" s="69" t="s">
        <v>412</v>
      </c>
      <c r="D10" s="64"/>
      <c r="E10" s="68"/>
      <c r="F10" s="64"/>
      <c r="G10" s="64"/>
      <c r="H10" s="64"/>
      <c r="I10" s="64"/>
      <c r="J10" s="64"/>
      <c r="K10" s="66"/>
    </row>
    <row r="11" spans="2:11" ht="18">
      <c r="B11" s="69"/>
      <c r="C11" s="69" t="s">
        <v>1775</v>
      </c>
      <c r="D11" s="64"/>
      <c r="E11" s="68"/>
      <c r="F11" s="64"/>
      <c r="G11" s="64"/>
      <c r="H11" s="64"/>
      <c r="I11" s="64"/>
      <c r="J11" s="64"/>
      <c r="K11" s="66"/>
    </row>
    <row r="12" spans="2:11" ht="18">
      <c r="B12" s="69"/>
      <c r="C12" s="69" t="s">
        <v>71</v>
      </c>
      <c r="D12" s="64"/>
      <c r="E12" s="68"/>
      <c r="F12" s="64"/>
      <c r="G12" s="64"/>
      <c r="H12" s="64"/>
      <c r="I12" s="64"/>
      <c r="J12" s="64"/>
      <c r="K12" s="66"/>
    </row>
    <row r="13" spans="2:11" ht="18">
      <c r="B13" s="69"/>
      <c r="C13" s="69"/>
      <c r="D13" s="64"/>
      <c r="E13" s="68"/>
      <c r="F13" s="64"/>
      <c r="G13" s="64"/>
      <c r="H13" s="64"/>
      <c r="I13" s="64"/>
      <c r="J13" s="64"/>
      <c r="K13" s="66"/>
    </row>
    <row r="14" spans="2:11" ht="18">
      <c r="B14" s="69"/>
      <c r="C14" s="69"/>
      <c r="D14" s="64"/>
      <c r="E14" s="68"/>
      <c r="F14" s="64"/>
      <c r="G14" s="64"/>
      <c r="H14" s="64"/>
      <c r="I14" s="64"/>
      <c r="J14" s="64"/>
      <c r="K14" s="66"/>
    </row>
    <row r="15" spans="2:11" ht="36">
      <c r="B15" s="72" t="s">
        <v>1967</v>
      </c>
      <c r="C15" s="72" t="s">
        <v>1968</v>
      </c>
      <c r="D15" s="72" t="s">
        <v>1969</v>
      </c>
      <c r="E15" s="72" t="s">
        <v>311</v>
      </c>
      <c r="F15" s="72" t="s">
        <v>312</v>
      </c>
      <c r="G15" s="72" t="s">
        <v>313</v>
      </c>
      <c r="H15" s="72" t="s">
        <v>314</v>
      </c>
      <c r="I15" s="72" t="s">
        <v>409</v>
      </c>
      <c r="J15" s="73" t="s">
        <v>508</v>
      </c>
      <c r="K15" s="66"/>
    </row>
    <row r="16" spans="2:11" ht="18">
      <c r="B16" s="69"/>
      <c r="C16" s="69"/>
      <c r="D16" s="64"/>
      <c r="E16" s="68"/>
      <c r="F16" s="64"/>
      <c r="G16" s="64"/>
      <c r="H16" s="64"/>
      <c r="I16" s="64"/>
      <c r="J16" s="64"/>
      <c r="K16" s="66"/>
    </row>
    <row r="17" spans="2:11" ht="18">
      <c r="B17" s="69"/>
      <c r="C17" s="568" t="s">
        <v>958</v>
      </c>
      <c r="D17" s="64"/>
      <c r="E17" s="587"/>
      <c r="F17" s="587"/>
      <c r="G17" s="587"/>
      <c r="H17" s="587"/>
      <c r="I17" s="587"/>
      <c r="J17" s="64" t="s">
        <v>1213</v>
      </c>
      <c r="K17" s="66"/>
    </row>
    <row r="18" spans="2:11" ht="18">
      <c r="B18" s="69"/>
      <c r="C18" s="69"/>
      <c r="D18" s="64"/>
      <c r="E18" s="68"/>
      <c r="F18" s="64"/>
      <c r="G18" s="64"/>
      <c r="H18" s="64"/>
      <c r="I18" s="64"/>
      <c r="J18" s="64"/>
      <c r="K18" s="66"/>
    </row>
    <row r="19" spans="2:11" ht="18">
      <c r="B19" s="77" t="s">
        <v>94</v>
      </c>
      <c r="C19" s="568" t="s">
        <v>1423</v>
      </c>
      <c r="D19" s="77"/>
      <c r="E19" s="569"/>
      <c r="F19" s="569"/>
      <c r="G19" s="569"/>
      <c r="H19" s="569"/>
      <c r="I19" s="569"/>
      <c r="J19" s="438">
        <f>SUM(E19:I19)</f>
        <v>0</v>
      </c>
      <c r="K19" s="66"/>
    </row>
    <row r="20" spans="2:11" ht="18">
      <c r="B20" s="77"/>
      <c r="C20" s="69"/>
      <c r="D20" s="64"/>
      <c r="E20" s="68"/>
      <c r="F20" s="64"/>
      <c r="G20" s="64"/>
      <c r="H20" s="68"/>
      <c r="I20" s="64"/>
      <c r="J20" s="64"/>
      <c r="K20" s="66"/>
    </row>
    <row r="21" spans="2:11" ht="18">
      <c r="B21" s="77" t="s">
        <v>95</v>
      </c>
      <c r="C21" s="568" t="s">
        <v>1424</v>
      </c>
      <c r="D21" s="92">
        <v>120</v>
      </c>
      <c r="E21" s="569"/>
      <c r="F21" s="569"/>
      <c r="G21" s="569"/>
      <c r="H21" s="569"/>
      <c r="I21" s="569"/>
      <c r="J21" s="438">
        <f>SUM(E21:I21)</f>
        <v>0</v>
      </c>
      <c r="K21" s="66"/>
    </row>
    <row r="22" spans="2:11" ht="18">
      <c r="B22" s="77"/>
      <c r="C22" s="562"/>
      <c r="D22" s="62"/>
      <c r="E22" s="62"/>
      <c r="F22" s="62"/>
      <c r="G22" s="62"/>
      <c r="H22" s="62"/>
      <c r="I22" s="62"/>
      <c r="J22" s="62"/>
      <c r="K22" s="66"/>
    </row>
    <row r="23" spans="2:11" ht="18">
      <c r="B23" s="77" t="s">
        <v>96</v>
      </c>
      <c r="C23" s="568" t="s">
        <v>1425</v>
      </c>
      <c r="D23" s="92" t="s">
        <v>125</v>
      </c>
      <c r="E23" s="569"/>
      <c r="F23" s="569"/>
      <c r="G23" s="569"/>
      <c r="H23" s="569"/>
      <c r="I23" s="569"/>
      <c r="J23" s="438">
        <f>SUM(E23:I23)</f>
        <v>0</v>
      </c>
      <c r="K23" s="66"/>
    </row>
    <row r="24" spans="2:11" ht="18">
      <c r="B24" s="77"/>
      <c r="C24" s="69"/>
      <c r="D24" s="64"/>
      <c r="E24" s="62"/>
      <c r="F24" s="64"/>
      <c r="G24" s="64"/>
      <c r="H24" s="64"/>
      <c r="I24" s="64"/>
      <c r="J24" s="64"/>
      <c r="K24" s="66"/>
    </row>
    <row r="25" spans="2:11" ht="18">
      <c r="B25" s="77" t="s">
        <v>88</v>
      </c>
      <c r="C25" s="568" t="s">
        <v>1466</v>
      </c>
      <c r="D25" s="92" t="s">
        <v>131</v>
      </c>
      <c r="E25" s="569"/>
      <c r="F25" s="569"/>
      <c r="G25" s="569"/>
      <c r="H25" s="569"/>
      <c r="I25" s="569"/>
      <c r="J25" s="438">
        <f>SUM(E25:I25)</f>
        <v>0</v>
      </c>
      <c r="K25" s="66"/>
    </row>
    <row r="26" spans="2:11" ht="18">
      <c r="B26" s="77"/>
      <c r="C26" s="69"/>
      <c r="D26" s="583"/>
      <c r="E26" s="62"/>
      <c r="F26" s="64"/>
      <c r="G26" s="64"/>
      <c r="H26" s="64"/>
      <c r="I26" s="64"/>
      <c r="J26" s="64"/>
      <c r="K26" s="66"/>
    </row>
    <row r="27" spans="2:11" ht="18">
      <c r="B27" s="77" t="s">
        <v>89</v>
      </c>
      <c r="C27" s="568" t="s">
        <v>860</v>
      </c>
      <c r="D27" s="77" t="s">
        <v>219</v>
      </c>
      <c r="E27" s="569"/>
      <c r="F27" s="569"/>
      <c r="G27" s="569"/>
      <c r="H27" s="569"/>
      <c r="I27" s="569"/>
      <c r="J27" s="438">
        <f>SUM(E27:I27)</f>
        <v>0</v>
      </c>
      <c r="K27" s="66"/>
    </row>
    <row r="28" spans="2:11" ht="18">
      <c r="B28" s="69"/>
      <c r="C28" s="69"/>
      <c r="D28" s="64"/>
      <c r="E28" s="68"/>
      <c r="F28" s="64"/>
      <c r="G28" s="64"/>
      <c r="H28" s="64"/>
      <c r="I28" s="64"/>
      <c r="J28" s="64"/>
      <c r="K28" s="66"/>
    </row>
    <row r="29" spans="2:11" ht="18">
      <c r="B29" s="77" t="s">
        <v>93</v>
      </c>
      <c r="C29" s="568" t="s">
        <v>1464</v>
      </c>
      <c r="D29" s="77" t="s">
        <v>121</v>
      </c>
      <c r="E29" s="569"/>
      <c r="F29" s="569"/>
      <c r="G29" s="569"/>
      <c r="H29" s="569"/>
      <c r="I29" s="569"/>
      <c r="J29" s="438">
        <f>SUM(E29:I29)</f>
        <v>0</v>
      </c>
      <c r="K29" s="66"/>
    </row>
    <row r="30" spans="2:11" ht="18">
      <c r="B30" s="77"/>
      <c r="C30" s="568" t="s">
        <v>1465</v>
      </c>
      <c r="D30" s="64"/>
      <c r="E30" s="68"/>
      <c r="F30" s="64"/>
      <c r="G30" s="64"/>
      <c r="H30" s="68"/>
      <c r="I30" s="64"/>
      <c r="J30" s="64"/>
      <c r="K30" s="66"/>
    </row>
    <row r="31" spans="2:11" ht="18">
      <c r="B31" s="77" t="s">
        <v>522</v>
      </c>
      <c r="C31" s="568" t="s">
        <v>1467</v>
      </c>
      <c r="D31" s="92">
        <v>433</v>
      </c>
      <c r="E31" s="569"/>
      <c r="F31" s="569"/>
      <c r="G31" s="569"/>
      <c r="H31" s="569"/>
      <c r="I31" s="569"/>
      <c r="J31" s="438">
        <f>SUM(E31:I31)</f>
        <v>0</v>
      </c>
      <c r="K31" s="66"/>
    </row>
    <row r="32" spans="2:11" ht="18">
      <c r="B32" s="77"/>
      <c r="C32" s="562"/>
      <c r="D32" s="62"/>
      <c r="E32" s="62"/>
      <c r="F32" s="62"/>
      <c r="G32" s="62"/>
      <c r="H32" s="62"/>
      <c r="I32" s="62"/>
      <c r="J32" s="62"/>
      <c r="K32" s="66"/>
    </row>
    <row r="33" spans="2:11" ht="18">
      <c r="B33" s="77" t="s">
        <v>1802</v>
      </c>
      <c r="C33" s="568" t="s">
        <v>1468</v>
      </c>
      <c r="D33" s="92" t="s">
        <v>127</v>
      </c>
      <c r="E33" s="569"/>
      <c r="F33" s="569"/>
      <c r="G33" s="569"/>
      <c r="H33" s="569"/>
      <c r="I33" s="569"/>
      <c r="J33" s="438">
        <f>SUM(E33:I33)</f>
        <v>0</v>
      </c>
      <c r="K33" s="66"/>
    </row>
    <row r="34" spans="2:11" ht="18">
      <c r="B34" s="77"/>
      <c r="C34" s="69"/>
      <c r="D34" s="64"/>
      <c r="E34" s="62"/>
      <c r="F34" s="64"/>
      <c r="G34" s="64"/>
      <c r="H34" s="64"/>
      <c r="I34" s="64"/>
      <c r="J34" s="64"/>
      <c r="K34" s="66"/>
    </row>
    <row r="35" spans="2:11" ht="18">
      <c r="B35" s="77" t="s">
        <v>525</v>
      </c>
      <c r="C35" s="568" t="s">
        <v>1469</v>
      </c>
      <c r="D35" s="77" t="s">
        <v>126</v>
      </c>
      <c r="E35" s="569"/>
      <c r="F35" s="569"/>
      <c r="G35" s="569"/>
      <c r="H35" s="569"/>
      <c r="I35" s="569"/>
      <c r="J35" s="438">
        <f>SUM(E35:I35)</f>
        <v>0</v>
      </c>
      <c r="K35" s="66"/>
    </row>
    <row r="36" spans="2:11" ht="18">
      <c r="B36" s="69"/>
      <c r="C36" s="69"/>
      <c r="D36" s="583" t="s">
        <v>1451</v>
      </c>
      <c r="E36" s="68"/>
      <c r="F36" s="64"/>
      <c r="G36" s="64"/>
      <c r="H36" s="64"/>
      <c r="I36" s="64"/>
      <c r="J36" s="64"/>
      <c r="K36" s="66"/>
    </row>
    <row r="37" spans="2:11" ht="18.75" thickBot="1">
      <c r="B37" s="517"/>
      <c r="C37" s="518"/>
      <c r="D37" s="517"/>
      <c r="E37" s="519"/>
      <c r="F37" s="520"/>
      <c r="G37" s="520"/>
      <c r="H37" s="521"/>
      <c r="I37" s="520"/>
      <c r="J37" s="522"/>
      <c r="K37" s="523"/>
    </row>
    <row r="38" spans="2:11" ht="18">
      <c r="B38" s="77"/>
      <c r="C38" s="62" t="s">
        <v>410</v>
      </c>
      <c r="D38" s="62"/>
      <c r="E38" s="562" t="s">
        <v>1643</v>
      </c>
      <c r="F38" s="64"/>
      <c r="G38" s="64"/>
      <c r="H38" s="65"/>
      <c r="I38" s="64"/>
      <c r="J38" s="65" t="s">
        <v>1584</v>
      </c>
      <c r="K38" s="66"/>
    </row>
    <row r="39" spans="2:11" ht="18">
      <c r="B39" s="77"/>
      <c r="C39" s="80"/>
      <c r="D39" s="77"/>
      <c r="E39" s="562" t="s">
        <v>1644</v>
      </c>
      <c r="F39" s="79"/>
      <c r="G39" s="79"/>
      <c r="H39" s="84"/>
      <c r="I39" s="79"/>
      <c r="J39" s="83"/>
      <c r="K39" s="66"/>
    </row>
    <row r="40" spans="2:11" ht="18">
      <c r="B40" s="77"/>
      <c r="C40" s="80"/>
      <c r="D40" s="77"/>
      <c r="E40" s="562"/>
      <c r="F40" s="79"/>
      <c r="G40" s="79"/>
      <c r="H40" s="84"/>
      <c r="I40" s="79"/>
      <c r="J40" s="83"/>
      <c r="K40" s="66"/>
    </row>
    <row r="41" spans="2:11" ht="18">
      <c r="B41" s="77"/>
      <c r="C41" s="72" t="s">
        <v>217</v>
      </c>
      <c r="D41" s="72" t="s">
        <v>1969</v>
      </c>
      <c r="E41" s="72" t="s">
        <v>218</v>
      </c>
      <c r="F41" s="570"/>
      <c r="G41" s="582" t="s">
        <v>404</v>
      </c>
      <c r="H41" s="570"/>
      <c r="I41" s="570"/>
      <c r="J41" s="570"/>
      <c r="K41" s="66"/>
    </row>
    <row r="42" spans="2:11" ht="18">
      <c r="B42" s="77"/>
      <c r="C42" s="524" t="s">
        <v>216</v>
      </c>
      <c r="D42" s="525" t="s">
        <v>219</v>
      </c>
      <c r="E42" s="526">
        <f>J27</f>
        <v>0</v>
      </c>
      <c r="F42" s="571"/>
      <c r="G42" s="582" t="s">
        <v>405</v>
      </c>
      <c r="H42" s="571"/>
      <c r="I42" s="571"/>
      <c r="J42" s="571"/>
      <c r="K42" s="66"/>
    </row>
    <row r="43" spans="2:11" ht="18">
      <c r="B43" s="77"/>
      <c r="C43" s="514" t="s">
        <v>216</v>
      </c>
      <c r="D43" s="515" t="s">
        <v>1455</v>
      </c>
      <c r="E43" s="526">
        <f>J21</f>
        <v>0</v>
      </c>
      <c r="F43" s="571"/>
      <c r="G43" s="582"/>
      <c r="H43" s="571"/>
      <c r="I43" s="571"/>
      <c r="J43" s="571"/>
      <c r="K43" s="66"/>
    </row>
    <row r="44" spans="2:11" ht="18">
      <c r="B44" s="77"/>
      <c r="C44" s="514" t="s">
        <v>220</v>
      </c>
      <c r="D44" s="515" t="s">
        <v>121</v>
      </c>
      <c r="E44" s="526">
        <f>J29</f>
        <v>0</v>
      </c>
      <c r="F44" s="571"/>
      <c r="G44" s="571" t="s">
        <v>406</v>
      </c>
      <c r="H44" s="571"/>
      <c r="I44" s="571"/>
      <c r="J44" s="571"/>
      <c r="K44" s="66"/>
    </row>
    <row r="45" spans="2:11" ht="18">
      <c r="B45" s="77"/>
      <c r="C45" s="514" t="s">
        <v>1451</v>
      </c>
      <c r="D45" s="515" t="s">
        <v>125</v>
      </c>
      <c r="E45" s="526">
        <f>J23</f>
        <v>0</v>
      </c>
      <c r="F45" s="582"/>
      <c r="G45" s="571" t="s">
        <v>407</v>
      </c>
      <c r="H45" s="582"/>
      <c r="I45" s="582"/>
      <c r="J45" s="571"/>
      <c r="K45" s="66"/>
    </row>
    <row r="46" spans="2:11" ht="18">
      <c r="B46" s="77"/>
      <c r="C46" s="514" t="s">
        <v>1451</v>
      </c>
      <c r="D46" s="515" t="s">
        <v>126</v>
      </c>
      <c r="E46" s="526">
        <f>J35</f>
        <v>0</v>
      </c>
      <c r="F46" s="582"/>
      <c r="G46" s="571"/>
      <c r="H46" s="582"/>
      <c r="I46" s="582"/>
      <c r="J46" s="571"/>
      <c r="K46" s="66"/>
    </row>
    <row r="47" spans="2:11" ht="18">
      <c r="B47" s="77"/>
      <c r="C47" s="514" t="s">
        <v>1451</v>
      </c>
      <c r="D47" s="515" t="s">
        <v>127</v>
      </c>
      <c r="E47" s="526">
        <f>J31+J33</f>
        <v>0</v>
      </c>
      <c r="F47" s="582"/>
      <c r="G47" s="571" t="s">
        <v>408</v>
      </c>
      <c r="H47" s="582"/>
      <c r="I47" s="582"/>
      <c r="J47" s="571"/>
      <c r="K47" s="66"/>
    </row>
    <row r="48" spans="2:11" ht="18">
      <c r="B48" s="77"/>
      <c r="C48" s="514" t="s">
        <v>124</v>
      </c>
      <c r="D48" s="515" t="s">
        <v>131</v>
      </c>
      <c r="E48" s="526">
        <f>J25</f>
        <v>0</v>
      </c>
      <c r="F48" s="582"/>
      <c r="G48" s="571" t="s">
        <v>403</v>
      </c>
      <c r="H48" s="571"/>
      <c r="I48" s="571"/>
      <c r="J48" s="571"/>
      <c r="K48" s="66"/>
    </row>
    <row r="49" spans="2:11" ht="18">
      <c r="B49" s="77"/>
      <c r="C49" s="80"/>
      <c r="D49" s="77"/>
      <c r="E49" s="82"/>
      <c r="F49" s="79"/>
      <c r="G49" s="79"/>
      <c r="H49" s="84"/>
      <c r="I49" s="79"/>
      <c r="J49" s="83"/>
      <c r="K49" s="66"/>
    </row>
    <row r="50" spans="2:11" ht="18">
      <c r="B50" s="77"/>
      <c r="C50" s="80"/>
      <c r="D50" s="77"/>
      <c r="E50" s="82"/>
      <c r="F50" s="79"/>
      <c r="G50" s="79"/>
      <c r="H50" s="84"/>
      <c r="I50" s="79"/>
      <c r="J50" s="83"/>
      <c r="K50" s="66"/>
    </row>
    <row r="51" spans="2:4" ht="15">
      <c r="B51" s="89"/>
      <c r="D51" s="90"/>
    </row>
    <row r="52" spans="2:4" ht="15">
      <c r="B52" s="89"/>
      <c r="D52" s="90"/>
    </row>
    <row r="53" spans="2:4" ht="15">
      <c r="B53" s="89"/>
      <c r="D53" s="90"/>
    </row>
    <row r="54" spans="2:4" ht="15">
      <c r="B54" s="89"/>
      <c r="D54" s="90"/>
    </row>
    <row r="55" spans="2:4" ht="15">
      <c r="B55" s="89"/>
      <c r="D55" s="90"/>
    </row>
    <row r="56" spans="2:4" ht="15">
      <c r="B56" s="89"/>
      <c r="D56" s="90"/>
    </row>
    <row r="57" spans="2:4" ht="15">
      <c r="B57" s="89"/>
      <c r="D57" s="90"/>
    </row>
    <row r="58" spans="2:4" ht="15">
      <c r="B58" s="89"/>
      <c r="D58" s="90"/>
    </row>
    <row r="59" spans="2:4" ht="15">
      <c r="B59" s="89"/>
      <c r="D59" s="90"/>
    </row>
    <row r="60" spans="2:4" ht="15">
      <c r="B60" s="89"/>
      <c r="D60" s="90"/>
    </row>
    <row r="61" spans="2:4" ht="15">
      <c r="B61" s="89"/>
      <c r="D61" s="90"/>
    </row>
    <row r="62" spans="2:4" ht="15">
      <c r="B62" s="89"/>
      <c r="D62" s="90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6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0" transitionEvaluation="1"/>
  <dimension ref="A1:H65"/>
  <sheetViews>
    <sheetView showGridLines="0" showRowColHeaders="0" zoomScale="70" zoomScaleNormal="70" workbookViewId="0" topLeftCell="A1">
      <selection activeCell="G11" sqref="G11"/>
    </sheetView>
  </sheetViews>
  <sheetFormatPr defaultColWidth="9.77734375" defaultRowHeight="15"/>
  <cols>
    <col min="1" max="1" width="62.6640625" style="0" customWidth="1"/>
    <col min="2" max="2" width="4.77734375" style="0" customWidth="1"/>
    <col min="3" max="3" width="11.77734375" style="0" customWidth="1"/>
    <col min="4" max="4" width="4.77734375" style="0" customWidth="1"/>
    <col min="5" max="5" width="11.77734375" style="0" customWidth="1"/>
    <col min="6" max="6" width="4.77734375" style="0" customWidth="1"/>
    <col min="7" max="7" width="3.77734375" style="0" customWidth="1"/>
    <col min="8" max="8" width="2.21484375" style="0" customWidth="1"/>
  </cols>
  <sheetData>
    <row r="1" spans="1:8" ht="20.25">
      <c r="A1" s="927" t="s">
        <v>781</v>
      </c>
      <c r="B1" s="595"/>
      <c r="C1" s="121"/>
      <c r="D1" s="121"/>
      <c r="E1" s="339"/>
      <c r="F1" s="121"/>
      <c r="G1" s="339"/>
      <c r="H1" s="125"/>
    </row>
    <row r="2" spans="1:8" ht="20.25">
      <c r="A2" s="364"/>
      <c r="B2" s="595"/>
      <c r="C2" s="121"/>
      <c r="D2" s="121"/>
      <c r="E2" s="339"/>
      <c r="F2" s="121"/>
      <c r="G2" s="339"/>
      <c r="H2" s="125"/>
    </row>
    <row r="3" spans="1:8" ht="20.25">
      <c r="A3" s="364"/>
      <c r="B3" s="595"/>
      <c r="C3" s="121"/>
      <c r="D3" s="121"/>
      <c r="E3" s="339"/>
      <c r="F3" s="121"/>
      <c r="G3" s="339"/>
      <c r="H3" s="125"/>
    </row>
    <row r="4" spans="1:8" ht="20.25">
      <c r="A4" s="928" t="s">
        <v>782</v>
      </c>
      <c r="B4" s="595"/>
      <c r="C4" s="121"/>
      <c r="D4" s="121"/>
      <c r="E4" s="339"/>
      <c r="F4" s="121"/>
      <c r="G4" s="339"/>
      <c r="H4" s="125"/>
    </row>
    <row r="5" spans="1:8" ht="20.25">
      <c r="A5" s="928" t="s">
        <v>783</v>
      </c>
      <c r="B5" s="595"/>
      <c r="C5" s="121"/>
      <c r="D5" s="121"/>
      <c r="E5" s="339"/>
      <c r="F5" s="121"/>
      <c r="G5" s="339"/>
      <c r="H5" s="125"/>
    </row>
    <row r="6" spans="1:8" ht="20.25">
      <c r="A6" s="364"/>
      <c r="B6" s="595"/>
      <c r="C6" s="121"/>
      <c r="D6" s="121"/>
      <c r="E6" s="339"/>
      <c r="F6" s="121"/>
      <c r="G6" s="339"/>
      <c r="H6" s="125"/>
    </row>
    <row r="7" spans="1:8" ht="20.25">
      <c r="A7" s="129" t="s">
        <v>784</v>
      </c>
      <c r="B7" s="595"/>
      <c r="C7" s="121"/>
      <c r="D7" s="121"/>
      <c r="E7" s="339"/>
      <c r="F7" s="121"/>
      <c r="G7" s="339"/>
      <c r="H7" s="125"/>
    </row>
    <row r="8" spans="1:8" ht="18">
      <c r="A8" s="928" t="s">
        <v>785</v>
      </c>
      <c r="B8" s="929"/>
      <c r="C8" s="125"/>
      <c r="D8" s="125"/>
      <c r="E8" s="125"/>
      <c r="F8" s="125"/>
      <c r="G8" s="125"/>
      <c r="H8" s="125"/>
    </row>
    <row r="9" spans="1:8" ht="18">
      <c r="A9" s="928" t="s">
        <v>786</v>
      </c>
      <c r="B9" s="929"/>
      <c r="C9" s="125"/>
      <c r="D9" s="125"/>
      <c r="E9" s="125"/>
      <c r="F9" s="125"/>
      <c r="G9" s="125"/>
      <c r="H9" s="125"/>
    </row>
    <row r="10" spans="1:8" ht="18">
      <c r="A10" s="928" t="s">
        <v>787</v>
      </c>
      <c r="B10" s="929"/>
      <c r="C10" s="125"/>
      <c r="D10" s="125"/>
      <c r="E10" s="125"/>
      <c r="F10" s="125"/>
      <c r="G10" s="125"/>
      <c r="H10" s="125"/>
    </row>
    <row r="11" spans="1:8" ht="18">
      <c r="A11" s="176" t="s">
        <v>788</v>
      </c>
      <c r="B11" s="125"/>
      <c r="C11" s="125"/>
      <c r="D11" s="125"/>
      <c r="E11" s="125"/>
      <c r="F11" s="125"/>
      <c r="G11" s="125"/>
      <c r="H11" s="125"/>
    </row>
    <row r="12" spans="1:8" ht="18">
      <c r="A12" s="176"/>
      <c r="B12" s="125"/>
      <c r="C12" s="125"/>
      <c r="D12" s="125"/>
      <c r="E12" s="125"/>
      <c r="F12" s="125"/>
      <c r="G12" s="125"/>
      <c r="H12" s="125"/>
    </row>
    <row r="13" spans="1:8" ht="20.25">
      <c r="A13" s="129" t="s">
        <v>789</v>
      </c>
      <c r="B13" s="125"/>
      <c r="C13" s="125"/>
      <c r="D13" s="125"/>
      <c r="E13" s="125"/>
      <c r="F13" s="125"/>
      <c r="G13" s="125"/>
      <c r="H13" s="125"/>
    </row>
    <row r="14" spans="1:8" ht="18">
      <c r="A14" s="176" t="s">
        <v>1492</v>
      </c>
      <c r="B14" s="125"/>
      <c r="C14" s="125"/>
      <c r="D14" s="125"/>
      <c r="E14" s="125"/>
      <c r="F14" s="125"/>
      <c r="G14" s="125"/>
      <c r="H14" s="125"/>
    </row>
    <row r="15" spans="1:8" ht="18">
      <c r="A15" s="176"/>
      <c r="B15" s="125"/>
      <c r="C15" s="125"/>
      <c r="D15" s="125"/>
      <c r="E15" s="125"/>
      <c r="F15" s="125"/>
      <c r="G15" s="125"/>
      <c r="H15" s="125"/>
    </row>
    <row r="16" spans="1:8" ht="20.25">
      <c r="A16" s="129" t="s">
        <v>790</v>
      </c>
      <c r="B16" s="125"/>
      <c r="C16" s="125"/>
      <c r="D16" s="125"/>
      <c r="E16" s="125"/>
      <c r="F16" s="125"/>
      <c r="G16" s="125"/>
      <c r="H16" s="125"/>
    </row>
    <row r="17" spans="1:8" ht="18">
      <c r="A17" s="176"/>
      <c r="B17" s="125"/>
      <c r="C17" s="125"/>
      <c r="D17" s="125"/>
      <c r="E17" s="125"/>
      <c r="F17" s="125"/>
      <c r="G17" s="125"/>
      <c r="H17" s="125"/>
    </row>
    <row r="18" spans="1:8" ht="18">
      <c r="A18" s="137" t="s">
        <v>1493</v>
      </c>
      <c r="B18" s="125"/>
      <c r="C18" s="125"/>
      <c r="D18" s="125"/>
      <c r="E18" s="125"/>
      <c r="F18" s="125"/>
      <c r="G18" s="125"/>
      <c r="H18" s="125"/>
    </row>
    <row r="19" spans="1:8" ht="18">
      <c r="A19" s="137" t="s">
        <v>1494</v>
      </c>
      <c r="B19" s="125"/>
      <c r="C19" s="125"/>
      <c r="D19" s="125"/>
      <c r="E19" s="125"/>
      <c r="F19" s="125"/>
      <c r="G19" s="125"/>
      <c r="H19" s="125"/>
    </row>
    <row r="20" spans="1:8" ht="18">
      <c r="A20" s="176" t="s">
        <v>1476</v>
      </c>
      <c r="B20" s="125"/>
      <c r="C20" s="125"/>
      <c r="D20" s="125"/>
      <c r="E20" s="125"/>
      <c r="F20" s="125"/>
      <c r="G20" s="125"/>
      <c r="H20" s="125"/>
    </row>
    <row r="21" spans="1:8" ht="18">
      <c r="A21" s="176" t="s">
        <v>1477</v>
      </c>
      <c r="B21" s="125"/>
      <c r="C21" s="125"/>
      <c r="D21" s="125"/>
      <c r="E21" s="125"/>
      <c r="F21" s="125"/>
      <c r="G21" s="125"/>
      <c r="H21" s="125"/>
    </row>
    <row r="22" spans="1:8" ht="18">
      <c r="A22" s="176" t="s">
        <v>1478</v>
      </c>
      <c r="B22" s="125"/>
      <c r="C22" s="125"/>
      <c r="D22" s="125"/>
      <c r="E22" s="125"/>
      <c r="F22" s="125"/>
      <c r="G22" s="125"/>
      <c r="H22" s="125"/>
    </row>
    <row r="23" spans="1:8" ht="15.75">
      <c r="A23" s="179" t="s">
        <v>1005</v>
      </c>
      <c r="B23" s="125"/>
      <c r="C23" s="157" t="s">
        <v>267</v>
      </c>
      <c r="D23" s="125"/>
      <c r="E23" s="125"/>
      <c r="F23" s="125"/>
      <c r="G23" s="125"/>
      <c r="H23" s="125"/>
    </row>
    <row r="24" spans="1:8" ht="18">
      <c r="A24" s="176" t="s">
        <v>268</v>
      </c>
      <c r="B24" s="125"/>
      <c r="C24" s="371"/>
      <c r="D24" s="125"/>
      <c r="E24" s="125" t="s">
        <v>1306</v>
      </c>
      <c r="F24" s="125"/>
      <c r="G24" s="125"/>
      <c r="H24" s="125"/>
    </row>
    <row r="25" spans="1:8" ht="18">
      <c r="A25" s="176" t="s">
        <v>1078</v>
      </c>
      <c r="B25" s="125"/>
      <c r="C25" s="122"/>
      <c r="D25" s="125"/>
      <c r="E25" s="125" t="s">
        <v>1306</v>
      </c>
      <c r="F25" s="125"/>
      <c r="G25" s="125"/>
      <c r="H25" s="125"/>
    </row>
    <row r="26" spans="1:8" ht="18">
      <c r="A26" s="176" t="s">
        <v>1079</v>
      </c>
      <c r="B26" s="125"/>
      <c r="C26" s="420"/>
      <c r="D26" s="125"/>
      <c r="E26" s="125" t="s">
        <v>1306</v>
      </c>
      <c r="F26" s="125"/>
      <c r="G26" s="125"/>
      <c r="H26" s="125"/>
    </row>
    <row r="27" spans="1:8" ht="15">
      <c r="A27" s="125" t="s">
        <v>1308</v>
      </c>
      <c r="B27" s="125"/>
      <c r="C27" s="421"/>
      <c r="D27" s="125"/>
      <c r="E27" s="125" t="s">
        <v>1080</v>
      </c>
      <c r="F27" s="125"/>
      <c r="G27" s="125"/>
      <c r="H27" s="125"/>
    </row>
    <row r="28" spans="1:8" ht="18">
      <c r="A28" s="176" t="s">
        <v>1889</v>
      </c>
      <c r="B28" s="125"/>
      <c r="C28" s="678"/>
      <c r="D28" s="125"/>
      <c r="E28" s="125"/>
      <c r="F28" s="125"/>
      <c r="G28" s="125"/>
      <c r="H28" s="125"/>
    </row>
    <row r="29" spans="1:8" ht="18">
      <c r="A29" s="176" t="s">
        <v>269</v>
      </c>
      <c r="B29" s="125"/>
      <c r="C29" s="130"/>
      <c r="D29" s="125"/>
      <c r="E29" s="125"/>
      <c r="F29" s="125"/>
      <c r="G29" s="125"/>
      <c r="H29" s="125"/>
    </row>
    <row r="30" spans="1:8" ht="18">
      <c r="A30" s="176"/>
      <c r="B30" s="125"/>
      <c r="C30" s="125"/>
      <c r="D30" s="125"/>
      <c r="E30" s="125"/>
      <c r="F30" s="125"/>
      <c r="G30" s="125"/>
      <c r="H30" s="125"/>
    </row>
    <row r="31" spans="1:8" ht="18">
      <c r="A31" s="137" t="s">
        <v>1495</v>
      </c>
      <c r="B31" s="125"/>
      <c r="C31" s="125"/>
      <c r="D31" s="125"/>
      <c r="E31" s="125"/>
      <c r="F31" s="125"/>
      <c r="G31" s="125"/>
      <c r="H31" s="125"/>
    </row>
    <row r="32" spans="1:8" ht="18">
      <c r="A32" s="137" t="s">
        <v>1496</v>
      </c>
      <c r="B32" s="125"/>
      <c r="C32" s="125"/>
      <c r="D32" s="125"/>
      <c r="E32" s="125"/>
      <c r="F32" s="125"/>
      <c r="G32" s="125"/>
      <c r="H32" s="125"/>
    </row>
    <row r="33" spans="1:8" ht="18">
      <c r="A33" s="176" t="s">
        <v>1479</v>
      </c>
      <c r="B33" s="125"/>
      <c r="C33" s="125"/>
      <c r="D33" s="125"/>
      <c r="E33" s="125"/>
      <c r="F33" s="125"/>
      <c r="G33" s="125"/>
      <c r="H33" s="125"/>
    </row>
    <row r="34" spans="1:8" ht="18">
      <c r="A34" s="176" t="s">
        <v>1480</v>
      </c>
      <c r="B34" s="125"/>
      <c r="C34" s="125"/>
      <c r="D34" s="125"/>
      <c r="E34" s="125"/>
      <c r="F34" s="125"/>
      <c r="G34" s="125"/>
      <c r="H34" s="125"/>
    </row>
    <row r="35" spans="1:8" ht="18">
      <c r="A35" s="176" t="s">
        <v>1481</v>
      </c>
      <c r="B35" s="125"/>
      <c r="C35" s="125"/>
      <c r="D35" s="125"/>
      <c r="E35" s="125"/>
      <c r="F35" s="125"/>
      <c r="G35" s="125"/>
      <c r="H35" s="125"/>
    </row>
    <row r="36" spans="1:8" ht="18">
      <c r="A36" s="176"/>
      <c r="B36" s="125"/>
      <c r="C36" s="125"/>
      <c r="D36" s="125"/>
      <c r="E36" s="125"/>
      <c r="F36" s="125"/>
      <c r="G36" s="125"/>
      <c r="H36" s="125"/>
    </row>
    <row r="37" spans="1:8" ht="18">
      <c r="A37" s="137" t="s">
        <v>1497</v>
      </c>
      <c r="B37" s="137"/>
      <c r="C37" s="137"/>
      <c r="D37" s="137"/>
      <c r="E37" s="137"/>
      <c r="F37" s="137"/>
      <c r="G37" s="137"/>
      <c r="H37" s="137"/>
    </row>
    <row r="38" spans="1:8" ht="15" customHeight="1">
      <c r="A38" s="137" t="s">
        <v>1498</v>
      </c>
      <c r="B38" s="137"/>
      <c r="C38" s="137"/>
      <c r="D38" s="137"/>
      <c r="E38" s="137"/>
      <c r="F38" s="137"/>
      <c r="G38" s="137"/>
      <c r="H38" s="137"/>
    </row>
    <row r="39" spans="1:8" ht="15" customHeight="1">
      <c r="A39" s="176" t="s">
        <v>1482</v>
      </c>
      <c r="B39" s="176"/>
      <c r="C39" s="176"/>
      <c r="D39" s="176"/>
      <c r="E39" s="176"/>
      <c r="F39" s="176"/>
      <c r="G39" s="176"/>
      <c r="H39" s="176"/>
    </row>
    <row r="40" spans="1:8" ht="15" customHeight="1">
      <c r="A40" s="176" t="s">
        <v>1483</v>
      </c>
      <c r="B40" s="176"/>
      <c r="C40" s="176"/>
      <c r="D40" s="176"/>
      <c r="E40" s="176"/>
      <c r="F40" s="176"/>
      <c r="G40" s="176"/>
      <c r="H40" s="176"/>
    </row>
    <row r="41" spans="1:8" ht="15" customHeight="1">
      <c r="A41" s="176" t="s">
        <v>1484</v>
      </c>
      <c r="B41" s="176"/>
      <c r="C41" s="176"/>
      <c r="D41" s="176"/>
      <c r="E41" s="176"/>
      <c r="F41" s="176"/>
      <c r="G41" s="176"/>
      <c r="H41" s="176"/>
    </row>
    <row r="42" spans="1:8" ht="15" customHeight="1">
      <c r="A42" s="176" t="s">
        <v>1485</v>
      </c>
      <c r="B42" s="176"/>
      <c r="C42" s="176"/>
      <c r="D42" s="176"/>
      <c r="E42" s="176"/>
      <c r="F42" s="176"/>
      <c r="G42" s="176"/>
      <c r="H42" s="176"/>
    </row>
    <row r="43" spans="1:8" ht="15" customHeight="1">
      <c r="A43" s="176" t="s">
        <v>1486</v>
      </c>
      <c r="B43" s="176"/>
      <c r="C43" s="176"/>
      <c r="D43" s="176"/>
      <c r="E43" s="176"/>
      <c r="F43" s="176"/>
      <c r="G43" s="176"/>
      <c r="H43" s="176"/>
    </row>
    <row r="44" spans="1:8" ht="15" customHeight="1">
      <c r="A44" s="176" t="s">
        <v>1487</v>
      </c>
      <c r="B44" s="176"/>
      <c r="C44" s="176"/>
      <c r="D44" s="176"/>
      <c r="E44" s="176"/>
      <c r="F44" s="176"/>
      <c r="G44" s="176"/>
      <c r="H44" s="176"/>
    </row>
    <row r="45" spans="1:8" ht="18">
      <c r="A45" s="176"/>
      <c r="B45" s="176"/>
      <c r="C45" s="176"/>
      <c r="D45" s="176"/>
      <c r="E45" s="176"/>
      <c r="F45" s="176"/>
      <c r="G45" s="176"/>
      <c r="H45" s="176"/>
    </row>
    <row r="46" spans="1:8" ht="18">
      <c r="A46" s="137"/>
      <c r="B46" s="125"/>
      <c r="C46" s="125"/>
      <c r="D46" s="125"/>
      <c r="E46" s="125"/>
      <c r="F46" s="125"/>
      <c r="G46" s="125"/>
      <c r="H46" s="125"/>
    </row>
    <row r="47" spans="1:8" ht="18.75" customHeight="1">
      <c r="A47" s="129" t="s">
        <v>1488</v>
      </c>
      <c r="B47" s="125"/>
      <c r="C47" s="186"/>
      <c r="D47" s="125"/>
      <c r="E47" s="125"/>
      <c r="F47" s="125"/>
      <c r="G47" s="125"/>
      <c r="H47" s="125"/>
    </row>
    <row r="48" spans="1:8" ht="18">
      <c r="A48" s="137"/>
      <c r="B48" s="125"/>
      <c r="C48" s="125"/>
      <c r="D48" s="125"/>
      <c r="E48" s="125"/>
      <c r="F48" s="125"/>
      <c r="G48" s="125"/>
      <c r="H48" s="125"/>
    </row>
    <row r="49" spans="1:8" ht="18">
      <c r="A49" s="137" t="s">
        <v>1499</v>
      </c>
      <c r="B49" s="125"/>
      <c r="C49" s="125"/>
      <c r="D49" s="125"/>
      <c r="E49" s="125"/>
      <c r="F49" s="125"/>
      <c r="G49" s="125"/>
      <c r="H49" s="125"/>
    </row>
    <row r="50" spans="1:8" ht="18">
      <c r="A50" s="137" t="s">
        <v>1500</v>
      </c>
      <c r="B50" s="125"/>
      <c r="C50" s="125"/>
      <c r="D50" s="125"/>
      <c r="E50" s="125"/>
      <c r="F50" s="125"/>
      <c r="G50" s="125"/>
      <c r="H50" s="125"/>
    </row>
    <row r="51" spans="1:8" ht="18">
      <c r="A51" s="176" t="s">
        <v>1489</v>
      </c>
      <c r="B51" s="125"/>
      <c r="C51" s="125"/>
      <c r="D51" s="125"/>
      <c r="E51" s="125"/>
      <c r="F51" s="125"/>
      <c r="G51" s="125"/>
      <c r="H51" s="125"/>
    </row>
    <row r="52" spans="1:8" ht="18">
      <c r="A52" s="137" t="s">
        <v>1501</v>
      </c>
      <c r="B52" s="125"/>
      <c r="C52" s="125"/>
      <c r="D52" s="125"/>
      <c r="E52" s="125"/>
      <c r="F52" s="125"/>
      <c r="G52" s="125"/>
      <c r="H52" s="125"/>
    </row>
    <row r="53" spans="1:8" ht="18">
      <c r="A53" s="137" t="s">
        <v>1502</v>
      </c>
      <c r="B53" s="125"/>
      <c r="C53" s="125"/>
      <c r="D53" s="125"/>
      <c r="E53" s="125"/>
      <c r="F53" s="125"/>
      <c r="G53" s="125"/>
      <c r="H53" s="125"/>
    </row>
    <row r="54" spans="1:8" ht="18">
      <c r="A54" s="137" t="s">
        <v>1503</v>
      </c>
      <c r="B54" s="125"/>
      <c r="C54" s="125"/>
      <c r="D54" s="125"/>
      <c r="E54" s="125"/>
      <c r="F54" s="125"/>
      <c r="G54" s="125"/>
      <c r="H54" s="125"/>
    </row>
    <row r="55" spans="1:8" ht="18">
      <c r="A55" s="176" t="s">
        <v>1490</v>
      </c>
      <c r="B55" s="125"/>
      <c r="C55" s="125"/>
      <c r="D55" s="125"/>
      <c r="E55" s="125"/>
      <c r="F55" s="125"/>
      <c r="G55" s="125"/>
      <c r="H55" s="125"/>
    </row>
    <row r="56" spans="1:8" ht="18">
      <c r="A56" s="930" t="s">
        <v>1504</v>
      </c>
      <c r="B56" s="125"/>
      <c r="C56" s="125"/>
      <c r="D56" s="125"/>
      <c r="E56" s="125"/>
      <c r="F56" s="125"/>
      <c r="G56" s="125"/>
      <c r="H56" s="125"/>
    </row>
    <row r="57" spans="1:8" ht="18">
      <c r="A57" s="930" t="s">
        <v>1505</v>
      </c>
      <c r="B57" s="125"/>
      <c r="C57" s="125"/>
      <c r="D57" s="125"/>
      <c r="E57" s="125"/>
      <c r="F57" s="125"/>
      <c r="G57" s="125"/>
      <c r="H57" s="125"/>
    </row>
    <row r="58" spans="1:8" ht="18">
      <c r="A58" s="930" t="s">
        <v>1506</v>
      </c>
      <c r="B58" s="125"/>
      <c r="C58" s="125"/>
      <c r="D58" s="125"/>
      <c r="E58" s="125"/>
      <c r="F58" s="125"/>
      <c r="G58" s="125"/>
      <c r="H58" s="125"/>
    </row>
    <row r="59" spans="1:8" ht="18.75" customHeight="1">
      <c r="A59" s="137" t="s">
        <v>1507</v>
      </c>
      <c r="B59" s="125"/>
      <c r="C59" s="125"/>
      <c r="D59" s="125"/>
      <c r="E59" s="125"/>
      <c r="F59" s="125"/>
      <c r="G59" s="125"/>
      <c r="H59" s="125"/>
    </row>
    <row r="60" spans="1:8" ht="18">
      <c r="A60" s="176"/>
      <c r="B60" s="125"/>
      <c r="C60" s="125"/>
      <c r="D60" s="125"/>
      <c r="E60" s="125"/>
      <c r="F60" s="125"/>
      <c r="G60" s="125"/>
      <c r="H60" s="125"/>
    </row>
    <row r="61" spans="1:8" ht="18">
      <c r="A61" s="176" t="s">
        <v>1491</v>
      </c>
      <c r="B61" s="125"/>
      <c r="C61" s="125"/>
      <c r="D61" s="125"/>
      <c r="E61" s="125"/>
      <c r="F61" s="125"/>
      <c r="G61" s="125"/>
      <c r="H61" s="125"/>
    </row>
    <row r="62" spans="1:8" ht="18">
      <c r="A62" s="176"/>
      <c r="B62" s="125"/>
      <c r="C62" s="125"/>
      <c r="D62" s="125"/>
      <c r="E62" s="125"/>
      <c r="F62" s="125"/>
      <c r="G62" s="125"/>
      <c r="H62" s="125"/>
    </row>
    <row r="63" spans="1:8" ht="30.75" customHeight="1">
      <c r="A63" s="176" t="s">
        <v>1581</v>
      </c>
      <c r="B63" s="125"/>
      <c r="C63" s="125"/>
      <c r="D63" s="125"/>
      <c r="E63" s="125"/>
      <c r="F63" s="125"/>
      <c r="G63" s="125"/>
      <c r="H63" s="125"/>
    </row>
    <row r="64" spans="1:8" ht="15">
      <c r="A64" s="125"/>
      <c r="B64" s="125"/>
      <c r="C64" s="125"/>
      <c r="D64" s="125"/>
      <c r="E64" s="125"/>
      <c r="F64" s="125"/>
      <c r="G64" s="125"/>
      <c r="H64" s="125"/>
    </row>
    <row r="65" spans="1:8" ht="15.75">
      <c r="A65" s="149"/>
      <c r="B65" s="125"/>
      <c r="C65" s="125"/>
      <c r="D65" s="125"/>
      <c r="E65" s="125"/>
      <c r="F65" s="125"/>
      <c r="G65" s="177"/>
      <c r="H65" s="125"/>
    </row>
  </sheetData>
  <sheetProtection password="EC35" sheet="1" objects="1" scenarios="1"/>
  <printOptions horizontalCentered="1"/>
  <pageMargins left="0.511811023622047" right="0.511811023622047" top="0.511811023622047" bottom="0.511811023622047" header="0.511811023622047" footer="0.511811023622047"/>
  <pageSetup fitToHeight="4" horizontalDpi="600" verticalDpi="600" orientation="portrait" scale="58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111111112">
    <pageSetUpPr fitToPage="1"/>
  </sheetPr>
  <dimension ref="B1:M72"/>
  <sheetViews>
    <sheetView showGridLines="0" showRowColHeaders="0" zoomScale="60" zoomScaleNormal="60" workbookViewId="0" topLeftCell="A1">
      <selection activeCell="B1" sqref="B1"/>
    </sheetView>
  </sheetViews>
  <sheetFormatPr defaultColWidth="8.88671875" defaultRowHeight="15"/>
  <cols>
    <col min="1" max="1" width="1.77734375" style="67" customWidth="1"/>
    <col min="2" max="2" width="8.3359375" style="67" customWidth="1"/>
    <col min="3" max="3" width="34.77734375" style="67" customWidth="1"/>
    <col min="4" max="4" width="7.99609375" style="67" customWidth="1"/>
    <col min="5" max="10" width="12.21484375" style="67" customWidth="1"/>
    <col min="11" max="11" width="1.88671875" style="67" customWidth="1"/>
    <col min="12" max="16384" width="8.88671875" style="67" customWidth="1"/>
  </cols>
  <sheetData>
    <row r="1" spans="2:11" ht="18">
      <c r="B1" s="64"/>
      <c r="C1" s="62" t="s">
        <v>1128</v>
      </c>
      <c r="D1" s="62"/>
      <c r="E1" s="562" t="s">
        <v>1645</v>
      </c>
      <c r="F1" s="64"/>
      <c r="G1" s="64"/>
      <c r="H1" s="65"/>
      <c r="I1" s="64"/>
      <c r="J1" s="65" t="s">
        <v>1584</v>
      </c>
      <c r="K1" s="66"/>
    </row>
    <row r="2" spans="2:11" ht="18">
      <c r="B2" s="64"/>
      <c r="C2" s="64"/>
      <c r="D2" s="68"/>
      <c r="E2" s="562" t="s">
        <v>1646</v>
      </c>
      <c r="F2" s="64"/>
      <c r="G2" s="64"/>
      <c r="H2" s="64"/>
      <c r="I2" s="64"/>
      <c r="J2" s="64"/>
      <c r="K2" s="66"/>
    </row>
    <row r="3" spans="2:11" ht="27" customHeight="1">
      <c r="B3" s="69"/>
      <c r="C3" s="69" t="s">
        <v>1674</v>
      </c>
      <c r="D3" s="64"/>
      <c r="E3" s="68"/>
      <c r="F3" s="64"/>
      <c r="G3" s="64"/>
      <c r="H3" s="64"/>
      <c r="I3" s="64"/>
      <c r="J3" s="64"/>
      <c r="K3" s="66"/>
    </row>
    <row r="4" spans="2:11" ht="18">
      <c r="B4" s="69"/>
      <c r="C4" s="69" t="s">
        <v>1675</v>
      </c>
      <c r="D4" s="64"/>
      <c r="E4" s="68"/>
      <c r="F4" s="64"/>
      <c r="G4" s="64"/>
      <c r="H4" s="64"/>
      <c r="I4" s="64"/>
      <c r="J4" s="64"/>
      <c r="K4" s="66"/>
    </row>
    <row r="5" spans="2:11" ht="18">
      <c r="B5" s="69"/>
      <c r="C5" s="69" t="s">
        <v>1676</v>
      </c>
      <c r="D5" s="64"/>
      <c r="E5" s="68"/>
      <c r="F5" s="64"/>
      <c r="G5" s="64"/>
      <c r="H5" s="64"/>
      <c r="I5" s="64"/>
      <c r="J5" s="64"/>
      <c r="K5" s="66"/>
    </row>
    <row r="6" spans="2:11" ht="18">
      <c r="B6" s="69"/>
      <c r="C6" s="69" t="s">
        <v>1677</v>
      </c>
      <c r="D6" s="64"/>
      <c r="E6" s="68"/>
      <c r="F6" s="64"/>
      <c r="G6" s="64"/>
      <c r="H6" s="64"/>
      <c r="I6" s="64"/>
      <c r="J6" s="64"/>
      <c r="K6" s="66"/>
    </row>
    <row r="7" spans="2:11" ht="18">
      <c r="B7" s="69"/>
      <c r="C7" s="69" t="s">
        <v>320</v>
      </c>
      <c r="D7" s="64"/>
      <c r="E7" s="68"/>
      <c r="F7" s="64"/>
      <c r="G7" s="64"/>
      <c r="H7" s="64"/>
      <c r="I7" s="64"/>
      <c r="J7" s="64"/>
      <c r="K7" s="66"/>
    </row>
    <row r="8" spans="2:11" ht="18">
      <c r="B8" s="69"/>
      <c r="C8" s="69" t="s">
        <v>1678</v>
      </c>
      <c r="D8" s="64"/>
      <c r="E8" s="68"/>
      <c r="F8" s="64"/>
      <c r="G8" s="64"/>
      <c r="H8" s="64"/>
      <c r="I8" s="64"/>
      <c r="J8" s="64"/>
      <c r="K8" s="66"/>
    </row>
    <row r="9" spans="2:11" ht="18">
      <c r="B9" s="69"/>
      <c r="C9" s="69" t="s">
        <v>929</v>
      </c>
      <c r="D9" s="64"/>
      <c r="E9" s="68"/>
      <c r="F9" s="64"/>
      <c r="G9" s="64"/>
      <c r="H9" s="64"/>
      <c r="I9" s="64"/>
      <c r="J9" s="64"/>
      <c r="K9" s="66"/>
    </row>
    <row r="10" spans="2:11" ht="18">
      <c r="B10" s="69"/>
      <c r="C10" s="69" t="s">
        <v>243</v>
      </c>
      <c r="D10" s="64"/>
      <c r="E10" s="68"/>
      <c r="F10" s="64"/>
      <c r="G10" s="64"/>
      <c r="H10" s="64"/>
      <c r="I10" s="64"/>
      <c r="J10" s="64"/>
      <c r="K10" s="66"/>
    </row>
    <row r="11" spans="2:11" ht="18">
      <c r="B11" s="69"/>
      <c r="C11" s="69" t="s">
        <v>1775</v>
      </c>
      <c r="D11" s="64"/>
      <c r="E11" s="68"/>
      <c r="F11" s="64"/>
      <c r="G11" s="64"/>
      <c r="H11" s="64"/>
      <c r="I11" s="64"/>
      <c r="J11" s="64"/>
      <c r="K11" s="66"/>
    </row>
    <row r="12" spans="2:11" ht="33" customHeight="1">
      <c r="B12" s="69"/>
      <c r="C12" s="906" t="s">
        <v>71</v>
      </c>
      <c r="D12" s="64"/>
      <c r="E12" s="68"/>
      <c r="F12" s="64"/>
      <c r="G12" s="64"/>
      <c r="H12" s="64"/>
      <c r="I12" s="64"/>
      <c r="J12" s="64"/>
      <c r="K12" s="66"/>
    </row>
    <row r="13" spans="2:11" ht="36">
      <c r="B13" s="72" t="s">
        <v>1967</v>
      </c>
      <c r="C13" s="72" t="s">
        <v>1968</v>
      </c>
      <c r="D13" s="72" t="s">
        <v>1969</v>
      </c>
      <c r="E13" s="72" t="s">
        <v>1679</v>
      </c>
      <c r="F13" s="72" t="s">
        <v>1680</v>
      </c>
      <c r="G13" s="72" t="s">
        <v>1681</v>
      </c>
      <c r="H13" s="72" t="s">
        <v>1682</v>
      </c>
      <c r="I13" s="72" t="s">
        <v>1683</v>
      </c>
      <c r="J13" s="73" t="s">
        <v>508</v>
      </c>
      <c r="K13" s="66"/>
    </row>
    <row r="14" spans="2:11" ht="18">
      <c r="B14" s="69"/>
      <c r="C14" s="69"/>
      <c r="D14" s="64"/>
      <c r="E14" s="68"/>
      <c r="F14" s="64"/>
      <c r="G14" s="64"/>
      <c r="H14" s="64"/>
      <c r="I14" s="64"/>
      <c r="J14" s="64"/>
      <c r="K14" s="66"/>
    </row>
    <row r="15" spans="2:11" ht="18">
      <c r="B15" s="77" t="s">
        <v>513</v>
      </c>
      <c r="C15" s="572" t="s">
        <v>244</v>
      </c>
      <c r="D15" s="77" t="s">
        <v>1387</v>
      </c>
      <c r="E15" s="569"/>
      <c r="F15" s="569"/>
      <c r="G15" s="569"/>
      <c r="H15" s="569"/>
      <c r="I15" s="569"/>
      <c r="J15" s="438">
        <f>SUM(E15:I15)</f>
        <v>0</v>
      </c>
      <c r="K15" s="66"/>
    </row>
    <row r="16" spans="2:11" ht="18">
      <c r="B16" s="77"/>
      <c r="C16" s="568"/>
      <c r="D16" s="64"/>
      <c r="E16" s="68"/>
      <c r="F16" s="64"/>
      <c r="G16" s="64"/>
      <c r="H16" s="64"/>
      <c r="I16" s="64"/>
      <c r="J16" s="64"/>
      <c r="K16" s="66"/>
    </row>
    <row r="17" spans="2:11" ht="18">
      <c r="B17" s="77" t="s">
        <v>516</v>
      </c>
      <c r="C17" s="568" t="s">
        <v>625</v>
      </c>
      <c r="D17" s="77" t="s">
        <v>946</v>
      </c>
      <c r="E17" s="569"/>
      <c r="F17" s="569"/>
      <c r="G17" s="569"/>
      <c r="H17" s="569"/>
      <c r="I17" s="569"/>
      <c r="J17" s="438">
        <f>SUM(E17:I17)</f>
        <v>0</v>
      </c>
      <c r="K17" s="66"/>
    </row>
    <row r="18" spans="2:11" ht="18">
      <c r="B18" s="77"/>
      <c r="C18" s="568" t="s">
        <v>626</v>
      </c>
      <c r="D18" s="77"/>
      <c r="E18" s="617"/>
      <c r="F18" s="64"/>
      <c r="G18" s="64"/>
      <c r="H18" s="64"/>
      <c r="I18" s="64"/>
      <c r="J18" s="64"/>
      <c r="K18" s="66"/>
    </row>
    <row r="19" spans="2:11" ht="18">
      <c r="B19" s="77" t="s">
        <v>518</v>
      </c>
      <c r="C19" s="568" t="s">
        <v>365</v>
      </c>
      <c r="D19" s="77" t="s">
        <v>1387</v>
      </c>
      <c r="E19" s="569"/>
      <c r="F19" s="569"/>
      <c r="G19" s="569"/>
      <c r="H19" s="569"/>
      <c r="I19" s="569"/>
      <c r="J19" s="438">
        <f>SUM(E19:I19)</f>
        <v>0</v>
      </c>
      <c r="K19" s="66"/>
    </row>
    <row r="20" spans="2:11" ht="18">
      <c r="B20" s="62"/>
      <c r="C20" s="562" t="s">
        <v>366</v>
      </c>
      <c r="D20" s="62"/>
      <c r="E20" s="62"/>
      <c r="F20" s="62"/>
      <c r="G20" s="62"/>
      <c r="H20" s="62"/>
      <c r="I20" s="62"/>
      <c r="J20" s="62"/>
      <c r="K20" s="66"/>
    </row>
    <row r="21" spans="2:11" ht="18">
      <c r="B21" s="77" t="s">
        <v>520</v>
      </c>
      <c r="C21" s="568" t="s">
        <v>860</v>
      </c>
      <c r="D21" s="581" t="s">
        <v>1387</v>
      </c>
      <c r="E21" s="569"/>
      <c r="F21" s="569"/>
      <c r="G21" s="569"/>
      <c r="H21" s="569"/>
      <c r="I21" s="569"/>
      <c r="J21" s="438">
        <f>SUM(E21:I21)</f>
        <v>0</v>
      </c>
      <c r="K21" s="66"/>
    </row>
    <row r="22" spans="2:11" ht="18">
      <c r="B22" s="69"/>
      <c r="C22" s="69"/>
      <c r="D22" s="581">
        <v>232</v>
      </c>
      <c r="E22" s="62"/>
      <c r="F22" s="64"/>
      <c r="G22" s="64"/>
      <c r="H22" s="64"/>
      <c r="I22" s="64"/>
      <c r="J22" s="64"/>
      <c r="K22" s="66"/>
    </row>
    <row r="23" spans="2:11" ht="18">
      <c r="B23" s="77" t="s">
        <v>792</v>
      </c>
      <c r="C23" s="568" t="s">
        <v>370</v>
      </c>
      <c r="D23" s="77"/>
      <c r="E23" s="569"/>
      <c r="F23" s="569"/>
      <c r="G23" s="569"/>
      <c r="H23" s="569"/>
      <c r="I23" s="569"/>
      <c r="J23" s="438">
        <f>SUM(E23:I23)</f>
        <v>0</v>
      </c>
      <c r="K23" s="66"/>
    </row>
    <row r="24" spans="2:11" ht="18">
      <c r="B24" s="69"/>
      <c r="C24" s="568"/>
      <c r="D24" s="64"/>
      <c r="E24" s="62"/>
      <c r="F24" s="64"/>
      <c r="G24" s="64"/>
      <c r="H24" s="64"/>
      <c r="I24" s="64"/>
      <c r="J24" s="64"/>
      <c r="K24" s="66"/>
    </row>
    <row r="25" spans="2:11" ht="18">
      <c r="B25" s="77" t="s">
        <v>794</v>
      </c>
      <c r="C25" s="572" t="s">
        <v>367</v>
      </c>
      <c r="D25" s="77"/>
      <c r="E25" s="892" t="s">
        <v>1673</v>
      </c>
      <c r="F25" s="892" t="s">
        <v>1673</v>
      </c>
      <c r="G25" s="892" t="s">
        <v>1673</v>
      </c>
      <c r="H25" s="892" t="s">
        <v>1673</v>
      </c>
      <c r="I25" s="892" t="s">
        <v>1673</v>
      </c>
      <c r="J25" s="64"/>
      <c r="K25" s="66"/>
    </row>
    <row r="26" spans="2:11" ht="18">
      <c r="B26" s="77"/>
      <c r="C26" s="69" t="s">
        <v>619</v>
      </c>
      <c r="D26" s="64"/>
      <c r="E26" s="68"/>
      <c r="F26" s="64"/>
      <c r="G26" s="64"/>
      <c r="H26" s="64"/>
      <c r="I26" s="64"/>
      <c r="J26" s="64"/>
      <c r="K26" s="66"/>
    </row>
    <row r="27" spans="2:11" ht="27" customHeight="1">
      <c r="B27" s="891" t="s">
        <v>971</v>
      </c>
      <c r="C27" s="568" t="s">
        <v>1777</v>
      </c>
      <c r="D27" s="891" t="s">
        <v>521</v>
      </c>
      <c r="E27" s="569"/>
      <c r="F27" s="569"/>
      <c r="G27" s="569"/>
      <c r="H27" s="569"/>
      <c r="I27" s="569"/>
      <c r="J27" s="438">
        <f>SUM(E27:I27)</f>
        <v>0</v>
      </c>
      <c r="K27" s="66"/>
    </row>
    <row r="28" spans="2:11" ht="18">
      <c r="B28" s="69"/>
      <c r="C28" s="69"/>
      <c r="D28" s="64"/>
      <c r="E28" s="68"/>
      <c r="F28" s="64"/>
      <c r="G28" s="64"/>
      <c r="H28" s="64"/>
      <c r="I28" s="64"/>
      <c r="J28" s="64"/>
      <c r="K28" s="66"/>
    </row>
    <row r="29" spans="2:11" ht="18">
      <c r="B29" s="77" t="s">
        <v>94</v>
      </c>
      <c r="C29" s="568" t="s">
        <v>1135</v>
      </c>
      <c r="D29" s="92"/>
      <c r="E29" s="899"/>
      <c r="F29" s="899"/>
      <c r="G29" s="899"/>
      <c r="H29" s="899"/>
      <c r="I29" s="899"/>
      <c r="J29" s="64"/>
      <c r="K29" s="66"/>
    </row>
    <row r="30" spans="2:11" ht="18">
      <c r="B30" s="62"/>
      <c r="C30" s="62"/>
      <c r="D30" s="62"/>
      <c r="E30" s="62"/>
      <c r="F30" s="62"/>
      <c r="G30" s="62"/>
      <c r="H30" s="62"/>
      <c r="I30" s="62"/>
      <c r="J30" s="62"/>
      <c r="K30" s="66"/>
    </row>
    <row r="31" spans="2:11" ht="18">
      <c r="B31" s="77" t="s">
        <v>96</v>
      </c>
      <c r="C31" s="568" t="s">
        <v>368</v>
      </c>
      <c r="D31" s="77"/>
      <c r="E31" s="869"/>
      <c r="F31" s="869"/>
      <c r="G31" s="869"/>
      <c r="H31" s="869"/>
      <c r="I31" s="869"/>
      <c r="J31" s="64"/>
      <c r="K31" s="66"/>
    </row>
    <row r="32" spans="2:11" ht="18">
      <c r="B32" s="69"/>
      <c r="C32" s="69"/>
      <c r="D32" s="64"/>
      <c r="E32" s="62"/>
      <c r="F32" s="64"/>
      <c r="G32" s="64"/>
      <c r="H32" s="64"/>
      <c r="I32" s="64"/>
      <c r="J32" s="64"/>
      <c r="K32" s="66"/>
    </row>
    <row r="33" spans="2:11" ht="18">
      <c r="B33" s="77" t="s">
        <v>93</v>
      </c>
      <c r="C33" s="568" t="s">
        <v>369</v>
      </c>
      <c r="D33" s="77"/>
      <c r="E33" s="569"/>
      <c r="F33" s="569"/>
      <c r="G33" s="569"/>
      <c r="H33" s="569"/>
      <c r="I33" s="569"/>
      <c r="J33" s="438">
        <f>SUM(E33:I33)</f>
        <v>0</v>
      </c>
      <c r="K33" s="66"/>
    </row>
    <row r="34" spans="2:11" ht="18">
      <c r="B34" s="69"/>
      <c r="C34" s="69"/>
      <c r="D34" s="64"/>
      <c r="E34" s="62"/>
      <c r="F34" s="64"/>
      <c r="G34" s="64"/>
      <c r="H34" s="64"/>
      <c r="I34" s="64"/>
      <c r="J34" s="64"/>
      <c r="K34" s="66"/>
    </row>
    <row r="35" spans="2:11" ht="18">
      <c r="B35" s="69"/>
      <c r="C35" s="69" t="s">
        <v>628</v>
      </c>
      <c r="D35" s="893"/>
      <c r="E35" s="894" t="str">
        <f>IF(OR(E25="Yes",AND(E31&lt;&gt;"",E31='T1 GEN-1'!$T$25)),"Yes","No")</f>
        <v>No</v>
      </c>
      <c r="F35" s="894" t="str">
        <f>IF(OR(F25="Yes",AND(F31&lt;&gt;"",F31='T1 GEN-1'!$T$25)),"Yes","No")</f>
        <v>No</v>
      </c>
      <c r="G35" s="894" t="str">
        <f>IF(OR(G25="Yes",AND(G31&lt;&gt;"",G31='T1 GEN-1'!$T$25)),"Yes","No")</f>
        <v>No</v>
      </c>
      <c r="H35" s="894" t="str">
        <f>IF(OR(H25="Yes",AND(H31&lt;&gt;"",H31='T1 GEN-1'!$T$25)),"Yes","No")</f>
        <v>No</v>
      </c>
      <c r="I35" s="894" t="str">
        <f>IF(OR(I25="Yes",AND(I31&lt;&gt;"",I31='T1 GEN-1'!$T$25)),"Yes","No")</f>
        <v>No</v>
      </c>
      <c r="J35" s="64"/>
      <c r="K35" s="66"/>
    </row>
    <row r="36" spans="2:11" ht="18.75" thickBot="1">
      <c r="B36" s="517"/>
      <c r="C36" s="520"/>
      <c r="D36" s="904"/>
      <c r="E36" s="519"/>
      <c r="F36" s="904"/>
      <c r="G36" s="904"/>
      <c r="H36" s="904"/>
      <c r="I36" s="904"/>
      <c r="J36" s="522"/>
      <c r="K36" s="523"/>
    </row>
    <row r="37" spans="2:11" ht="18">
      <c r="B37" s="77"/>
      <c r="C37" s="80"/>
      <c r="D37" s="77"/>
      <c r="E37" s="80"/>
      <c r="F37" s="80"/>
      <c r="G37" s="80"/>
      <c r="H37" s="80"/>
      <c r="I37" s="80"/>
      <c r="J37" s="901"/>
      <c r="K37" s="552"/>
    </row>
    <row r="38" spans="2:11" ht="18">
      <c r="B38" s="77"/>
      <c r="C38" s="62" t="s">
        <v>466</v>
      </c>
      <c r="D38" s="62"/>
      <c r="E38" s="562" t="s">
        <v>1645</v>
      </c>
      <c r="F38" s="64"/>
      <c r="G38" s="64"/>
      <c r="H38" s="65"/>
      <c r="I38" s="64"/>
      <c r="J38" s="65" t="s">
        <v>1584</v>
      </c>
      <c r="K38" s="66"/>
    </row>
    <row r="39" spans="2:11" ht="18">
      <c r="B39" s="77"/>
      <c r="C39" s="62"/>
      <c r="D39" s="62"/>
      <c r="E39" s="562" t="s">
        <v>1646</v>
      </c>
      <c r="F39" s="64"/>
      <c r="G39" s="64"/>
      <c r="H39" s="65"/>
      <c r="I39" s="64"/>
      <c r="J39" s="65"/>
      <c r="K39" s="66"/>
    </row>
    <row r="40" spans="2:11" ht="10.5" customHeight="1">
      <c r="B40" s="77"/>
      <c r="C40" s="62"/>
      <c r="D40" s="62"/>
      <c r="E40" s="562"/>
      <c r="F40" s="64"/>
      <c r="G40" s="64"/>
      <c r="H40" s="65"/>
      <c r="I40" s="64"/>
      <c r="J40" s="65"/>
      <c r="K40" s="66"/>
    </row>
    <row r="41" spans="2:11" ht="18">
      <c r="B41" s="77"/>
      <c r="C41" s="80" t="s">
        <v>1133</v>
      </c>
      <c r="D41" s="893"/>
      <c r="E41" s="900">
        <f>IF(OR(E25="Yes",E31='T1 GEN-1'!$T$25),3,IF(OR(AND(E29&gt;0,E35="Yes"),age&gt;=65),1,2))</f>
        <v>3</v>
      </c>
      <c r="F41" s="900">
        <f>IF(OR(F25="Yes",F31='T1 GEN-1'!$T$25),3,IF(OR(AND(F29&gt;0,F35="Yes"),age&gt;=65),1,2))</f>
        <v>3</v>
      </c>
      <c r="G41" s="900">
        <f>IF(OR(G25="Yes",G31='T1 GEN-1'!$T$25),3,IF(OR(AND(G29&gt;0,G35="Yes"),age&gt;=65),1,2))</f>
        <v>3</v>
      </c>
      <c r="H41" s="900">
        <f>IF(OR(H25="Yes",H31='T1 GEN-1'!$T$25),3,IF(OR(AND(H29&gt;0,H35="Yes"),age&gt;=65),1,2))</f>
        <v>3</v>
      </c>
      <c r="I41" s="900">
        <f>IF(OR(I25="Yes",I31='T1 GEN-1'!$T$25),3,IF(OR(AND(I29&gt;0,I35="Yes"),age&gt;=65),1,2))</f>
        <v>3</v>
      </c>
      <c r="J41" s="65"/>
      <c r="K41" s="66"/>
    </row>
    <row r="42" spans="2:11" ht="18">
      <c r="B42" s="77"/>
      <c r="C42" s="903" t="s">
        <v>1134</v>
      </c>
      <c r="D42" s="77"/>
      <c r="E42" s="900">
        <f>IF(E29&gt;0,IF(OR(E35="Yes",age&gt;=65),1,IF(E21&gt;0,2,3)),IF(E21&gt;0,2,3))</f>
        <v>3</v>
      </c>
      <c r="F42" s="900">
        <f>IF(F29&gt;0,IF(OR(F35="Yes",age&gt;=65),1,IF(F21&gt;0,2,3)),IF(F21&gt;0,2,3))</f>
        <v>3</v>
      </c>
      <c r="G42" s="900">
        <f>IF(G29&gt;0,IF(OR(G35="Yes",age&gt;=65),1,IF(G21&gt;0,2,3)),IF(G21&gt;0,2,3))</f>
        <v>3</v>
      </c>
      <c r="H42" s="900">
        <f>IF(H29&gt;0,IF(OR(H35="Yes",age&gt;=65),1,IF(H21&gt;0,2,3)),IF(H21&gt;0,2,3))</f>
        <v>3</v>
      </c>
      <c r="I42" s="900">
        <f>IF(I29&gt;0,IF(OR(I35="Yes",age&gt;=65),1,IF(I21&gt;0,2,3)),IF(I21&gt;0,2,3))</f>
        <v>3</v>
      </c>
      <c r="J42" s="65"/>
      <c r="K42" s="66"/>
    </row>
    <row r="43" spans="2:11" ht="9.75" customHeight="1">
      <c r="B43" s="77"/>
      <c r="C43" s="80"/>
      <c r="D43" s="77"/>
      <c r="E43" s="562"/>
      <c r="F43" s="79"/>
      <c r="G43" s="79"/>
      <c r="H43" s="84"/>
      <c r="I43" s="79"/>
      <c r="J43" s="83"/>
      <c r="K43" s="66"/>
    </row>
    <row r="44" spans="2:13" ht="54">
      <c r="B44" s="77"/>
      <c r="C44" s="72" t="s">
        <v>465</v>
      </c>
      <c r="D44" s="72" t="s">
        <v>1969</v>
      </c>
      <c r="E44" s="72" t="s">
        <v>1906</v>
      </c>
      <c r="F44" s="72" t="s">
        <v>1907</v>
      </c>
      <c r="G44" s="72" t="s">
        <v>1908</v>
      </c>
      <c r="H44" s="72" t="s">
        <v>1910</v>
      </c>
      <c r="I44" s="72" t="s">
        <v>1909</v>
      </c>
      <c r="J44" s="902" t="s">
        <v>1911</v>
      </c>
      <c r="K44" s="66"/>
      <c r="L44" s="570"/>
      <c r="M44" s="582"/>
    </row>
    <row r="45" spans="2:13" ht="18">
      <c r="B45" s="77"/>
      <c r="C45" s="514" t="s">
        <v>1912</v>
      </c>
      <c r="D45" s="515" t="s">
        <v>945</v>
      </c>
      <c r="E45" s="526">
        <f>IF(E41=1,E15,0)</f>
        <v>0</v>
      </c>
      <c r="F45" s="526">
        <f>IF(F41=1,F15,0)</f>
        <v>0</v>
      </c>
      <c r="G45" s="526">
        <f>IF(G41=1,G15,0)</f>
        <v>0</v>
      </c>
      <c r="H45" s="526">
        <f>IF(H41=1,H15,0)</f>
        <v>0</v>
      </c>
      <c r="I45" s="526">
        <f>IF(I41=1,I15,0)</f>
        <v>0</v>
      </c>
      <c r="J45" s="66"/>
      <c r="K45" s="66"/>
      <c r="L45" s="905" t="s">
        <v>1136</v>
      </c>
      <c r="M45" s="582"/>
    </row>
    <row r="46" spans="2:13" ht="18">
      <c r="B46" s="77"/>
      <c r="C46" s="514" t="s">
        <v>1913</v>
      </c>
      <c r="D46" s="515" t="s">
        <v>945</v>
      </c>
      <c r="E46" s="526">
        <f>IF(E41=1,E19,0)</f>
        <v>0</v>
      </c>
      <c r="F46" s="526">
        <f>IF(F41=1,F19,0)</f>
        <v>0</v>
      </c>
      <c r="G46" s="526">
        <f>IF(G41=1,G19,0)</f>
        <v>0</v>
      </c>
      <c r="H46" s="526">
        <f>IF(H41=1,H19,0)</f>
        <v>0</v>
      </c>
      <c r="I46" s="526">
        <f>IF(I41=1,I19,0)</f>
        <v>0</v>
      </c>
      <c r="J46" s="888">
        <f>SUM(E45:I47)</f>
        <v>0</v>
      </c>
      <c r="K46" s="66"/>
      <c r="L46" s="905" t="s">
        <v>1137</v>
      </c>
      <c r="M46" s="582"/>
    </row>
    <row r="47" spans="2:13" ht="18">
      <c r="B47" s="77"/>
      <c r="C47" s="514" t="s">
        <v>1902</v>
      </c>
      <c r="D47" s="515" t="s">
        <v>945</v>
      </c>
      <c r="E47" s="526">
        <f>IF(E42=1,E21,0)</f>
        <v>0</v>
      </c>
      <c r="F47" s="526">
        <f>IF(F42=1,F21,0)</f>
        <v>0</v>
      </c>
      <c r="G47" s="526">
        <f>IF(G42=1,G21,0)</f>
        <v>0</v>
      </c>
      <c r="H47" s="526">
        <f>IF(H42=1,H21,0)</f>
        <v>0</v>
      </c>
      <c r="I47" s="526">
        <f>IF(I42=1,I21,0)</f>
        <v>0</v>
      </c>
      <c r="J47" s="590"/>
      <c r="K47" s="66"/>
      <c r="L47" s="905" t="s">
        <v>1146</v>
      </c>
      <c r="M47" s="582"/>
    </row>
    <row r="48" spans="2:13" ht="18">
      <c r="B48" s="77"/>
      <c r="C48" s="549"/>
      <c r="D48" s="550"/>
      <c r="E48" s="590"/>
      <c r="F48" s="590"/>
      <c r="G48" s="590"/>
      <c r="H48" s="590"/>
      <c r="I48" s="590"/>
      <c r="J48" s="590"/>
      <c r="K48" s="66"/>
      <c r="L48" s="905" t="s">
        <v>1140</v>
      </c>
      <c r="M48" s="582"/>
    </row>
    <row r="49" spans="2:13" ht="18">
      <c r="B49" s="77"/>
      <c r="C49" s="524" t="s">
        <v>1912</v>
      </c>
      <c r="D49" s="525" t="s">
        <v>946</v>
      </c>
      <c r="E49" s="526">
        <f>IF(E41=2,E15,0)</f>
        <v>0</v>
      </c>
      <c r="F49" s="526">
        <f>IF(F41=2,F15,0)</f>
        <v>0</v>
      </c>
      <c r="G49" s="526">
        <f>IF(G41=2,G15,0)</f>
        <v>0</v>
      </c>
      <c r="H49" s="526">
        <f>IF(H41=2,H15,0)</f>
        <v>0</v>
      </c>
      <c r="I49" s="526">
        <f>IF(I41=2,I15,0)</f>
        <v>0</v>
      </c>
      <c r="J49" s="552"/>
      <c r="K49" s="66"/>
      <c r="L49" s="905" t="s">
        <v>1143</v>
      </c>
      <c r="M49" s="582"/>
    </row>
    <row r="50" spans="2:13" ht="18">
      <c r="B50" s="77"/>
      <c r="C50" s="514" t="s">
        <v>1904</v>
      </c>
      <c r="D50" s="515" t="s">
        <v>946</v>
      </c>
      <c r="E50" s="526">
        <f>E17</f>
        <v>0</v>
      </c>
      <c r="F50" s="526">
        <f>F17</f>
        <v>0</v>
      </c>
      <c r="G50" s="526">
        <f>G17</f>
        <v>0</v>
      </c>
      <c r="H50" s="526">
        <f>H17</f>
        <v>0</v>
      </c>
      <c r="I50" s="526">
        <f>I17</f>
        <v>0</v>
      </c>
      <c r="J50" s="888">
        <f>SUM(E49:I52)</f>
        <v>0</v>
      </c>
      <c r="K50" s="66"/>
      <c r="L50" s="905" t="s">
        <v>1147</v>
      </c>
      <c r="M50" s="582"/>
    </row>
    <row r="51" spans="2:13" ht="18">
      <c r="B51" s="77"/>
      <c r="C51" s="514" t="s">
        <v>1913</v>
      </c>
      <c r="D51" s="515" t="s">
        <v>946</v>
      </c>
      <c r="E51" s="526">
        <f>IF(E41=2,E19,0)</f>
        <v>0</v>
      </c>
      <c r="F51" s="526">
        <f>IF(F41=2,F19,0)</f>
        <v>0</v>
      </c>
      <c r="G51" s="526">
        <f>IF(G41=2,G19,0)</f>
        <v>0</v>
      </c>
      <c r="H51" s="526">
        <f>IF(H41=2,H19,0)</f>
        <v>0</v>
      </c>
      <c r="I51" s="526">
        <f>IF(I41=2,I19,0)</f>
        <v>0</v>
      </c>
      <c r="J51" s="590"/>
      <c r="K51" s="66"/>
      <c r="L51" s="905" t="s">
        <v>1145</v>
      </c>
      <c r="M51" s="582"/>
    </row>
    <row r="52" spans="2:13" ht="18">
      <c r="B52" s="77"/>
      <c r="C52" s="514" t="s">
        <v>1902</v>
      </c>
      <c r="D52" s="515" t="s">
        <v>946</v>
      </c>
      <c r="E52" s="526">
        <f>IF(E42=2,E21,0)</f>
        <v>0</v>
      </c>
      <c r="F52" s="526">
        <f>IF(F42=2,F21,0)</f>
        <v>0</v>
      </c>
      <c r="G52" s="526">
        <f>IF(G42=2,G21,0)</f>
        <v>0</v>
      </c>
      <c r="H52" s="526">
        <f>IF(H42=2,H21,0)</f>
        <v>0</v>
      </c>
      <c r="I52" s="526">
        <f>IF(I42=2,I21,0)</f>
        <v>0</v>
      </c>
      <c r="J52" s="590"/>
      <c r="K52" s="66"/>
      <c r="L52" s="905" t="s">
        <v>1153</v>
      </c>
      <c r="M52" s="582"/>
    </row>
    <row r="53" spans="2:13" ht="18">
      <c r="B53" s="77"/>
      <c r="C53" s="549"/>
      <c r="D53" s="550"/>
      <c r="E53" s="590"/>
      <c r="F53" s="590"/>
      <c r="G53" s="590"/>
      <c r="H53" s="590"/>
      <c r="I53" s="590"/>
      <c r="J53" s="590"/>
      <c r="K53" s="66"/>
      <c r="L53" s="868"/>
      <c r="M53" s="582"/>
    </row>
    <row r="54" spans="2:13" ht="18">
      <c r="B54" s="77"/>
      <c r="C54" s="524" t="s">
        <v>1902</v>
      </c>
      <c r="D54" s="525" t="s">
        <v>122</v>
      </c>
      <c r="E54" s="526">
        <f>IF(E42=3,-E21,0)</f>
        <v>0</v>
      </c>
      <c r="F54" s="526">
        <f>IF(F42=3,-F21,0)</f>
        <v>0</v>
      </c>
      <c r="G54" s="526">
        <f>IF(G42=3,-G21,0)</f>
        <v>0</v>
      </c>
      <c r="H54" s="526">
        <f>IF(H42=3,-H21,0)</f>
        <v>0</v>
      </c>
      <c r="I54" s="526">
        <f>IF(I42=3,-I21,0)</f>
        <v>0</v>
      </c>
      <c r="J54" s="526">
        <f>SUM(E54:I54)</f>
        <v>0</v>
      </c>
      <c r="K54" s="66"/>
      <c r="L54" s="571" t="s">
        <v>1148</v>
      </c>
      <c r="M54" s="571"/>
    </row>
    <row r="55" spans="2:13" ht="18">
      <c r="B55" s="77"/>
      <c r="C55" s="514" t="s">
        <v>1903</v>
      </c>
      <c r="D55" s="515" t="s">
        <v>521</v>
      </c>
      <c r="E55" s="526">
        <f>E27</f>
        <v>0</v>
      </c>
      <c r="F55" s="526">
        <f>F27</f>
        <v>0</v>
      </c>
      <c r="G55" s="526">
        <f>G27</f>
        <v>0</v>
      </c>
      <c r="H55" s="526">
        <f>H27</f>
        <v>0</v>
      </c>
      <c r="I55" s="526">
        <f>I27</f>
        <v>0</v>
      </c>
      <c r="J55" s="526">
        <f>SUM(E55:I55)</f>
        <v>0</v>
      </c>
      <c r="K55" s="66"/>
      <c r="L55" s="571" t="s">
        <v>1149</v>
      </c>
      <c r="M55" s="571"/>
    </row>
    <row r="56" spans="2:13" ht="18">
      <c r="B56" s="77"/>
      <c r="C56" s="514" t="s">
        <v>473</v>
      </c>
      <c r="D56" s="515" t="s">
        <v>516</v>
      </c>
      <c r="E56" s="526">
        <f>IF(E41=3,E15,0)</f>
        <v>0</v>
      </c>
      <c r="F56" s="526">
        <f>IF(F41=3,F15,0)</f>
        <v>0</v>
      </c>
      <c r="G56" s="526">
        <f>IF(G41=3,G15,0)</f>
        <v>0</v>
      </c>
      <c r="H56" s="526">
        <f>IF(H41=3,H15,0)</f>
        <v>0</v>
      </c>
      <c r="I56" s="526">
        <f>IF(I41=3,I15,0)</f>
        <v>0</v>
      </c>
      <c r="J56" s="526">
        <f>SUM(E56:I56)</f>
        <v>0</v>
      </c>
      <c r="K56" s="66"/>
      <c r="L56" s="571" t="s">
        <v>1155</v>
      </c>
      <c r="M56" s="571"/>
    </row>
    <row r="57" spans="2:13" ht="18">
      <c r="B57" s="77"/>
      <c r="C57" s="514" t="s">
        <v>474</v>
      </c>
      <c r="D57" s="515" t="s">
        <v>627</v>
      </c>
      <c r="E57" s="526">
        <f>IF(E41=3,E19,0)</f>
        <v>0</v>
      </c>
      <c r="F57" s="526">
        <f>IF(F41=3,F19,0)</f>
        <v>0</v>
      </c>
      <c r="G57" s="526">
        <f>IF(G41=3,G19,0)</f>
        <v>0</v>
      </c>
      <c r="H57" s="526">
        <f>IF(H41=3,H19,0)</f>
        <v>0</v>
      </c>
      <c r="I57" s="526">
        <f>IF(I41=3,I19,0)</f>
        <v>0</v>
      </c>
      <c r="J57" s="526">
        <f>SUM(E57:I57)</f>
        <v>0</v>
      </c>
      <c r="K57" s="66"/>
      <c r="L57" s="571" t="s">
        <v>1154</v>
      </c>
      <c r="M57" s="571"/>
    </row>
    <row r="58" spans="2:13" ht="18">
      <c r="B58" s="77"/>
      <c r="C58" s="514" t="s">
        <v>475</v>
      </c>
      <c r="D58" s="515" t="s">
        <v>895</v>
      </c>
      <c r="E58" s="526">
        <f>IF(E41=3,E23,0)</f>
        <v>0</v>
      </c>
      <c r="F58" s="526">
        <f>IF(F41=3,F23,0)</f>
        <v>0</v>
      </c>
      <c r="G58" s="526">
        <f>IF(G41=3,G23,0)</f>
        <v>0</v>
      </c>
      <c r="H58" s="526">
        <f>IF(H41=3,H23,0)</f>
        <v>0</v>
      </c>
      <c r="I58" s="526">
        <f>IF(I41=3,I23,0)</f>
        <v>0</v>
      </c>
      <c r="J58" s="526">
        <f>SUM(E58:I58)</f>
        <v>0</v>
      </c>
      <c r="K58" s="66"/>
      <c r="L58" s="571" t="s">
        <v>1150</v>
      </c>
      <c r="M58" s="571"/>
    </row>
    <row r="59" spans="2:13" ht="18">
      <c r="B59" s="77"/>
      <c r="C59" s="66"/>
      <c r="D59" s="515"/>
      <c r="E59" s="895"/>
      <c r="F59" s="895"/>
      <c r="G59" s="895"/>
      <c r="H59" s="895"/>
      <c r="I59" s="895"/>
      <c r="J59" s="895"/>
      <c r="K59" s="66"/>
      <c r="L59" s="571" t="s">
        <v>1151</v>
      </c>
      <c r="M59" s="571"/>
    </row>
    <row r="60" spans="2:13" ht="18">
      <c r="B60" s="77"/>
      <c r="C60" s="889" t="s">
        <v>1905</v>
      </c>
      <c r="D60" s="890"/>
      <c r="E60" s="526">
        <f>E33</f>
        <v>0</v>
      </c>
      <c r="F60" s="526">
        <f>F33</f>
        <v>0</v>
      </c>
      <c r="G60" s="526">
        <f>G33</f>
        <v>0</v>
      </c>
      <c r="H60" s="526">
        <f>H33</f>
        <v>0</v>
      </c>
      <c r="I60" s="526">
        <f>I33</f>
        <v>0</v>
      </c>
      <c r="J60" s="526">
        <f>SUM(E60:I60)</f>
        <v>0</v>
      </c>
      <c r="K60" s="66"/>
      <c r="L60" s="571" t="s">
        <v>1152</v>
      </c>
      <c r="M60" s="571"/>
    </row>
    <row r="61" spans="2:13" ht="18">
      <c r="B61" s="77"/>
      <c r="C61" s="80"/>
      <c r="D61" s="77"/>
      <c r="E61" s="82"/>
      <c r="F61" s="79"/>
      <c r="G61" s="79"/>
      <c r="H61" s="84"/>
      <c r="I61" s="79"/>
      <c r="J61" s="83"/>
      <c r="K61" s="66"/>
      <c r="L61" s="571"/>
      <c r="M61" s="571"/>
    </row>
    <row r="62" spans="2:13" ht="18">
      <c r="B62" s="77"/>
      <c r="C62" s="80"/>
      <c r="D62" s="77"/>
      <c r="E62" s="82"/>
      <c r="F62" s="79"/>
      <c r="G62" s="79"/>
      <c r="H62" s="84"/>
      <c r="I62" s="79"/>
      <c r="J62" s="83"/>
      <c r="K62" s="66"/>
      <c r="L62" s="571"/>
      <c r="M62" s="571"/>
    </row>
    <row r="63" spans="2:4" ht="15">
      <c r="B63" s="89"/>
      <c r="D63" s="90"/>
    </row>
    <row r="64" spans="2:4" ht="15">
      <c r="B64" s="89"/>
      <c r="D64" s="90"/>
    </row>
    <row r="65" spans="2:4" ht="15">
      <c r="B65" s="89"/>
      <c r="D65" s="90"/>
    </row>
    <row r="66" spans="2:4" ht="15">
      <c r="B66" s="89"/>
      <c r="D66" s="90"/>
    </row>
    <row r="67" spans="2:4" ht="15">
      <c r="B67" s="89"/>
      <c r="D67" s="90"/>
    </row>
    <row r="68" spans="2:4" ht="15">
      <c r="B68" s="89"/>
      <c r="D68" s="90"/>
    </row>
    <row r="69" spans="2:4" ht="15">
      <c r="B69" s="89"/>
      <c r="D69" s="90"/>
    </row>
    <row r="70" spans="2:4" ht="15">
      <c r="B70" s="89"/>
      <c r="D70" s="90"/>
    </row>
    <row r="71" spans="2:4" ht="15">
      <c r="B71" s="89"/>
      <c r="D71" s="90"/>
    </row>
    <row r="72" spans="2:4" ht="15">
      <c r="B72" s="89"/>
      <c r="D72" s="90"/>
    </row>
  </sheetData>
  <sheetProtection password="EC35" sheet="1" objects="1" scenarios="1"/>
  <dataValidations count="2">
    <dataValidation type="whole" operator="greaterThan" allowBlank="1" showInputMessage="1" showErrorMessage="1" errorTitle="SOCIAL INSURANCE NUMBER FORMAT" error="Enter a number without any -  or blanks&#10;Example  012034056" sqref="E31:I31">
      <formula1>0</formula1>
    </dataValidation>
    <dataValidation type="date" operator="greaterThan" allowBlank="1" showInputMessage="1" showErrorMessage="1" errorTitle="DATE ERROR" error="Must be a date and greater than 1950.&#10;Example:  2000-01-31" sqref="E29 F29 G29 H29 I29">
      <formula1>18264</formula1>
    </dataValidation>
  </dataValidations>
  <printOptions horizontalCentered="1"/>
  <pageMargins left="0" right="0" top="0" bottom="0" header="0.5" footer="0.5"/>
  <pageSetup fitToHeight="1" fitToWidth="1" horizontalDpi="600" verticalDpi="600" orientation="portrait" scale="58" r:id="rId4"/>
  <drawing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11111111">
    <pageSetUpPr fitToPage="1"/>
  </sheetPr>
  <dimension ref="A1:IV85"/>
  <sheetViews>
    <sheetView showGridLines="0" showRowColHeaders="0" zoomScale="60" zoomScaleNormal="60" workbookViewId="0" topLeftCell="C1">
      <selection activeCell="B1" sqref="B1"/>
    </sheetView>
  </sheetViews>
  <sheetFormatPr defaultColWidth="8.88671875" defaultRowHeight="15"/>
  <cols>
    <col min="1" max="1" width="1.77734375" style="67" customWidth="1"/>
    <col min="2" max="2" width="8.3359375" style="67" customWidth="1"/>
    <col min="3" max="3" width="34.77734375" style="67" customWidth="1"/>
    <col min="4" max="4" width="7.99609375" style="67" customWidth="1"/>
    <col min="5" max="10" width="12.21484375" style="67" customWidth="1"/>
    <col min="11" max="11" width="1.88671875" style="67" customWidth="1"/>
    <col min="12" max="16384" width="8.88671875" style="67" customWidth="1"/>
  </cols>
  <sheetData>
    <row r="1" spans="2:11" ht="18">
      <c r="B1" s="64"/>
      <c r="C1" s="62" t="s">
        <v>154</v>
      </c>
      <c r="D1" s="62"/>
      <c r="E1" s="562" t="s">
        <v>1647</v>
      </c>
      <c r="F1" s="64"/>
      <c r="G1" s="64"/>
      <c r="H1" s="65"/>
      <c r="I1" s="64"/>
      <c r="J1" s="65" t="s">
        <v>1584</v>
      </c>
      <c r="K1" s="66"/>
    </row>
    <row r="2" spans="2:11" ht="15.75">
      <c r="B2" s="64"/>
      <c r="C2" s="64"/>
      <c r="D2" s="68"/>
      <c r="E2" s="66"/>
      <c r="F2" s="64"/>
      <c r="G2" s="64"/>
      <c r="H2" s="64"/>
      <c r="I2" s="64"/>
      <c r="J2" s="64"/>
      <c r="K2" s="66"/>
    </row>
    <row r="3" spans="2:11" ht="18">
      <c r="B3" s="69"/>
      <c r="C3" s="69" t="s">
        <v>413</v>
      </c>
      <c r="D3" s="64"/>
      <c r="E3" s="68"/>
      <c r="F3" s="64"/>
      <c r="G3" s="64"/>
      <c r="H3" s="64"/>
      <c r="I3" s="64"/>
      <c r="J3" s="64"/>
      <c r="K3" s="66"/>
    </row>
    <row r="4" spans="2:11" ht="18">
      <c r="B4" s="69"/>
      <c r="C4" s="69" t="s">
        <v>879</v>
      </c>
      <c r="D4" s="64"/>
      <c r="E4" s="68"/>
      <c r="F4" s="64"/>
      <c r="G4" s="64"/>
      <c r="H4" s="64"/>
      <c r="I4" s="64"/>
      <c r="J4" s="64"/>
      <c r="K4" s="66"/>
    </row>
    <row r="5" spans="2:11" ht="18">
      <c r="B5" s="69"/>
      <c r="C5" s="69" t="s">
        <v>665</v>
      </c>
      <c r="D5" s="64"/>
      <c r="E5" s="68"/>
      <c r="F5" s="64"/>
      <c r="G5" s="64"/>
      <c r="H5" s="64"/>
      <c r="I5" s="64"/>
      <c r="J5" s="64"/>
      <c r="K5" s="66"/>
    </row>
    <row r="6" spans="2:11" ht="18">
      <c r="B6" s="69"/>
      <c r="C6" s="69" t="s">
        <v>666</v>
      </c>
      <c r="D6" s="64"/>
      <c r="E6" s="68"/>
      <c r="F6" s="64"/>
      <c r="G6" s="64"/>
      <c r="H6" s="64"/>
      <c r="I6" s="64"/>
      <c r="J6" s="64"/>
      <c r="K6" s="66"/>
    </row>
    <row r="7" spans="2:11" ht="18">
      <c r="B7" s="69"/>
      <c r="C7" s="69" t="s">
        <v>320</v>
      </c>
      <c r="D7" s="64"/>
      <c r="E7" s="68"/>
      <c r="F7" s="64"/>
      <c r="G7" s="64"/>
      <c r="H7" s="64"/>
      <c r="I7" s="64"/>
      <c r="J7" s="64"/>
      <c r="K7" s="66"/>
    </row>
    <row r="8" spans="2:11" ht="18">
      <c r="B8" s="69"/>
      <c r="C8" s="69" t="s">
        <v>667</v>
      </c>
      <c r="D8" s="64"/>
      <c r="E8" s="68"/>
      <c r="F8" s="64"/>
      <c r="G8" s="64"/>
      <c r="H8" s="64"/>
      <c r="I8" s="64"/>
      <c r="J8" s="64"/>
      <c r="K8" s="66"/>
    </row>
    <row r="9" spans="2:11" ht="18">
      <c r="B9" s="69"/>
      <c r="C9" s="69" t="s">
        <v>929</v>
      </c>
      <c r="D9" s="64"/>
      <c r="E9" s="68"/>
      <c r="F9" s="64"/>
      <c r="G9" s="64"/>
      <c r="H9" s="64"/>
      <c r="I9" s="64"/>
      <c r="J9" s="64"/>
      <c r="K9" s="66"/>
    </row>
    <row r="10" spans="2:11" ht="18">
      <c r="B10" s="69"/>
      <c r="C10" s="69" t="s">
        <v>155</v>
      </c>
      <c r="D10" s="64"/>
      <c r="E10" s="68"/>
      <c r="F10" s="64"/>
      <c r="G10" s="64"/>
      <c r="H10" s="64"/>
      <c r="I10" s="64"/>
      <c r="J10" s="64"/>
      <c r="K10" s="66"/>
    </row>
    <row r="11" spans="2:11" ht="18">
      <c r="B11" s="69"/>
      <c r="C11" s="69" t="s">
        <v>1775</v>
      </c>
      <c r="D11" s="64"/>
      <c r="E11" s="68"/>
      <c r="F11" s="64"/>
      <c r="G11" s="64"/>
      <c r="H11" s="64"/>
      <c r="I11" s="64"/>
      <c r="J11" s="64"/>
      <c r="K11" s="66"/>
    </row>
    <row r="12" spans="2:11" ht="18">
      <c r="B12" s="69"/>
      <c r="C12" s="69" t="s">
        <v>71</v>
      </c>
      <c r="D12" s="64"/>
      <c r="E12" s="68"/>
      <c r="F12" s="64"/>
      <c r="G12" s="64"/>
      <c r="H12" s="64"/>
      <c r="I12" s="64"/>
      <c r="J12" s="64"/>
      <c r="K12" s="66"/>
    </row>
    <row r="13" spans="2:11" ht="23.25">
      <c r="B13" s="620"/>
      <c r="C13" s="69"/>
      <c r="D13" s="64"/>
      <c r="E13" s="616"/>
      <c r="F13" s="64"/>
      <c r="G13" s="64"/>
      <c r="H13" s="64"/>
      <c r="I13" s="64"/>
      <c r="J13" s="64"/>
      <c r="K13" s="66"/>
    </row>
    <row r="14" spans="2:11" ht="36">
      <c r="B14" s="72" t="s">
        <v>1967</v>
      </c>
      <c r="C14" s="72" t="s">
        <v>1968</v>
      </c>
      <c r="D14" s="72" t="s">
        <v>1969</v>
      </c>
      <c r="E14" s="72" t="s">
        <v>75</v>
      </c>
      <c r="F14" s="72" t="s">
        <v>76</v>
      </c>
      <c r="G14" s="72" t="s">
        <v>77</v>
      </c>
      <c r="H14" s="72" t="s">
        <v>78</v>
      </c>
      <c r="I14" s="72" t="s">
        <v>79</v>
      </c>
      <c r="J14" s="73" t="s">
        <v>508</v>
      </c>
      <c r="K14" s="66"/>
    </row>
    <row r="15" spans="2:11" ht="18">
      <c r="B15" s="570"/>
      <c r="C15" s="570"/>
      <c r="D15" s="570"/>
      <c r="E15" s="570"/>
      <c r="F15" s="570"/>
      <c r="G15" s="570"/>
      <c r="H15" s="570"/>
      <c r="I15" s="570"/>
      <c r="J15" s="584"/>
      <c r="K15" s="66"/>
    </row>
    <row r="16" spans="2:11" ht="18">
      <c r="B16" s="77" t="s">
        <v>513</v>
      </c>
      <c r="C16" s="568" t="s">
        <v>68</v>
      </c>
      <c r="D16" s="77" t="s">
        <v>1457</v>
      </c>
      <c r="E16" s="569"/>
      <c r="F16" s="569"/>
      <c r="G16" s="569"/>
      <c r="H16" s="569"/>
      <c r="I16" s="569"/>
      <c r="J16" s="438">
        <f>SUM(E16:I16)</f>
        <v>0</v>
      </c>
      <c r="K16" s="66"/>
    </row>
    <row r="17" spans="2:11" ht="18">
      <c r="B17" s="77"/>
      <c r="C17" s="69" t="s">
        <v>1170</v>
      </c>
      <c r="D17" s="77"/>
      <c r="E17" s="914" t="s">
        <v>1673</v>
      </c>
      <c r="F17" s="914" t="s">
        <v>1673</v>
      </c>
      <c r="G17" s="914" t="s">
        <v>1673</v>
      </c>
      <c r="H17" s="914" t="s">
        <v>1673</v>
      </c>
      <c r="I17" s="914" t="s">
        <v>1673</v>
      </c>
      <c r="J17" s="438"/>
      <c r="K17" s="66"/>
    </row>
    <row r="18" spans="2:11" ht="18">
      <c r="B18" s="77"/>
      <c r="C18" s="69"/>
      <c r="D18" s="64"/>
      <c r="E18" s="68"/>
      <c r="F18" s="64"/>
      <c r="G18" s="64"/>
      <c r="H18" s="68"/>
      <c r="I18" s="64"/>
      <c r="J18" s="64"/>
      <c r="K18" s="66"/>
    </row>
    <row r="19" spans="2:11" ht="18">
      <c r="B19" s="77" t="s">
        <v>516</v>
      </c>
      <c r="C19" s="568" t="s">
        <v>69</v>
      </c>
      <c r="D19" s="92" t="s">
        <v>1457</v>
      </c>
      <c r="E19" s="569"/>
      <c r="F19" s="569"/>
      <c r="G19" s="569"/>
      <c r="H19" s="569"/>
      <c r="I19" s="569"/>
      <c r="J19" s="438">
        <f>SUM(E19:I19)</f>
        <v>0</v>
      </c>
      <c r="K19" s="66"/>
    </row>
    <row r="20" spans="2:11" ht="18">
      <c r="B20" s="77"/>
      <c r="C20" s="562"/>
      <c r="D20" s="62"/>
      <c r="E20" s="62"/>
      <c r="F20" s="62"/>
      <c r="G20" s="62"/>
      <c r="H20" s="62"/>
      <c r="I20" s="62"/>
      <c r="J20" s="62"/>
      <c r="K20" s="66"/>
    </row>
    <row r="21" spans="2:256" s="619" customFormat="1" ht="18">
      <c r="B21" s="77" t="s">
        <v>518</v>
      </c>
      <c r="C21" s="568" t="s">
        <v>70</v>
      </c>
      <c r="D21" s="92" t="s">
        <v>450</v>
      </c>
      <c r="E21" s="569"/>
      <c r="F21" s="569"/>
      <c r="G21" s="569"/>
      <c r="H21" s="569"/>
      <c r="I21" s="569"/>
      <c r="J21" s="438">
        <f>SUM(E21:I21)</f>
        <v>0</v>
      </c>
      <c r="K21" s="66"/>
      <c r="L21" s="618"/>
      <c r="M21" s="618"/>
      <c r="N21" s="618"/>
      <c r="O21" s="618"/>
      <c r="P21" s="618"/>
      <c r="Q21" s="618"/>
      <c r="R21" s="618"/>
      <c r="S21" s="618"/>
      <c r="T21" s="618"/>
      <c r="U21" s="618"/>
      <c r="V21" s="618"/>
      <c r="W21" s="618"/>
      <c r="X21" s="618"/>
      <c r="Y21" s="618"/>
      <c r="Z21" s="618"/>
      <c r="AA21" s="618"/>
      <c r="AB21" s="618"/>
      <c r="AC21" s="618"/>
      <c r="AD21" s="618"/>
      <c r="AE21" s="618"/>
      <c r="AF21" s="618"/>
      <c r="AG21" s="618"/>
      <c r="AH21" s="618"/>
      <c r="AI21" s="618"/>
      <c r="AJ21" s="618"/>
      <c r="AK21" s="618"/>
      <c r="AL21" s="618"/>
      <c r="AM21" s="618"/>
      <c r="AN21" s="618"/>
      <c r="AO21" s="618"/>
      <c r="AP21" s="618"/>
      <c r="AQ21" s="618"/>
      <c r="AR21" s="618"/>
      <c r="AS21" s="618"/>
      <c r="AT21" s="618"/>
      <c r="AU21" s="618"/>
      <c r="AV21" s="618"/>
      <c r="AW21" s="618"/>
      <c r="AX21" s="618"/>
      <c r="AY21" s="618"/>
      <c r="AZ21" s="618"/>
      <c r="BA21" s="618"/>
      <c r="BB21" s="618"/>
      <c r="BC21" s="618"/>
      <c r="BD21" s="618"/>
      <c r="BE21" s="618"/>
      <c r="BF21" s="618"/>
      <c r="BG21" s="618"/>
      <c r="BH21" s="618"/>
      <c r="BI21" s="618"/>
      <c r="BJ21" s="618"/>
      <c r="BK21" s="618"/>
      <c r="BL21" s="618"/>
      <c r="BM21" s="618"/>
      <c r="BN21" s="618"/>
      <c r="BO21" s="618"/>
      <c r="BP21" s="618"/>
      <c r="BQ21" s="618"/>
      <c r="BR21" s="618"/>
      <c r="BS21" s="618"/>
      <c r="BT21" s="618"/>
      <c r="BU21" s="618"/>
      <c r="BV21" s="618"/>
      <c r="BW21" s="618"/>
      <c r="BX21" s="618"/>
      <c r="BY21" s="618"/>
      <c r="BZ21" s="618"/>
      <c r="CA21" s="618"/>
      <c r="CB21" s="618"/>
      <c r="CC21" s="618"/>
      <c r="CD21" s="618"/>
      <c r="CE21" s="618"/>
      <c r="CF21" s="618"/>
      <c r="CG21" s="618"/>
      <c r="CH21" s="618"/>
      <c r="CI21" s="618"/>
      <c r="CJ21" s="618"/>
      <c r="CK21" s="618"/>
      <c r="CL21" s="618"/>
      <c r="CM21" s="618"/>
      <c r="CN21" s="618"/>
      <c r="CO21" s="618"/>
      <c r="CP21" s="618"/>
      <c r="CQ21" s="618"/>
      <c r="CR21" s="618"/>
      <c r="CS21" s="618"/>
      <c r="CT21" s="618"/>
      <c r="CU21" s="618"/>
      <c r="CV21" s="618"/>
      <c r="CW21" s="618"/>
      <c r="CX21" s="618"/>
      <c r="CY21" s="618"/>
      <c r="CZ21" s="618"/>
      <c r="DA21" s="618"/>
      <c r="DB21" s="618"/>
      <c r="DC21" s="618"/>
      <c r="DD21" s="618"/>
      <c r="DE21" s="618"/>
      <c r="DF21" s="618"/>
      <c r="DG21" s="618"/>
      <c r="DH21" s="618"/>
      <c r="DI21" s="618"/>
      <c r="DJ21" s="618"/>
      <c r="DK21" s="618"/>
      <c r="DL21" s="618"/>
      <c r="DM21" s="618"/>
      <c r="DN21" s="618"/>
      <c r="DO21" s="618"/>
      <c r="DP21" s="618"/>
      <c r="DQ21" s="618"/>
      <c r="DR21" s="618"/>
      <c r="DS21" s="618"/>
      <c r="DT21" s="618"/>
      <c r="DU21" s="618"/>
      <c r="DV21" s="618"/>
      <c r="DW21" s="618"/>
      <c r="DX21" s="618"/>
      <c r="DY21" s="618"/>
      <c r="DZ21" s="618"/>
      <c r="EA21" s="618"/>
      <c r="EB21" s="618"/>
      <c r="EC21" s="618"/>
      <c r="ED21" s="618"/>
      <c r="EE21" s="618"/>
      <c r="EF21" s="618"/>
      <c r="EG21" s="618"/>
      <c r="EH21" s="618"/>
      <c r="EI21" s="618"/>
      <c r="EJ21" s="618"/>
      <c r="EK21" s="618"/>
      <c r="EL21" s="618"/>
      <c r="EM21" s="618"/>
      <c r="EN21" s="618"/>
      <c r="EO21" s="618"/>
      <c r="EP21" s="618"/>
      <c r="EQ21" s="618"/>
      <c r="ER21" s="618"/>
      <c r="ES21" s="618"/>
      <c r="ET21" s="618"/>
      <c r="EU21" s="618"/>
      <c r="EV21" s="618"/>
      <c r="EW21" s="618"/>
      <c r="EX21" s="618"/>
      <c r="EY21" s="618"/>
      <c r="EZ21" s="618"/>
      <c r="FA21" s="618"/>
      <c r="FB21" s="618"/>
      <c r="FC21" s="618"/>
      <c r="FD21" s="618"/>
      <c r="FE21" s="618"/>
      <c r="FF21" s="618"/>
      <c r="FG21" s="618"/>
      <c r="FH21" s="618"/>
      <c r="FI21" s="618"/>
      <c r="FJ21" s="618"/>
      <c r="FK21" s="618"/>
      <c r="FL21" s="618"/>
      <c r="FM21" s="618"/>
      <c r="FN21" s="618"/>
      <c r="FO21" s="618"/>
      <c r="FP21" s="618"/>
      <c r="FQ21" s="618"/>
      <c r="FR21" s="618"/>
      <c r="FS21" s="618"/>
      <c r="FT21" s="618"/>
      <c r="FU21" s="618"/>
      <c r="FV21" s="618"/>
      <c r="FW21" s="618"/>
      <c r="FX21" s="618"/>
      <c r="FY21" s="618"/>
      <c r="FZ21" s="618"/>
      <c r="GA21" s="618"/>
      <c r="GB21" s="618"/>
      <c r="GC21" s="618"/>
      <c r="GD21" s="618"/>
      <c r="GE21" s="618"/>
      <c r="GF21" s="618"/>
      <c r="GG21" s="618"/>
      <c r="GH21" s="618"/>
      <c r="GI21" s="618"/>
      <c r="GJ21" s="618"/>
      <c r="GK21" s="618"/>
      <c r="GL21" s="618"/>
      <c r="GM21" s="618"/>
      <c r="GN21" s="618"/>
      <c r="GO21" s="618"/>
      <c r="GP21" s="618"/>
      <c r="GQ21" s="618"/>
      <c r="GR21" s="618"/>
      <c r="GS21" s="618"/>
      <c r="GT21" s="618"/>
      <c r="GU21" s="618"/>
      <c r="GV21" s="618"/>
      <c r="GW21" s="618"/>
      <c r="GX21" s="618"/>
      <c r="GY21" s="618"/>
      <c r="GZ21" s="618"/>
      <c r="HA21" s="618"/>
      <c r="HB21" s="618"/>
      <c r="HC21" s="618"/>
      <c r="HD21" s="618"/>
      <c r="HE21" s="618"/>
      <c r="HF21" s="618"/>
      <c r="HG21" s="618"/>
      <c r="HH21" s="618"/>
      <c r="HI21" s="618"/>
      <c r="HJ21" s="618"/>
      <c r="HK21" s="618"/>
      <c r="HL21" s="618"/>
      <c r="HM21" s="618"/>
      <c r="HN21" s="618"/>
      <c r="HO21" s="618"/>
      <c r="HP21" s="618"/>
      <c r="HQ21" s="618"/>
      <c r="HR21" s="618"/>
      <c r="HS21" s="618"/>
      <c r="HT21" s="618"/>
      <c r="HU21" s="618"/>
      <c r="HV21" s="618"/>
      <c r="HW21" s="618"/>
      <c r="HX21" s="618"/>
      <c r="HY21" s="618"/>
      <c r="HZ21" s="618"/>
      <c r="IA21" s="618"/>
      <c r="IB21" s="618"/>
      <c r="IC21" s="618"/>
      <c r="ID21" s="618"/>
      <c r="IE21" s="618"/>
      <c r="IF21" s="618"/>
      <c r="IG21" s="618"/>
      <c r="IH21" s="618"/>
      <c r="II21" s="618"/>
      <c r="IJ21" s="618"/>
      <c r="IK21" s="618"/>
      <c r="IL21" s="618"/>
      <c r="IM21" s="618"/>
      <c r="IN21" s="618"/>
      <c r="IO21" s="618"/>
      <c r="IP21" s="618"/>
      <c r="IQ21" s="618"/>
      <c r="IR21" s="618"/>
      <c r="IS21" s="618"/>
      <c r="IT21" s="618"/>
      <c r="IU21" s="618"/>
      <c r="IV21" s="618"/>
    </row>
    <row r="22" spans="2:256" s="619" customFormat="1" ht="36">
      <c r="B22" s="77"/>
      <c r="C22" s="823" t="s">
        <v>498</v>
      </c>
      <c r="D22" s="585" t="s">
        <v>1871</v>
      </c>
      <c r="E22" s="914" t="s">
        <v>1868</v>
      </c>
      <c r="F22" s="914" t="s">
        <v>1673</v>
      </c>
      <c r="G22" s="914" t="s">
        <v>1673</v>
      </c>
      <c r="H22" s="914" t="s">
        <v>1673</v>
      </c>
      <c r="I22" s="914" t="s">
        <v>1673</v>
      </c>
      <c r="J22" s="64"/>
      <c r="K22" s="66"/>
      <c r="L22" s="618"/>
      <c r="M22" s="618"/>
      <c r="N22" s="618"/>
      <c r="O22" s="618"/>
      <c r="P22" s="618"/>
      <c r="Q22" s="618"/>
      <c r="R22" s="618"/>
      <c r="S22" s="618"/>
      <c r="T22" s="618"/>
      <c r="U22" s="618"/>
      <c r="V22" s="618"/>
      <c r="W22" s="618"/>
      <c r="X22" s="618"/>
      <c r="Y22" s="618"/>
      <c r="Z22" s="618"/>
      <c r="AA22" s="618"/>
      <c r="AB22" s="618"/>
      <c r="AC22" s="618"/>
      <c r="AD22" s="618"/>
      <c r="AE22" s="618"/>
      <c r="AF22" s="618"/>
      <c r="AG22" s="618"/>
      <c r="AH22" s="618"/>
      <c r="AI22" s="618"/>
      <c r="AJ22" s="618"/>
      <c r="AK22" s="618"/>
      <c r="AL22" s="618"/>
      <c r="AM22" s="618"/>
      <c r="AN22" s="618"/>
      <c r="AO22" s="618"/>
      <c r="AP22" s="618"/>
      <c r="AQ22" s="618"/>
      <c r="AR22" s="618"/>
      <c r="AS22" s="618"/>
      <c r="AT22" s="618"/>
      <c r="AU22" s="618"/>
      <c r="AV22" s="618"/>
      <c r="AW22" s="618"/>
      <c r="AX22" s="618"/>
      <c r="AY22" s="618"/>
      <c r="AZ22" s="618"/>
      <c r="BA22" s="618"/>
      <c r="BB22" s="618"/>
      <c r="BC22" s="618"/>
      <c r="BD22" s="618"/>
      <c r="BE22" s="618"/>
      <c r="BF22" s="618"/>
      <c r="BG22" s="618"/>
      <c r="BH22" s="618"/>
      <c r="BI22" s="618"/>
      <c r="BJ22" s="618"/>
      <c r="BK22" s="618"/>
      <c r="BL22" s="618"/>
      <c r="BM22" s="618"/>
      <c r="BN22" s="618"/>
      <c r="BO22" s="618"/>
      <c r="BP22" s="618"/>
      <c r="BQ22" s="618"/>
      <c r="BR22" s="618"/>
      <c r="BS22" s="618"/>
      <c r="BT22" s="618"/>
      <c r="BU22" s="618"/>
      <c r="BV22" s="618"/>
      <c r="BW22" s="618"/>
      <c r="BX22" s="618"/>
      <c r="BY22" s="618"/>
      <c r="BZ22" s="618"/>
      <c r="CA22" s="618"/>
      <c r="CB22" s="618"/>
      <c r="CC22" s="618"/>
      <c r="CD22" s="618"/>
      <c r="CE22" s="618"/>
      <c r="CF22" s="618"/>
      <c r="CG22" s="618"/>
      <c r="CH22" s="618"/>
      <c r="CI22" s="618"/>
      <c r="CJ22" s="618"/>
      <c r="CK22" s="618"/>
      <c r="CL22" s="618"/>
      <c r="CM22" s="618"/>
      <c r="CN22" s="618"/>
      <c r="CO22" s="618"/>
      <c r="CP22" s="618"/>
      <c r="CQ22" s="618"/>
      <c r="CR22" s="618"/>
      <c r="CS22" s="618"/>
      <c r="CT22" s="618"/>
      <c r="CU22" s="618"/>
      <c r="CV22" s="618"/>
      <c r="CW22" s="618"/>
      <c r="CX22" s="618"/>
      <c r="CY22" s="618"/>
      <c r="CZ22" s="618"/>
      <c r="DA22" s="618"/>
      <c r="DB22" s="618"/>
      <c r="DC22" s="618"/>
      <c r="DD22" s="618"/>
      <c r="DE22" s="618"/>
      <c r="DF22" s="618"/>
      <c r="DG22" s="618"/>
      <c r="DH22" s="618"/>
      <c r="DI22" s="618"/>
      <c r="DJ22" s="618"/>
      <c r="DK22" s="618"/>
      <c r="DL22" s="618"/>
      <c r="DM22" s="618"/>
      <c r="DN22" s="618"/>
      <c r="DO22" s="618"/>
      <c r="DP22" s="618"/>
      <c r="DQ22" s="618"/>
      <c r="DR22" s="618"/>
      <c r="DS22" s="618"/>
      <c r="DT22" s="618"/>
      <c r="DU22" s="618"/>
      <c r="DV22" s="618"/>
      <c r="DW22" s="618"/>
      <c r="DX22" s="618"/>
      <c r="DY22" s="618"/>
      <c r="DZ22" s="618"/>
      <c r="EA22" s="618"/>
      <c r="EB22" s="618"/>
      <c r="EC22" s="618"/>
      <c r="ED22" s="618"/>
      <c r="EE22" s="618"/>
      <c r="EF22" s="618"/>
      <c r="EG22" s="618"/>
      <c r="EH22" s="618"/>
      <c r="EI22" s="618"/>
      <c r="EJ22" s="618"/>
      <c r="EK22" s="618"/>
      <c r="EL22" s="618"/>
      <c r="EM22" s="618"/>
      <c r="EN22" s="618"/>
      <c r="EO22" s="618"/>
      <c r="EP22" s="618"/>
      <c r="EQ22" s="618"/>
      <c r="ER22" s="618"/>
      <c r="ES22" s="618"/>
      <c r="ET22" s="618"/>
      <c r="EU22" s="618"/>
      <c r="EV22" s="618"/>
      <c r="EW22" s="618"/>
      <c r="EX22" s="618"/>
      <c r="EY22" s="618"/>
      <c r="EZ22" s="618"/>
      <c r="FA22" s="618"/>
      <c r="FB22" s="618"/>
      <c r="FC22" s="618"/>
      <c r="FD22" s="618"/>
      <c r="FE22" s="618"/>
      <c r="FF22" s="618"/>
      <c r="FG22" s="618"/>
      <c r="FH22" s="618"/>
      <c r="FI22" s="618"/>
      <c r="FJ22" s="618"/>
      <c r="FK22" s="618"/>
      <c r="FL22" s="618"/>
      <c r="FM22" s="618"/>
      <c r="FN22" s="618"/>
      <c r="FO22" s="618"/>
      <c r="FP22" s="618"/>
      <c r="FQ22" s="618"/>
      <c r="FR22" s="618"/>
      <c r="FS22" s="618"/>
      <c r="FT22" s="618"/>
      <c r="FU22" s="618"/>
      <c r="FV22" s="618"/>
      <c r="FW22" s="618"/>
      <c r="FX22" s="618"/>
      <c r="FY22" s="618"/>
      <c r="FZ22" s="618"/>
      <c r="GA22" s="618"/>
      <c r="GB22" s="618"/>
      <c r="GC22" s="618"/>
      <c r="GD22" s="618"/>
      <c r="GE22" s="618"/>
      <c r="GF22" s="618"/>
      <c r="GG22" s="618"/>
      <c r="GH22" s="618"/>
      <c r="GI22" s="618"/>
      <c r="GJ22" s="618"/>
      <c r="GK22" s="618"/>
      <c r="GL22" s="618"/>
      <c r="GM22" s="618"/>
      <c r="GN22" s="618"/>
      <c r="GO22" s="618"/>
      <c r="GP22" s="618"/>
      <c r="GQ22" s="618"/>
      <c r="GR22" s="618"/>
      <c r="GS22" s="618"/>
      <c r="GT22" s="618"/>
      <c r="GU22" s="618"/>
      <c r="GV22" s="618"/>
      <c r="GW22" s="618"/>
      <c r="GX22" s="618"/>
      <c r="GY22" s="618"/>
      <c r="GZ22" s="618"/>
      <c r="HA22" s="618"/>
      <c r="HB22" s="618"/>
      <c r="HC22" s="618"/>
      <c r="HD22" s="618"/>
      <c r="HE22" s="618"/>
      <c r="HF22" s="618"/>
      <c r="HG22" s="618"/>
      <c r="HH22" s="618"/>
      <c r="HI22" s="618"/>
      <c r="HJ22" s="618"/>
      <c r="HK22" s="618"/>
      <c r="HL22" s="618"/>
      <c r="HM22" s="618"/>
      <c r="HN22" s="618"/>
      <c r="HO22" s="618"/>
      <c r="HP22" s="618"/>
      <c r="HQ22" s="618"/>
      <c r="HR22" s="618"/>
      <c r="HS22" s="618"/>
      <c r="HT22" s="618"/>
      <c r="HU22" s="618"/>
      <c r="HV22" s="618"/>
      <c r="HW22" s="618"/>
      <c r="HX22" s="618"/>
      <c r="HY22" s="618"/>
      <c r="HZ22" s="618"/>
      <c r="IA22" s="618"/>
      <c r="IB22" s="618"/>
      <c r="IC22" s="618"/>
      <c r="ID22" s="618"/>
      <c r="IE22" s="618"/>
      <c r="IF22" s="618"/>
      <c r="IG22" s="618"/>
      <c r="IH22" s="618"/>
      <c r="II22" s="618"/>
      <c r="IJ22" s="618"/>
      <c r="IK22" s="618"/>
      <c r="IL22" s="618"/>
      <c r="IM22" s="618"/>
      <c r="IN22" s="618"/>
      <c r="IO22" s="618"/>
      <c r="IP22" s="618"/>
      <c r="IQ22" s="618"/>
      <c r="IR22" s="618"/>
      <c r="IS22" s="618"/>
      <c r="IT22" s="618"/>
      <c r="IU22" s="618"/>
      <c r="IV22" s="618"/>
    </row>
    <row r="23" spans="2:11" ht="18">
      <c r="B23" s="77"/>
      <c r="C23" s="69"/>
      <c r="D23" s="585"/>
      <c r="E23" s="62"/>
      <c r="F23" s="64"/>
      <c r="G23" s="64"/>
      <c r="H23" s="64"/>
      <c r="I23" s="64"/>
      <c r="J23" s="64"/>
      <c r="K23" s="66"/>
    </row>
    <row r="24" spans="2:11" ht="18">
      <c r="B24" s="77" t="s">
        <v>520</v>
      </c>
      <c r="C24" s="568" t="s">
        <v>451</v>
      </c>
      <c r="D24" s="92" t="s">
        <v>1457</v>
      </c>
      <c r="E24" s="569"/>
      <c r="F24" s="569"/>
      <c r="G24" s="569"/>
      <c r="H24" s="569"/>
      <c r="I24" s="569"/>
      <c r="J24" s="438">
        <f>SUM(E24:I24)</f>
        <v>0</v>
      </c>
      <c r="K24" s="66"/>
    </row>
    <row r="25" spans="2:11" ht="18">
      <c r="B25" s="77"/>
      <c r="C25" s="568" t="s">
        <v>452</v>
      </c>
      <c r="D25" s="583" t="s">
        <v>904</v>
      </c>
      <c r="E25" s="62"/>
      <c r="F25" s="64"/>
      <c r="G25" s="64"/>
      <c r="H25" s="64"/>
      <c r="I25" s="64"/>
      <c r="J25" s="64"/>
      <c r="K25" s="66"/>
    </row>
    <row r="26" spans="2:11" ht="18">
      <c r="B26" s="77" t="s">
        <v>792</v>
      </c>
      <c r="C26" s="568" t="s">
        <v>620</v>
      </c>
      <c r="D26" s="92"/>
      <c r="E26" s="569" t="s">
        <v>1673</v>
      </c>
      <c r="F26" s="569" t="s">
        <v>1673</v>
      </c>
      <c r="G26" s="569" t="s">
        <v>1673</v>
      </c>
      <c r="H26" s="569" t="s">
        <v>1673</v>
      </c>
      <c r="I26" s="569" t="s">
        <v>1673</v>
      </c>
      <c r="J26" s="64"/>
      <c r="K26" s="66"/>
    </row>
    <row r="27" spans="2:11" ht="18">
      <c r="B27" s="77"/>
      <c r="C27" s="568" t="s">
        <v>621</v>
      </c>
      <c r="D27" s="583"/>
      <c r="E27" s="62"/>
      <c r="F27" s="64"/>
      <c r="G27" s="64"/>
      <c r="H27" s="64"/>
      <c r="I27" s="64"/>
      <c r="J27" s="64"/>
      <c r="K27" s="66"/>
    </row>
    <row r="28" spans="2:11" ht="18">
      <c r="B28" s="77" t="s">
        <v>969</v>
      </c>
      <c r="C28" s="568" t="s">
        <v>1870</v>
      </c>
      <c r="D28" s="77" t="s">
        <v>444</v>
      </c>
      <c r="E28" s="569"/>
      <c r="F28" s="569"/>
      <c r="G28" s="569"/>
      <c r="H28" s="569"/>
      <c r="I28" s="569"/>
      <c r="J28" s="438">
        <f>SUM(E28:I28)</f>
        <v>0</v>
      </c>
      <c r="K28" s="66"/>
    </row>
    <row r="29" spans="2:11" ht="18">
      <c r="B29" s="69"/>
      <c r="C29" s="69"/>
      <c r="D29" s="64"/>
      <c r="E29" s="68"/>
      <c r="F29" s="64"/>
      <c r="G29" s="64"/>
      <c r="H29" s="64"/>
      <c r="I29" s="64"/>
      <c r="J29" s="64"/>
      <c r="K29" s="66"/>
    </row>
    <row r="30" spans="2:11" ht="18">
      <c r="B30" s="77" t="s">
        <v>794</v>
      </c>
      <c r="C30" s="568" t="s">
        <v>447</v>
      </c>
      <c r="D30" s="77" t="s">
        <v>1457</v>
      </c>
      <c r="E30" s="569"/>
      <c r="F30" s="569"/>
      <c r="G30" s="569"/>
      <c r="H30" s="569"/>
      <c r="I30" s="569"/>
      <c r="J30" s="438">
        <f>SUM(E30:I30)</f>
        <v>0</v>
      </c>
      <c r="K30" s="66"/>
    </row>
    <row r="31" spans="2:11" ht="25.5" customHeight="1">
      <c r="B31" s="77"/>
      <c r="C31" s="822" t="s">
        <v>448</v>
      </c>
      <c r="D31" s="821" t="s">
        <v>904</v>
      </c>
      <c r="E31" s="68"/>
      <c r="F31" s="64"/>
      <c r="G31" s="64"/>
      <c r="H31" s="68"/>
      <c r="I31" s="64"/>
      <c r="J31" s="64"/>
      <c r="K31" s="66"/>
    </row>
    <row r="32" spans="2:11" ht="18">
      <c r="B32" s="77" t="s">
        <v>971</v>
      </c>
      <c r="C32" s="568" t="s">
        <v>449</v>
      </c>
      <c r="D32" s="92" t="s">
        <v>450</v>
      </c>
      <c r="E32" s="569"/>
      <c r="F32" s="569"/>
      <c r="G32" s="569"/>
      <c r="H32" s="569"/>
      <c r="I32" s="569"/>
      <c r="J32" s="438">
        <f>SUM(E32:I32)</f>
        <v>0</v>
      </c>
      <c r="K32" s="66"/>
    </row>
    <row r="33" spans="2:11" ht="18">
      <c r="B33" s="77"/>
      <c r="C33" s="562"/>
      <c r="D33" s="62"/>
      <c r="E33" s="62"/>
      <c r="F33" s="62"/>
      <c r="G33" s="62"/>
      <c r="H33" s="62"/>
      <c r="I33" s="62"/>
      <c r="J33" s="62"/>
      <c r="K33" s="66"/>
    </row>
    <row r="34" spans="2:11" ht="18">
      <c r="B34" s="77" t="s">
        <v>94</v>
      </c>
      <c r="C34" s="568" t="s">
        <v>1777</v>
      </c>
      <c r="D34" s="92" t="s">
        <v>521</v>
      </c>
      <c r="E34" s="569"/>
      <c r="F34" s="569"/>
      <c r="G34" s="569"/>
      <c r="H34" s="569"/>
      <c r="I34" s="569"/>
      <c r="J34" s="438">
        <f>SUM(E34:I34)</f>
        <v>0</v>
      </c>
      <c r="K34" s="66"/>
    </row>
    <row r="35" spans="2:11" ht="18">
      <c r="B35" s="77"/>
      <c r="C35" s="69"/>
      <c r="D35" s="64"/>
      <c r="E35" s="62"/>
      <c r="F35" s="62"/>
      <c r="G35" s="62"/>
      <c r="H35" s="62"/>
      <c r="I35" s="62"/>
      <c r="J35" s="64"/>
      <c r="K35" s="66"/>
    </row>
    <row r="36" spans="2:11" ht="18">
      <c r="B36" s="77" t="s">
        <v>88</v>
      </c>
      <c r="C36" s="568" t="s">
        <v>447</v>
      </c>
      <c r="D36" s="77" t="s">
        <v>1457</v>
      </c>
      <c r="E36" s="569"/>
      <c r="F36" s="569"/>
      <c r="G36" s="569"/>
      <c r="H36" s="569"/>
      <c r="I36" s="569"/>
      <c r="J36" s="438">
        <f>SUM(E36:I36)</f>
        <v>0</v>
      </c>
      <c r="K36" s="66"/>
    </row>
    <row r="37" spans="2:11" ht="24" customHeight="1">
      <c r="B37" s="69"/>
      <c r="C37" s="822" t="s">
        <v>1157</v>
      </c>
      <c r="D37" s="64"/>
      <c r="E37" s="62"/>
      <c r="F37" s="64"/>
      <c r="G37" s="64"/>
      <c r="H37" s="64"/>
      <c r="I37" s="64"/>
      <c r="J37" s="64"/>
      <c r="K37" s="66"/>
    </row>
    <row r="38" spans="2:11" ht="18">
      <c r="B38" s="77" t="s">
        <v>93</v>
      </c>
      <c r="C38" s="568" t="s">
        <v>1798</v>
      </c>
      <c r="D38" s="92"/>
      <c r="E38" s="816"/>
      <c r="F38" s="816"/>
      <c r="G38" s="816"/>
      <c r="H38" s="816"/>
      <c r="I38" s="816"/>
      <c r="J38" s="64"/>
      <c r="K38" s="66"/>
    </row>
    <row r="39" spans="2:11" ht="18">
      <c r="B39" s="77"/>
      <c r="C39" s="69"/>
      <c r="D39" s="64"/>
      <c r="E39" s="62"/>
      <c r="F39" s="64"/>
      <c r="G39" s="64"/>
      <c r="H39" s="64"/>
      <c r="I39" s="64"/>
      <c r="J39" s="64"/>
      <c r="K39" s="66"/>
    </row>
    <row r="40" spans="2:11" ht="18">
      <c r="B40" s="77" t="s">
        <v>1804</v>
      </c>
      <c r="C40" s="568" t="s">
        <v>369</v>
      </c>
      <c r="D40" s="77"/>
      <c r="E40" s="569"/>
      <c r="F40" s="569"/>
      <c r="G40" s="569"/>
      <c r="H40" s="569"/>
      <c r="I40" s="569"/>
      <c r="J40" s="438">
        <f>SUM(E40:I40)</f>
        <v>0</v>
      </c>
      <c r="K40" s="66"/>
    </row>
    <row r="41" spans="2:11" ht="18">
      <c r="B41" s="69"/>
      <c r="C41" s="69"/>
      <c r="D41" s="64"/>
      <c r="E41" s="62"/>
      <c r="F41" s="64"/>
      <c r="G41" s="64"/>
      <c r="H41" s="64"/>
      <c r="I41" s="64"/>
      <c r="J41" s="64"/>
      <c r="K41" s="66"/>
    </row>
    <row r="42" spans="2:11" ht="18">
      <c r="B42" s="69"/>
      <c r="C42" s="69"/>
      <c r="D42" s="64"/>
      <c r="E42" s="68"/>
      <c r="F42" s="64"/>
      <c r="G42" s="64"/>
      <c r="H42" s="64"/>
      <c r="I42" s="64"/>
      <c r="J42" s="64"/>
      <c r="K42" s="66"/>
    </row>
    <row r="43" spans="2:11" ht="18">
      <c r="B43" s="69"/>
      <c r="C43" s="69"/>
      <c r="D43" s="64"/>
      <c r="E43" s="68"/>
      <c r="F43" s="64"/>
      <c r="G43" s="64"/>
      <c r="H43" s="64"/>
      <c r="I43" s="64"/>
      <c r="J43" s="64"/>
      <c r="K43" s="66"/>
    </row>
    <row r="44" spans="2:11" ht="18.75" thickBot="1">
      <c r="B44" s="517"/>
      <c r="C44" s="518"/>
      <c r="D44" s="517"/>
      <c r="E44" s="519"/>
      <c r="F44" s="520"/>
      <c r="G44" s="520"/>
      <c r="H44" s="521"/>
      <c r="I44" s="520"/>
      <c r="J44" s="522"/>
      <c r="K44" s="523"/>
    </row>
    <row r="45" spans="2:12" ht="18">
      <c r="B45" s="77"/>
      <c r="C45" s="62" t="s">
        <v>467</v>
      </c>
      <c r="D45" s="62"/>
      <c r="E45" s="562" t="s">
        <v>1647</v>
      </c>
      <c r="F45" s="64"/>
      <c r="G45" s="64"/>
      <c r="H45" s="65"/>
      <c r="I45" s="64"/>
      <c r="J45" s="65" t="s">
        <v>1584</v>
      </c>
      <c r="K45" s="66"/>
      <c r="L45" s="582"/>
    </row>
    <row r="46" spans="2:12" ht="18">
      <c r="B46" s="77"/>
      <c r="C46" s="62"/>
      <c r="D46" s="62"/>
      <c r="E46" s="562"/>
      <c r="F46" s="64"/>
      <c r="G46" s="64"/>
      <c r="H46" s="65"/>
      <c r="I46" s="64"/>
      <c r="J46" s="65"/>
      <c r="K46" s="66"/>
      <c r="L46" s="582"/>
    </row>
    <row r="47" spans="2:12" ht="18">
      <c r="B47" s="77"/>
      <c r="C47" s="62" t="s">
        <v>1168</v>
      </c>
      <c r="D47" s="62"/>
      <c r="E47" s="909">
        <f>IF(OR(E26="Yes",AND(E38&gt;0,E38='T1 GEN-1'!$T$25)),2,1)</f>
        <v>1</v>
      </c>
      <c r="F47" s="909">
        <f>IF(OR(F26="Yes",AND(F38&gt;0,F38='T1 GEN-1'!$T$25)),2,1)</f>
        <v>1</v>
      </c>
      <c r="G47" s="909">
        <f>IF(OR(G26="Yes",AND(G38&gt;0,G38='T1 GEN-1'!$T$25)),2,1)</f>
        <v>1</v>
      </c>
      <c r="H47" s="909">
        <f>IF(OR(H26="Yes",AND(H38&gt;0,H38='T1 GEN-1'!$T$25)),2,1)</f>
        <v>1</v>
      </c>
      <c r="I47" s="909">
        <f>IF(OR(I26="Yes",AND(I38&gt;0,I38='T1 GEN-1'!$T$25)),2,1)</f>
        <v>1</v>
      </c>
      <c r="J47" s="65"/>
      <c r="K47" s="66"/>
      <c r="L47" s="582"/>
    </row>
    <row r="48" spans="2:12" ht="18">
      <c r="B48" s="77"/>
      <c r="C48" s="80" t="s">
        <v>1171</v>
      </c>
      <c r="D48" s="77"/>
      <c r="E48" s="910">
        <f>IF(OR(age&gt;=65,E17="Yes"),2,1)</f>
        <v>1</v>
      </c>
      <c r="F48" s="910">
        <f>IF(OR(age&gt;=65,F17="Yes"),2,1)</f>
        <v>1</v>
      </c>
      <c r="G48" s="910">
        <f>IF(OR(age&gt;=65,G17="Yes"),2,1)</f>
        <v>1</v>
      </c>
      <c r="H48" s="910">
        <f>IF(OR(age&gt;=65,H17="Yes"),2,1)</f>
        <v>1</v>
      </c>
      <c r="I48" s="910">
        <f>IF(OR(age&gt;=65,I17="Yes"),2,1)</f>
        <v>1</v>
      </c>
      <c r="J48" s="83"/>
      <c r="K48" s="66"/>
      <c r="L48" s="582"/>
    </row>
    <row r="49" spans="2:12" ht="36">
      <c r="B49" s="77"/>
      <c r="C49" s="72" t="s">
        <v>465</v>
      </c>
      <c r="D49" s="72" t="s">
        <v>1969</v>
      </c>
      <c r="E49" s="896" t="s">
        <v>468</v>
      </c>
      <c r="F49" s="896" t="s">
        <v>469</v>
      </c>
      <c r="G49" s="896" t="s">
        <v>470</v>
      </c>
      <c r="H49" s="896" t="s">
        <v>471</v>
      </c>
      <c r="I49" s="896" t="s">
        <v>472</v>
      </c>
      <c r="J49" s="72" t="s">
        <v>218</v>
      </c>
      <c r="K49" s="66"/>
      <c r="L49" s="582"/>
    </row>
    <row r="50" spans="2:12" ht="18">
      <c r="B50" s="77"/>
      <c r="C50" s="514" t="s">
        <v>1163</v>
      </c>
      <c r="D50" s="622" t="s">
        <v>918</v>
      </c>
      <c r="E50" s="516">
        <f>IF(E48=2,E16,0)</f>
        <v>0</v>
      </c>
      <c r="F50" s="516">
        <f>IF(F48=2,F16,0)</f>
        <v>0</v>
      </c>
      <c r="G50" s="516">
        <f>IF(G48=2,G16,0)</f>
        <v>0</v>
      </c>
      <c r="H50" s="516">
        <f>IF(H48=2,H16,0)</f>
        <v>0</v>
      </c>
      <c r="I50" s="516">
        <f>IF(I48=2,I16,0)</f>
        <v>0</v>
      </c>
      <c r="J50" s="526">
        <f>SUM(E50:I50)</f>
        <v>0</v>
      </c>
      <c r="K50" s="66"/>
      <c r="L50" s="582"/>
    </row>
    <row r="51" spans="2:12" ht="18">
      <c r="B51" s="77"/>
      <c r="C51" s="514"/>
      <c r="D51" s="622"/>
      <c r="E51" s="898"/>
      <c r="F51" s="898"/>
      <c r="G51" s="898"/>
      <c r="H51" s="898"/>
      <c r="I51" s="898"/>
      <c r="J51" s="590"/>
      <c r="K51" s="66"/>
      <c r="L51" s="582"/>
    </row>
    <row r="52" spans="2:12" ht="18">
      <c r="B52" s="77"/>
      <c r="C52" s="514" t="s">
        <v>1912</v>
      </c>
      <c r="D52" s="515" t="s">
        <v>1457</v>
      </c>
      <c r="E52" s="526">
        <f>E16</f>
        <v>0</v>
      </c>
      <c r="F52" s="526">
        <f>F16</f>
        <v>0</v>
      </c>
      <c r="G52" s="526">
        <f>G16</f>
        <v>0</v>
      </c>
      <c r="H52" s="526">
        <f>H16</f>
        <v>0</v>
      </c>
      <c r="I52" s="526">
        <f>I16</f>
        <v>0</v>
      </c>
      <c r="J52" s="590"/>
      <c r="K52" s="66"/>
      <c r="L52" s="582"/>
    </row>
    <row r="53" spans="2:12" ht="18">
      <c r="B53" s="77"/>
      <c r="C53" s="514" t="s">
        <v>1164</v>
      </c>
      <c r="D53" s="515" t="s">
        <v>1457</v>
      </c>
      <c r="E53" s="526">
        <f>E19</f>
        <v>0</v>
      </c>
      <c r="F53" s="526">
        <f>F19</f>
        <v>0</v>
      </c>
      <c r="G53" s="526">
        <f>G19</f>
        <v>0</v>
      </c>
      <c r="H53" s="526">
        <f>H19</f>
        <v>0</v>
      </c>
      <c r="I53" s="526">
        <f>I19</f>
        <v>0</v>
      </c>
      <c r="J53" s="590"/>
      <c r="K53" s="66"/>
      <c r="L53" s="582"/>
    </row>
    <row r="54" spans="2:12" ht="18">
      <c r="B54" s="77"/>
      <c r="C54" s="514" t="s">
        <v>1913</v>
      </c>
      <c r="D54" s="515" t="s">
        <v>1457</v>
      </c>
      <c r="E54" s="526">
        <f>IF(E47=1,E21,0)</f>
        <v>0</v>
      </c>
      <c r="F54" s="526">
        <f>IF(F47=1,F21,0)</f>
        <v>0</v>
      </c>
      <c r="G54" s="526">
        <f>IF(G47=1,G21,0)</f>
        <v>0</v>
      </c>
      <c r="H54" s="526">
        <f>IF(H47=1,H21,0)</f>
        <v>0</v>
      </c>
      <c r="I54" s="526">
        <f>IF(I47=1,I21,0)</f>
        <v>0</v>
      </c>
      <c r="J54" s="590"/>
      <c r="K54" s="66"/>
      <c r="L54" s="582"/>
    </row>
    <row r="55" spans="2:12" ht="18">
      <c r="B55" s="77"/>
      <c r="C55" s="514" t="s">
        <v>1902</v>
      </c>
      <c r="D55" s="515" t="s">
        <v>1457</v>
      </c>
      <c r="E55" s="526">
        <f>IF(E47=1,E24,0)</f>
        <v>0</v>
      </c>
      <c r="F55" s="526">
        <f>IF(F47=1,F24,0)</f>
        <v>0</v>
      </c>
      <c r="G55" s="526">
        <f>IF(G47=1,G24,0)</f>
        <v>0</v>
      </c>
      <c r="H55" s="526">
        <f>IF(H47=1,H24,0)</f>
        <v>0</v>
      </c>
      <c r="I55" s="526">
        <f>IF(I47=1,I24,0)</f>
        <v>0</v>
      </c>
      <c r="J55" s="526">
        <f>SUM(E52:I58)</f>
        <v>0</v>
      </c>
      <c r="K55" s="66"/>
      <c r="L55" s="582"/>
    </row>
    <row r="56" spans="2:12" ht="18">
      <c r="B56" s="77"/>
      <c r="C56" s="514" t="s">
        <v>1165</v>
      </c>
      <c r="D56" s="515" t="s">
        <v>1457</v>
      </c>
      <c r="E56" s="526">
        <f>IF(E47=1,E30,0)</f>
        <v>0</v>
      </c>
      <c r="F56" s="526">
        <f>IF(F47=1,F30,0)</f>
        <v>0</v>
      </c>
      <c r="G56" s="526">
        <f>IF(G47=1,G30,0)</f>
        <v>0</v>
      </c>
      <c r="H56" s="526">
        <f>IF(H47=1,H30,0)</f>
        <v>0</v>
      </c>
      <c r="I56" s="526">
        <f>IF(I47=1,I30,0)</f>
        <v>0</v>
      </c>
      <c r="J56" s="590"/>
      <c r="K56" s="66"/>
      <c r="L56" s="582" t="s">
        <v>1136</v>
      </c>
    </row>
    <row r="57" spans="2:12" ht="18">
      <c r="B57" s="77"/>
      <c r="C57" s="514" t="s">
        <v>1160</v>
      </c>
      <c r="D57" s="515" t="s">
        <v>1457</v>
      </c>
      <c r="E57" s="526">
        <f>MAX(E32,0)</f>
        <v>0</v>
      </c>
      <c r="F57" s="526">
        <f>MAX(F32,0)</f>
        <v>0</v>
      </c>
      <c r="G57" s="526">
        <f>MAX(G32,0)</f>
        <v>0</v>
      </c>
      <c r="H57" s="526">
        <f>MAX(H32,0)</f>
        <v>0</v>
      </c>
      <c r="I57" s="526">
        <f>MAX(I32,0)</f>
        <v>0</v>
      </c>
      <c r="J57" s="590"/>
      <c r="K57" s="66"/>
      <c r="L57" s="582" t="s">
        <v>1137</v>
      </c>
    </row>
    <row r="58" spans="2:12" ht="18">
      <c r="B58" s="77"/>
      <c r="C58" s="514" t="s">
        <v>1159</v>
      </c>
      <c r="D58" s="515" t="s">
        <v>1457</v>
      </c>
      <c r="E58" s="526">
        <f>E36</f>
        <v>0</v>
      </c>
      <c r="F58" s="526">
        <f>F36</f>
        <v>0</v>
      </c>
      <c r="G58" s="526">
        <f>G36</f>
        <v>0</v>
      </c>
      <c r="H58" s="526">
        <f>H36</f>
        <v>0</v>
      </c>
      <c r="I58" s="526">
        <f>I36</f>
        <v>0</v>
      </c>
      <c r="J58" s="590"/>
      <c r="K58" s="66"/>
      <c r="L58" s="582" t="s">
        <v>1138</v>
      </c>
    </row>
    <row r="59" spans="2:12" ht="18">
      <c r="B59" s="77"/>
      <c r="C59" s="514"/>
      <c r="D59" s="515"/>
      <c r="E59" s="898"/>
      <c r="F59" s="898"/>
      <c r="G59" s="898"/>
      <c r="H59" s="898"/>
      <c r="I59" s="898"/>
      <c r="J59" s="898"/>
      <c r="K59" s="66"/>
      <c r="L59" s="582" t="s">
        <v>1139</v>
      </c>
    </row>
    <row r="60" spans="2:12" ht="18">
      <c r="B60" s="77"/>
      <c r="C60" s="514" t="s">
        <v>1162</v>
      </c>
      <c r="D60" s="515" t="s">
        <v>122</v>
      </c>
      <c r="E60" s="526">
        <f>IF(E22="Yes",E21,0)</f>
        <v>0</v>
      </c>
      <c r="F60" s="526">
        <f>IF(F22="Yes",F21,0)</f>
        <v>0</v>
      </c>
      <c r="G60" s="526">
        <f>IF(G22="Yes",G21,0)</f>
        <v>0</v>
      </c>
      <c r="H60" s="526">
        <f>IF(H22="Yes",H21,0)</f>
        <v>0</v>
      </c>
      <c r="I60" s="526">
        <f>IF(I22="Yes",I21,0)</f>
        <v>0</v>
      </c>
      <c r="J60" s="526">
        <f>SUM(E60:I61)</f>
        <v>0</v>
      </c>
      <c r="K60" s="66"/>
      <c r="L60" s="582" t="s">
        <v>1140</v>
      </c>
    </row>
    <row r="61" spans="2:12" ht="18">
      <c r="B61" s="77"/>
      <c r="C61" s="514" t="s">
        <v>1161</v>
      </c>
      <c r="D61" s="515" t="s">
        <v>122</v>
      </c>
      <c r="E61" s="526">
        <f>-MIN(0,E32)</f>
        <v>0</v>
      </c>
      <c r="F61" s="526">
        <f>-MIN(0,F32)</f>
        <v>0</v>
      </c>
      <c r="G61" s="526">
        <f>-MIN(0,G32)</f>
        <v>0</v>
      </c>
      <c r="H61" s="526">
        <f>-MIN(0,H32)</f>
        <v>0</v>
      </c>
      <c r="I61" s="526">
        <f>-MIN(0,I32)</f>
        <v>0</v>
      </c>
      <c r="J61" s="590"/>
      <c r="K61" s="66"/>
      <c r="L61" s="582" t="s">
        <v>1141</v>
      </c>
    </row>
    <row r="62" spans="2:12" ht="18">
      <c r="B62" s="77"/>
      <c r="C62" s="514"/>
      <c r="D62" s="515"/>
      <c r="E62" s="898"/>
      <c r="F62" s="898"/>
      <c r="G62" s="898"/>
      <c r="H62" s="898"/>
      <c r="I62" s="898"/>
      <c r="J62" s="898"/>
      <c r="K62" s="66"/>
      <c r="L62" s="582" t="s">
        <v>1144</v>
      </c>
    </row>
    <row r="63" spans="2:12" ht="18">
      <c r="B63" s="77"/>
      <c r="C63" s="514" t="s">
        <v>1555</v>
      </c>
      <c r="D63" s="515" t="s">
        <v>521</v>
      </c>
      <c r="E63" s="516">
        <f>E34</f>
        <v>0</v>
      </c>
      <c r="F63" s="516">
        <f>F34</f>
        <v>0</v>
      </c>
      <c r="G63" s="516">
        <f>G34</f>
        <v>0</v>
      </c>
      <c r="H63" s="516">
        <f>H34</f>
        <v>0</v>
      </c>
      <c r="I63" s="516">
        <f>I34</f>
        <v>0</v>
      </c>
      <c r="J63" s="516">
        <f>SUM(E63:I63)</f>
        <v>0</v>
      </c>
      <c r="K63" s="66"/>
      <c r="L63" s="582" t="s">
        <v>1220</v>
      </c>
    </row>
    <row r="64" spans="2:12" ht="18">
      <c r="B64" s="77"/>
      <c r="C64" s="514"/>
      <c r="D64" s="515"/>
      <c r="E64" s="898"/>
      <c r="F64" s="898"/>
      <c r="G64" s="898"/>
      <c r="H64" s="898"/>
      <c r="I64" s="898"/>
      <c r="J64" s="898"/>
      <c r="K64" s="66"/>
      <c r="L64" s="582" t="s">
        <v>1145</v>
      </c>
    </row>
    <row r="65" spans="2:12" ht="18">
      <c r="B65" s="77"/>
      <c r="C65" s="514" t="s">
        <v>133</v>
      </c>
      <c r="D65" s="515" t="s">
        <v>444</v>
      </c>
      <c r="E65" s="526">
        <f>E28</f>
        <v>0</v>
      </c>
      <c r="F65" s="526">
        <f>F28</f>
        <v>0</v>
      </c>
      <c r="G65" s="526">
        <f>G28</f>
        <v>0</v>
      </c>
      <c r="H65" s="526">
        <f>H28</f>
        <v>0</v>
      </c>
      <c r="I65" s="526">
        <f>I28</f>
        <v>0</v>
      </c>
      <c r="J65" s="516">
        <f>SUM(E65:I65)</f>
        <v>0</v>
      </c>
      <c r="K65" s="66"/>
      <c r="L65" s="571" t="s">
        <v>1172</v>
      </c>
    </row>
    <row r="66" spans="2:12" ht="18">
      <c r="B66" s="77"/>
      <c r="C66" s="514"/>
      <c r="D66" s="515"/>
      <c r="E66" s="898"/>
      <c r="F66" s="898"/>
      <c r="G66" s="898"/>
      <c r="H66" s="898"/>
      <c r="I66" s="898"/>
      <c r="J66" s="590"/>
      <c r="K66" s="66"/>
      <c r="L66" s="571" t="s">
        <v>1142</v>
      </c>
    </row>
    <row r="67" spans="2:12" ht="18">
      <c r="B67" s="77"/>
      <c r="C67" s="514" t="s">
        <v>1166</v>
      </c>
      <c r="D67" s="515" t="s">
        <v>661</v>
      </c>
      <c r="E67" s="526">
        <f>IF(E47=2,E21,0)</f>
        <v>0</v>
      </c>
      <c r="F67" s="526">
        <f>IF(F47=2,F21,0)</f>
        <v>0</v>
      </c>
      <c r="G67" s="526">
        <f>IF(G47=2,G21,0)</f>
        <v>0</v>
      </c>
      <c r="H67" s="526">
        <f>IF(H47=2,H21,0)</f>
        <v>0</v>
      </c>
      <c r="I67" s="526">
        <f>IF(I47=2,I21,0)</f>
        <v>0</v>
      </c>
      <c r="J67" s="590"/>
      <c r="K67" s="66"/>
      <c r="L67" s="571" t="s">
        <v>904</v>
      </c>
    </row>
    <row r="68" spans="2:12" ht="18">
      <c r="B68" s="77"/>
      <c r="C68" s="514" t="s">
        <v>1167</v>
      </c>
      <c r="D68" s="515" t="s">
        <v>661</v>
      </c>
      <c r="E68" s="526">
        <f>IF(E47=2,E24,0)</f>
        <v>0</v>
      </c>
      <c r="F68" s="526">
        <f>IF(F47=2,F24,0)</f>
        <v>0</v>
      </c>
      <c r="G68" s="526">
        <f>IF(G47=2,G24,0)</f>
        <v>0</v>
      </c>
      <c r="H68" s="526">
        <f>IF(H47=2,H24,0)</f>
        <v>0</v>
      </c>
      <c r="I68" s="526">
        <f>IF(I47=2,I24,0)</f>
        <v>0</v>
      </c>
      <c r="J68" s="526">
        <f>SUM(E67:I69)</f>
        <v>0</v>
      </c>
      <c r="K68" s="66"/>
      <c r="L68" s="571"/>
    </row>
    <row r="69" spans="2:12" ht="18">
      <c r="B69" s="77"/>
      <c r="C69" s="514" t="s">
        <v>1169</v>
      </c>
      <c r="D69" s="515" t="s">
        <v>661</v>
      </c>
      <c r="E69" s="526">
        <f>IF(E47=2,E30,0)</f>
        <v>0</v>
      </c>
      <c r="F69" s="526">
        <f>IF(F47=2,F30,0)</f>
        <v>0</v>
      </c>
      <c r="G69" s="526">
        <f>IF(G47=2,G30,0)</f>
        <v>0</v>
      </c>
      <c r="H69" s="526">
        <f>IF(H47=2,H30,0)</f>
        <v>0</v>
      </c>
      <c r="I69" s="526">
        <f>IF(I47=2,I30,0)</f>
        <v>0</v>
      </c>
      <c r="J69" s="590"/>
      <c r="K69" s="66"/>
      <c r="L69" s="571"/>
    </row>
    <row r="70" spans="2:12" ht="18">
      <c r="B70" s="77"/>
      <c r="C70" s="514"/>
      <c r="D70" s="515"/>
      <c r="E70" s="526"/>
      <c r="F70" s="526"/>
      <c r="G70" s="526"/>
      <c r="H70" s="526"/>
      <c r="I70" s="526"/>
      <c r="J70" s="526"/>
      <c r="K70" s="66"/>
      <c r="L70" s="571"/>
    </row>
    <row r="71" spans="2:12" ht="18">
      <c r="B71" s="77"/>
      <c r="C71" s="514" t="s">
        <v>1158</v>
      </c>
      <c r="D71" s="515"/>
      <c r="E71" s="526">
        <f>E40</f>
        <v>0</v>
      </c>
      <c r="F71" s="526">
        <f>F40</f>
        <v>0</v>
      </c>
      <c r="G71" s="526">
        <f>G40</f>
        <v>0</v>
      </c>
      <c r="H71" s="526">
        <f>H40</f>
        <v>0</v>
      </c>
      <c r="I71" s="526">
        <f>I40</f>
        <v>0</v>
      </c>
      <c r="J71" s="516">
        <f>SUM(E71:I71)</f>
        <v>0</v>
      </c>
      <c r="K71" s="66"/>
      <c r="L71" s="571"/>
    </row>
    <row r="72" spans="2:12" ht="18">
      <c r="B72" s="77"/>
      <c r="C72" s="80"/>
      <c r="D72" s="77"/>
      <c r="E72" s="82"/>
      <c r="F72" s="868"/>
      <c r="G72" s="571"/>
      <c r="H72" s="571"/>
      <c r="I72" s="571"/>
      <c r="J72" s="571"/>
      <c r="K72" s="66"/>
      <c r="L72" s="582"/>
    </row>
    <row r="73" spans="1:12" ht="18">
      <c r="A73" s="67">
        <v>0</v>
      </c>
      <c r="B73" s="77"/>
      <c r="C73" s="80"/>
      <c r="D73" s="77"/>
      <c r="E73" s="82"/>
      <c r="F73" s="897"/>
      <c r="G73" s="79"/>
      <c r="H73" s="84"/>
      <c r="I73" s="79"/>
      <c r="J73" s="83"/>
      <c r="K73" s="66"/>
      <c r="L73" s="582"/>
    </row>
    <row r="74" spans="2:4" ht="15">
      <c r="B74" s="89"/>
      <c r="D74" s="90"/>
    </row>
    <row r="75" spans="2:4" ht="15">
      <c r="B75" s="89"/>
      <c r="D75" s="90"/>
    </row>
    <row r="76" spans="2:4" ht="15">
      <c r="B76" s="89"/>
      <c r="D76" s="90"/>
    </row>
    <row r="77" spans="2:4" ht="15">
      <c r="B77" s="89"/>
      <c r="D77" s="90"/>
    </row>
    <row r="78" spans="2:4" ht="15">
      <c r="B78" s="89"/>
      <c r="D78" s="90"/>
    </row>
    <row r="79" spans="2:4" ht="15">
      <c r="B79" s="89"/>
      <c r="D79" s="90"/>
    </row>
    <row r="80" spans="2:4" ht="15">
      <c r="B80" s="89"/>
      <c r="D80" s="90"/>
    </row>
    <row r="81" spans="2:4" ht="15">
      <c r="B81" s="89"/>
      <c r="D81" s="90"/>
    </row>
    <row r="82" spans="2:4" ht="15">
      <c r="B82" s="89"/>
      <c r="D82" s="90"/>
    </row>
    <row r="83" spans="2:4" ht="15">
      <c r="B83" s="89"/>
      <c r="D83" s="90"/>
    </row>
    <row r="84" spans="2:4" ht="15">
      <c r="B84" s="89"/>
      <c r="D84" s="90"/>
    </row>
    <row r="85" spans="2:4" ht="15">
      <c r="B85" s="89"/>
      <c r="D85" s="90"/>
    </row>
  </sheetData>
  <sheetProtection password="EC35" sheet="1" objects="1" scenarios="1"/>
  <dataValidations count="2">
    <dataValidation type="whole" operator="greaterThan" allowBlank="1" showInputMessage="1" showErrorMessage="1" errorTitle="SOCIAL INSURANCE NUMBER FORMAT" error="Enter a number without any  - or blanks&#10;Example:  012034056&#10;" sqref="E38:I38">
      <formula1>0</formula1>
    </dataValidation>
    <dataValidation type="list" allowBlank="1" showInputMessage="1" showErrorMessage="1" sqref="E17:I17 E26:I26 E22:I22">
      <formula1>"Yes,No"</formula1>
    </dataValidation>
  </dataValidations>
  <printOptions horizontalCentered="1"/>
  <pageMargins left="0" right="0" top="0" bottom="0" header="0.5" footer="0.5"/>
  <pageSetup fitToHeight="1" fitToWidth="1" horizontalDpi="600" verticalDpi="600" orientation="portrait" scale="52" r:id="rId4"/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6"/>
  <dimension ref="A1:O135"/>
  <sheetViews>
    <sheetView showGridLines="0" showRowColHeaders="0" zoomScale="68" zoomScaleNormal="68" workbookViewId="0" topLeftCell="A1">
      <selection activeCell="B1" sqref="B1"/>
    </sheetView>
  </sheetViews>
  <sheetFormatPr defaultColWidth="8.88671875" defaultRowHeight="15"/>
  <cols>
    <col min="1" max="1" width="3.21484375" style="0" customWidth="1"/>
    <col min="2" max="2" width="4.99609375" style="0" customWidth="1"/>
    <col min="3" max="3" width="10.77734375" style="0" customWidth="1"/>
    <col min="4" max="4" width="4.77734375" style="0" customWidth="1"/>
    <col min="5" max="5" width="12.77734375" style="0" customWidth="1"/>
    <col min="6" max="6" width="2.77734375" style="0" customWidth="1"/>
    <col min="7" max="7" width="15.77734375" style="0" customWidth="1"/>
    <col min="10" max="10" width="6.77734375" style="0" customWidth="1"/>
    <col min="11" max="11" width="13.3359375" style="0" bestFit="1" customWidth="1"/>
    <col min="12" max="12" width="12.77734375" style="0" customWidth="1"/>
    <col min="13" max="13" width="4.77734375" style="0" customWidth="1"/>
    <col min="14" max="14" width="12.77734375" style="0" customWidth="1"/>
    <col min="15" max="15" width="3.6640625" style="0" customWidth="1"/>
  </cols>
  <sheetData>
    <row r="1" spans="1:15" ht="15">
      <c r="A1" s="173"/>
      <c r="B1" s="475"/>
      <c r="C1" s="475"/>
      <c r="D1" s="480" t="s">
        <v>4</v>
      </c>
      <c r="E1" s="10"/>
      <c r="F1" s="478" t="s">
        <v>1956</v>
      </c>
      <c r="G1" s="10"/>
      <c r="H1" s="10"/>
      <c r="I1" s="10"/>
      <c r="J1" s="10"/>
      <c r="K1" s="475"/>
      <c r="L1" s="475"/>
      <c r="M1" s="475"/>
      <c r="N1" s="475"/>
      <c r="O1" s="173"/>
    </row>
    <row r="2" spans="1:15" ht="20.25">
      <c r="A2" s="173"/>
      <c r="B2" s="475"/>
      <c r="C2" s="475"/>
      <c r="D2" s="479" t="s">
        <v>1957</v>
      </c>
      <c r="E2" s="10"/>
      <c r="F2" s="479" t="s">
        <v>1958</v>
      </c>
      <c r="G2" s="10"/>
      <c r="H2" s="16"/>
      <c r="I2" s="475"/>
      <c r="J2" s="481" t="s">
        <v>275</v>
      </c>
      <c r="K2" s="475"/>
      <c r="L2" s="475"/>
      <c r="M2" s="475"/>
      <c r="N2" s="475"/>
      <c r="O2" s="173"/>
    </row>
    <row r="3" spans="1:15" ht="15">
      <c r="A3" s="173"/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173"/>
    </row>
    <row r="4" spans="1:15" ht="15.75">
      <c r="A4" s="173"/>
      <c r="B4" s="475" t="s">
        <v>270</v>
      </c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173"/>
    </row>
    <row r="5" spans="1:15" ht="15">
      <c r="A5" s="173"/>
      <c r="B5" s="475" t="s">
        <v>271</v>
      </c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173"/>
    </row>
    <row r="6" spans="1:15" ht="15">
      <c r="A6" s="173"/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173"/>
    </row>
    <row r="7" spans="1:15" ht="15">
      <c r="A7" s="173"/>
      <c r="B7" s="475" t="s">
        <v>1972</v>
      </c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173"/>
    </row>
    <row r="8" spans="1:15" ht="15">
      <c r="A8" s="173"/>
      <c r="B8" s="475" t="s">
        <v>1973</v>
      </c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173"/>
    </row>
    <row r="9" spans="1:15" ht="15">
      <c r="A9" s="173"/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173"/>
    </row>
    <row r="10" spans="1:15" ht="15.75">
      <c r="A10" s="173"/>
      <c r="B10" s="475" t="s">
        <v>272</v>
      </c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173"/>
    </row>
    <row r="11" spans="1:15" ht="15.75">
      <c r="A11" s="173"/>
      <c r="B11" s="475" t="s">
        <v>273</v>
      </c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173"/>
    </row>
    <row r="12" spans="1:15" ht="15.75">
      <c r="A12" s="173"/>
      <c r="B12" s="475" t="s">
        <v>274</v>
      </c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173"/>
    </row>
    <row r="13" spans="1:15" ht="15">
      <c r="A13" s="173"/>
      <c r="B13" s="475"/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173"/>
    </row>
    <row r="14" spans="1:15" ht="20.25">
      <c r="A14" s="204"/>
      <c r="B14" s="485" t="s">
        <v>276</v>
      </c>
      <c r="C14" s="485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07"/>
    </row>
    <row r="15" spans="1:15" ht="15">
      <c r="A15" s="199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5"/>
    </row>
    <row r="16" spans="1:15" ht="15.75">
      <c r="A16" s="199"/>
      <c r="B16" s="213" t="s">
        <v>1081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5"/>
    </row>
    <row r="17" spans="1:15" ht="15">
      <c r="A17" s="199"/>
      <c r="B17" s="213" t="s">
        <v>277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491" t="s">
        <v>757</v>
      </c>
      <c r="O17" s="215"/>
    </row>
    <row r="18" spans="1:15" ht="15">
      <c r="A18" s="199"/>
      <c r="B18" s="1000"/>
      <c r="C18" s="1000"/>
      <c r="D18" s="1000"/>
      <c r="E18" s="1000"/>
      <c r="F18" s="1000"/>
      <c r="G18" s="1000"/>
      <c r="H18" s="484"/>
      <c r="I18" s="484"/>
      <c r="J18" s="484"/>
      <c r="K18" s="484"/>
      <c r="L18" s="484"/>
      <c r="M18" s="213"/>
      <c r="N18" s="482"/>
      <c r="O18" s="215"/>
    </row>
    <row r="19" spans="1:15" ht="15">
      <c r="A19" s="199"/>
      <c r="B19" s="999"/>
      <c r="C19" s="999"/>
      <c r="D19" s="999"/>
      <c r="E19" s="999"/>
      <c r="F19" s="999"/>
      <c r="G19" s="999"/>
      <c r="H19" s="484"/>
      <c r="I19" s="484"/>
      <c r="J19" s="484"/>
      <c r="K19" s="484"/>
      <c r="L19" s="484"/>
      <c r="M19" s="213"/>
      <c r="N19" s="482"/>
      <c r="O19" s="215"/>
    </row>
    <row r="20" spans="1:15" ht="15">
      <c r="A20" s="199"/>
      <c r="B20" s="1001"/>
      <c r="C20" s="1001"/>
      <c r="D20" s="1001"/>
      <c r="E20" s="1001"/>
      <c r="F20" s="1001"/>
      <c r="G20" s="1001"/>
      <c r="H20" s="484"/>
      <c r="I20" s="484"/>
      <c r="J20" s="484"/>
      <c r="K20" s="484"/>
      <c r="L20" s="484"/>
      <c r="M20" s="213"/>
      <c r="N20" s="482"/>
      <c r="O20" s="215"/>
    </row>
    <row r="21" spans="1:15" ht="15">
      <c r="A21" s="199"/>
      <c r="B21" s="999"/>
      <c r="C21" s="999"/>
      <c r="D21" s="999"/>
      <c r="E21" s="999"/>
      <c r="F21" s="999"/>
      <c r="G21" s="999"/>
      <c r="H21" s="484"/>
      <c r="I21" s="484"/>
      <c r="J21" s="484"/>
      <c r="K21" s="484"/>
      <c r="L21" s="484"/>
      <c r="M21" s="213"/>
      <c r="N21" s="482"/>
      <c r="O21" s="215"/>
    </row>
    <row r="22" spans="1:15" ht="15">
      <c r="A22" s="199"/>
      <c r="B22" s="999"/>
      <c r="C22" s="999"/>
      <c r="D22" s="999"/>
      <c r="E22" s="999"/>
      <c r="F22" s="999"/>
      <c r="G22" s="999"/>
      <c r="H22" s="484"/>
      <c r="I22" s="484"/>
      <c r="J22" s="484"/>
      <c r="K22" s="484"/>
      <c r="L22" s="484"/>
      <c r="M22" s="213"/>
      <c r="N22" s="483"/>
      <c r="O22" s="215"/>
    </row>
    <row r="23" spans="1:15" ht="15">
      <c r="A23" s="199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5"/>
    </row>
    <row r="24" spans="1:15" ht="12" customHeight="1">
      <c r="A24" s="199"/>
      <c r="B24" s="493" t="s">
        <v>278</v>
      </c>
      <c r="C24" s="213"/>
      <c r="D24" s="213"/>
      <c r="E24" s="492" t="s">
        <v>281</v>
      </c>
      <c r="F24" s="213"/>
      <c r="G24" s="213" t="s">
        <v>1082</v>
      </c>
      <c r="H24" s="213"/>
      <c r="I24" s="213"/>
      <c r="J24" s="213"/>
      <c r="K24" s="213"/>
      <c r="L24" s="213"/>
      <c r="M24" s="213"/>
      <c r="N24" s="487" t="s">
        <v>1084</v>
      </c>
      <c r="O24" s="215"/>
    </row>
    <row r="25" spans="1:15" ht="12" customHeight="1">
      <c r="A25" s="199"/>
      <c r="B25" s="493" t="s">
        <v>279</v>
      </c>
      <c r="C25" s="213"/>
      <c r="D25" s="213"/>
      <c r="E25" s="492" t="s">
        <v>282</v>
      </c>
      <c r="F25" s="213"/>
      <c r="G25" s="486" t="s">
        <v>1083</v>
      </c>
      <c r="H25" s="213"/>
      <c r="I25" s="213"/>
      <c r="J25" s="213"/>
      <c r="K25" s="213"/>
      <c r="L25" s="213"/>
      <c r="M25" s="213"/>
      <c r="N25" s="487" t="s">
        <v>6</v>
      </c>
      <c r="O25" s="215"/>
    </row>
    <row r="26" spans="1:15" ht="12" customHeight="1">
      <c r="A26" s="199"/>
      <c r="B26" s="493" t="s">
        <v>280</v>
      </c>
      <c r="C26" s="213"/>
      <c r="D26" s="213"/>
      <c r="E26" s="493" t="s">
        <v>283</v>
      </c>
      <c r="F26" s="213"/>
      <c r="G26" s="213"/>
      <c r="H26" s="213"/>
      <c r="I26" s="213"/>
      <c r="J26" s="213"/>
      <c r="K26" s="213"/>
      <c r="L26" s="213"/>
      <c r="M26" s="213"/>
      <c r="N26" s="487" t="s">
        <v>5</v>
      </c>
      <c r="O26" s="215"/>
    </row>
    <row r="27" spans="1:15" ht="15">
      <c r="A27" s="199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5"/>
    </row>
    <row r="28" spans="1:15" ht="15">
      <c r="A28" s="199"/>
      <c r="B28" s="1000"/>
      <c r="C28" s="1000"/>
      <c r="D28" s="213"/>
      <c r="E28" s="158"/>
      <c r="F28" s="213"/>
      <c r="G28" s="1000"/>
      <c r="H28" s="1000"/>
      <c r="I28" s="1000"/>
      <c r="J28" s="1000"/>
      <c r="K28" s="1000"/>
      <c r="L28" s="1000"/>
      <c r="M28" s="213"/>
      <c r="N28" s="490"/>
      <c r="O28" s="215"/>
    </row>
    <row r="29" spans="1:15" ht="15">
      <c r="A29" s="199"/>
      <c r="B29" s="999"/>
      <c r="C29" s="999"/>
      <c r="D29" s="213"/>
      <c r="E29" s="158"/>
      <c r="F29" s="213"/>
      <c r="G29" s="999"/>
      <c r="H29" s="999"/>
      <c r="I29" s="999"/>
      <c r="J29" s="999"/>
      <c r="K29" s="999"/>
      <c r="L29" s="999"/>
      <c r="M29" s="213"/>
      <c r="N29" s="490"/>
      <c r="O29" s="215"/>
    </row>
    <row r="30" spans="1:15" ht="15">
      <c r="A30" s="199"/>
      <c r="B30" s="999"/>
      <c r="C30" s="999"/>
      <c r="D30" s="213"/>
      <c r="E30" s="158"/>
      <c r="F30" s="213"/>
      <c r="G30" s="999"/>
      <c r="H30" s="999"/>
      <c r="I30" s="999"/>
      <c r="J30" s="999"/>
      <c r="K30" s="999"/>
      <c r="L30" s="999"/>
      <c r="M30" s="213"/>
      <c r="N30" s="490"/>
      <c r="O30" s="215"/>
    </row>
    <row r="31" spans="1:15" ht="15">
      <c r="A31" s="199"/>
      <c r="B31" s="999"/>
      <c r="C31" s="999"/>
      <c r="D31" s="213"/>
      <c r="E31" s="158"/>
      <c r="F31" s="213"/>
      <c r="G31" s="999"/>
      <c r="H31" s="999"/>
      <c r="I31" s="999"/>
      <c r="J31" s="999"/>
      <c r="K31" s="999"/>
      <c r="L31" s="999"/>
      <c r="M31" s="213"/>
      <c r="N31" s="490"/>
      <c r="O31" s="215"/>
    </row>
    <row r="32" spans="1:15" ht="15">
      <c r="A32" s="199"/>
      <c r="B32" s="999"/>
      <c r="C32" s="999"/>
      <c r="D32" s="213"/>
      <c r="E32" s="158"/>
      <c r="F32" s="213"/>
      <c r="G32" s="999"/>
      <c r="H32" s="999"/>
      <c r="I32" s="999"/>
      <c r="J32" s="999"/>
      <c r="K32" s="999"/>
      <c r="L32" s="999"/>
      <c r="M32" s="213"/>
      <c r="N32" s="490"/>
      <c r="O32" s="215"/>
    </row>
    <row r="33" spans="1:15" ht="15.75">
      <c r="A33" s="199"/>
      <c r="B33" s="213"/>
      <c r="C33" s="488" t="s">
        <v>508</v>
      </c>
      <c r="D33" s="213"/>
      <c r="E33" s="163">
        <f>SUM(E28:E32)</f>
        <v>0</v>
      </c>
      <c r="F33" s="213"/>
      <c r="G33" s="213"/>
      <c r="H33" s="213"/>
      <c r="I33" s="213"/>
      <c r="J33" s="213"/>
      <c r="K33" s="213"/>
      <c r="L33" s="213"/>
      <c r="M33" s="213"/>
      <c r="N33" s="213"/>
      <c r="O33" s="215"/>
    </row>
    <row r="34" spans="1:15" ht="15">
      <c r="A34" s="199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5"/>
    </row>
    <row r="35" spans="1:15" ht="15.75">
      <c r="A35" s="199"/>
      <c r="B35" s="486" t="s">
        <v>402</v>
      </c>
      <c r="C35" s="213" t="s">
        <v>7</v>
      </c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5"/>
    </row>
    <row r="36" spans="1:15" ht="15.75">
      <c r="A36" s="199"/>
      <c r="B36" s="213"/>
      <c r="C36" s="213" t="s">
        <v>8</v>
      </c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5"/>
    </row>
    <row r="37" spans="1:15" ht="15.75">
      <c r="A37" s="199"/>
      <c r="B37" s="213"/>
      <c r="C37" s="213" t="s">
        <v>9</v>
      </c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5"/>
    </row>
    <row r="38" spans="1:15" ht="15">
      <c r="A38" s="199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5"/>
    </row>
    <row r="39" spans="1:15" ht="15.75">
      <c r="A39" s="202"/>
      <c r="B39" s="494" t="s">
        <v>1085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489" t="s">
        <v>10</v>
      </c>
      <c r="N39" s="158"/>
      <c r="O39" s="216"/>
    </row>
    <row r="40" spans="1:15" ht="15">
      <c r="A40" s="173"/>
      <c r="B40" s="475"/>
      <c r="C40" s="475"/>
      <c r="D40" s="475"/>
      <c r="E40" s="475"/>
      <c r="F40" s="475"/>
      <c r="G40" s="475"/>
      <c r="H40" s="475"/>
      <c r="I40" s="475"/>
      <c r="J40" s="475"/>
      <c r="K40" s="475"/>
      <c r="L40" s="475"/>
      <c r="M40" s="213"/>
      <c r="N40" s="475"/>
      <c r="O40" s="173"/>
    </row>
    <row r="41" spans="1:15" ht="15">
      <c r="A41" s="173"/>
      <c r="B41" s="475"/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213"/>
      <c r="N41" s="475"/>
      <c r="O41" s="173"/>
    </row>
    <row r="42" spans="1:15" ht="20.25">
      <c r="A42" s="204"/>
      <c r="B42" s="485" t="s">
        <v>908</v>
      </c>
      <c r="C42" s="485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07"/>
    </row>
    <row r="43" spans="1:15" ht="15">
      <c r="A43" s="199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5"/>
    </row>
    <row r="44" spans="1:15" ht="15">
      <c r="A44" s="199"/>
      <c r="B44" s="213" t="s">
        <v>909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5"/>
    </row>
    <row r="45" spans="1:15" ht="15">
      <c r="A45" s="199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5"/>
    </row>
    <row r="46" spans="1:15" ht="15.75">
      <c r="A46" s="199"/>
      <c r="B46" s="213" t="s">
        <v>222</v>
      </c>
      <c r="C46" s="213"/>
      <c r="D46" s="213"/>
      <c r="E46" s="213"/>
      <c r="F46" s="213"/>
      <c r="G46" s="213"/>
      <c r="H46" s="213"/>
      <c r="I46" s="498"/>
      <c r="J46" s="498"/>
      <c r="K46" s="490"/>
      <c r="L46" s="495" t="s">
        <v>225</v>
      </c>
      <c r="M46" s="213"/>
      <c r="N46" s="163">
        <f>K46*7000</f>
        <v>0</v>
      </c>
      <c r="O46" s="496" t="s">
        <v>661</v>
      </c>
    </row>
    <row r="47" spans="1:15" ht="15.75">
      <c r="A47" s="199"/>
      <c r="B47" s="213" t="s">
        <v>223</v>
      </c>
      <c r="C47" s="213"/>
      <c r="D47" s="213"/>
      <c r="E47" s="213"/>
      <c r="F47" s="213"/>
      <c r="G47" s="213"/>
      <c r="H47" s="213"/>
      <c r="I47" s="499"/>
      <c r="J47" s="499"/>
      <c r="K47" s="490"/>
      <c r="L47" s="495" t="s">
        <v>226</v>
      </c>
      <c r="M47" s="489" t="s">
        <v>1205</v>
      </c>
      <c r="N47" s="163">
        <f>K47*10000</f>
        <v>0</v>
      </c>
      <c r="O47" s="496" t="s">
        <v>302</v>
      </c>
    </row>
    <row r="48" spans="1:15" ht="15.75">
      <c r="A48" s="199"/>
      <c r="B48" s="213" t="s">
        <v>224</v>
      </c>
      <c r="C48" s="213"/>
      <c r="D48" s="213"/>
      <c r="E48" s="213"/>
      <c r="F48" s="213"/>
      <c r="G48" s="213"/>
      <c r="H48" s="213"/>
      <c r="I48" s="500"/>
      <c r="J48" s="500"/>
      <c r="K48" s="213"/>
      <c r="L48" s="213"/>
      <c r="M48" s="213"/>
      <c r="N48" s="213"/>
      <c r="O48" s="497"/>
    </row>
    <row r="49" spans="1:15" ht="15.75">
      <c r="A49" s="199"/>
      <c r="B49" s="213" t="s">
        <v>910</v>
      </c>
      <c r="C49" s="213"/>
      <c r="D49" s="213"/>
      <c r="E49" s="213"/>
      <c r="F49" s="213"/>
      <c r="G49" s="213"/>
      <c r="H49" s="498"/>
      <c r="I49" s="498"/>
      <c r="J49" s="498"/>
      <c r="K49" s="490"/>
      <c r="L49" s="495" t="s">
        <v>227</v>
      </c>
      <c r="M49" s="213"/>
      <c r="N49" s="163">
        <f>K49*4000</f>
        <v>0</v>
      </c>
      <c r="O49" s="496" t="s">
        <v>303</v>
      </c>
    </row>
    <row r="50" spans="1:15" ht="15">
      <c r="A50" s="199"/>
      <c r="B50" s="213" t="s">
        <v>911</v>
      </c>
      <c r="C50" s="213"/>
      <c r="D50" s="498"/>
      <c r="E50" s="498"/>
      <c r="F50" s="498"/>
      <c r="G50" s="498"/>
      <c r="H50" s="498"/>
      <c r="I50" s="498"/>
      <c r="J50" s="498"/>
      <c r="K50" s="498"/>
      <c r="L50" s="498"/>
      <c r="M50" s="213"/>
      <c r="N50" s="163">
        <f>SUM(N46:N49)</f>
        <v>0</v>
      </c>
      <c r="O50" s="496" t="s">
        <v>304</v>
      </c>
    </row>
    <row r="51" spans="1:15" ht="15">
      <c r="A51" s="199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5"/>
    </row>
    <row r="52" spans="1:15" ht="15.75">
      <c r="A52" s="199"/>
      <c r="B52" s="213" t="s">
        <v>228</v>
      </c>
      <c r="C52" s="213"/>
      <c r="D52" s="213"/>
      <c r="E52" s="213"/>
      <c r="F52" s="213"/>
      <c r="G52" s="498"/>
      <c r="H52" s="498"/>
      <c r="I52" s="498"/>
      <c r="J52" s="498"/>
      <c r="K52" s="498"/>
      <c r="L52" s="498"/>
      <c r="M52" s="213"/>
      <c r="N52" s="163">
        <f>E33</f>
        <v>0</v>
      </c>
      <c r="O52" s="496" t="s">
        <v>305</v>
      </c>
    </row>
    <row r="53" spans="1:15" ht="15">
      <c r="A53" s="199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5"/>
    </row>
    <row r="54" spans="1:15" ht="15.75">
      <c r="A54" s="199"/>
      <c r="B54" s="213" t="s">
        <v>229</v>
      </c>
      <c r="C54" s="213"/>
      <c r="D54" s="213"/>
      <c r="E54" s="498"/>
      <c r="F54" s="498"/>
      <c r="G54" s="498"/>
      <c r="H54" s="498"/>
      <c r="I54" s="498"/>
      <c r="J54" s="498"/>
      <c r="K54" s="158"/>
      <c r="L54" s="495" t="s">
        <v>230</v>
      </c>
      <c r="M54" s="213"/>
      <c r="N54" s="163">
        <f>ROUND(K54*(2/3),2)</f>
        <v>0</v>
      </c>
      <c r="O54" s="496" t="s">
        <v>306</v>
      </c>
    </row>
    <row r="55" spans="1:15" ht="15">
      <c r="A55" s="199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5"/>
    </row>
    <row r="56" spans="1:15" ht="15.75">
      <c r="A56" s="199"/>
      <c r="B56" s="213" t="s">
        <v>231</v>
      </c>
      <c r="C56" s="213"/>
      <c r="D56" s="213"/>
      <c r="E56" s="213"/>
      <c r="F56" s="213"/>
      <c r="G56" s="213"/>
      <c r="H56" s="498"/>
      <c r="I56" s="498"/>
      <c r="J56" s="498"/>
      <c r="K56" s="498"/>
      <c r="L56" s="498"/>
      <c r="M56" s="213"/>
      <c r="N56" s="163">
        <f>MINA(N50,N52,N54)</f>
        <v>0</v>
      </c>
      <c r="O56" s="496" t="s">
        <v>1402</v>
      </c>
    </row>
    <row r="57" spans="1:15" ht="15">
      <c r="A57" s="199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5"/>
    </row>
    <row r="58" spans="1:15" ht="15.75">
      <c r="A58" s="199"/>
      <c r="B58" s="486" t="s">
        <v>1199</v>
      </c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5"/>
    </row>
    <row r="59" spans="1:15" ht="15">
      <c r="A59" s="199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5"/>
    </row>
    <row r="60" spans="1:15" ht="15">
      <c r="A60" s="199"/>
      <c r="B60" s="213" t="s">
        <v>1200</v>
      </c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5"/>
    </row>
    <row r="61" spans="1:15" ht="15">
      <c r="A61" s="199"/>
      <c r="B61" s="213" t="s">
        <v>1201</v>
      </c>
      <c r="C61" s="213"/>
      <c r="D61" s="213"/>
      <c r="E61" s="213"/>
      <c r="F61" s="213"/>
      <c r="G61" s="498"/>
      <c r="H61" s="498"/>
      <c r="I61" s="498"/>
      <c r="J61" s="498"/>
      <c r="K61" s="498"/>
      <c r="L61" s="498"/>
      <c r="M61" s="213"/>
      <c r="N61" s="158"/>
      <c r="O61" s="496" t="s">
        <v>307</v>
      </c>
    </row>
    <row r="62" spans="1:15" ht="17.25" customHeight="1">
      <c r="A62" s="199"/>
      <c r="B62" s="213" t="s">
        <v>1202</v>
      </c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5"/>
    </row>
    <row r="63" spans="1:15" ht="15.75">
      <c r="A63" s="199"/>
      <c r="B63" s="213" t="s">
        <v>1448</v>
      </c>
      <c r="C63" s="213"/>
      <c r="D63" s="213"/>
      <c r="E63" s="213"/>
      <c r="F63" s="213"/>
      <c r="G63" s="213"/>
      <c r="H63" s="498"/>
      <c r="I63" s="498"/>
      <c r="J63" s="498"/>
      <c r="K63" s="213"/>
      <c r="L63" s="488" t="s">
        <v>1449</v>
      </c>
      <c r="M63" s="213"/>
      <c r="N63" s="163">
        <f>IF(B77="",N56-N61,0)</f>
        <v>0</v>
      </c>
      <c r="O63" s="496" t="s">
        <v>887</v>
      </c>
    </row>
    <row r="64" spans="1:15" ht="15">
      <c r="A64" s="199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5"/>
    </row>
    <row r="65" spans="1:15" ht="15">
      <c r="A65" s="199"/>
      <c r="B65" s="213" t="s">
        <v>1463</v>
      </c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5"/>
    </row>
    <row r="66" spans="1:15" ht="15">
      <c r="A66" s="199"/>
      <c r="B66" s="213" t="s">
        <v>54</v>
      </c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5"/>
    </row>
    <row r="67" spans="1:15" ht="15">
      <c r="A67" s="202"/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6"/>
    </row>
    <row r="68" spans="1:15" ht="23.25">
      <c r="A68" s="173"/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213"/>
      <c r="N68" s="475"/>
      <c r="O68" s="501" t="s">
        <v>232</v>
      </c>
    </row>
    <row r="69" spans="1:15" ht="15">
      <c r="A69" s="173"/>
      <c r="B69" s="475"/>
      <c r="C69" s="475"/>
      <c r="D69" s="475"/>
      <c r="E69" s="475"/>
      <c r="F69" s="475"/>
      <c r="G69" s="475"/>
      <c r="H69" s="475"/>
      <c r="I69" s="475"/>
      <c r="J69" s="475"/>
      <c r="K69" s="475"/>
      <c r="L69" s="475"/>
      <c r="M69" s="213"/>
      <c r="N69" s="475"/>
      <c r="O69" s="173"/>
    </row>
    <row r="70" spans="1:15" ht="15">
      <c r="A70" s="173"/>
      <c r="B70" s="475"/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213"/>
      <c r="N70" s="475"/>
      <c r="O70" s="173"/>
    </row>
    <row r="71" spans="1:15" ht="20.25">
      <c r="A71" s="173"/>
      <c r="B71" s="476" t="s">
        <v>55</v>
      </c>
      <c r="C71" s="476"/>
      <c r="D71" s="475"/>
      <c r="E71" s="475"/>
      <c r="F71" s="475"/>
      <c r="G71" s="475"/>
      <c r="H71" s="475"/>
      <c r="I71" s="475"/>
      <c r="J71" s="475"/>
      <c r="K71" s="475"/>
      <c r="L71" s="475"/>
      <c r="M71" s="213"/>
      <c r="N71" s="475"/>
      <c r="O71" s="173"/>
    </row>
    <row r="72" spans="1:15" ht="15">
      <c r="A72" s="173"/>
      <c r="B72" s="475"/>
      <c r="C72" s="475"/>
      <c r="D72" s="475"/>
      <c r="E72" s="475"/>
      <c r="F72" s="475"/>
      <c r="G72" s="475"/>
      <c r="H72" s="475"/>
      <c r="I72" s="475"/>
      <c r="J72" s="475"/>
      <c r="K72" s="475"/>
      <c r="L72" s="475"/>
      <c r="M72" s="213"/>
      <c r="N72" s="475"/>
      <c r="O72" s="173"/>
    </row>
    <row r="73" spans="1:15" ht="15">
      <c r="A73" s="173"/>
      <c r="B73" s="475" t="s">
        <v>56</v>
      </c>
      <c r="C73" s="475"/>
      <c r="D73" s="475"/>
      <c r="E73" s="475"/>
      <c r="F73" s="475"/>
      <c r="G73" s="475"/>
      <c r="H73" s="475"/>
      <c r="I73" s="475"/>
      <c r="J73" s="475"/>
      <c r="K73" s="475"/>
      <c r="L73" s="475"/>
      <c r="M73" s="213"/>
      <c r="N73" s="475"/>
      <c r="O73" s="173"/>
    </row>
    <row r="74" spans="1:15" ht="15">
      <c r="A74" s="173"/>
      <c r="B74" s="475" t="s">
        <v>57</v>
      </c>
      <c r="C74" s="475"/>
      <c r="D74" s="475"/>
      <c r="E74" s="475"/>
      <c r="F74" s="475"/>
      <c r="G74" s="475"/>
      <c r="H74" s="475"/>
      <c r="I74" s="475"/>
      <c r="J74" s="475"/>
      <c r="K74" s="475"/>
      <c r="L74" s="475"/>
      <c r="M74" s="213"/>
      <c r="N74" s="475"/>
      <c r="O74" s="173"/>
    </row>
    <row r="75" spans="1:15" ht="15">
      <c r="A75" s="173"/>
      <c r="B75" s="475"/>
      <c r="C75" s="475"/>
      <c r="D75" s="475"/>
      <c r="E75" s="475"/>
      <c r="F75" s="475"/>
      <c r="G75" s="475"/>
      <c r="H75" s="475"/>
      <c r="I75" s="475"/>
      <c r="J75" s="475"/>
      <c r="K75" s="475"/>
      <c r="L75" s="475"/>
      <c r="M75" s="213"/>
      <c r="N75" s="475"/>
      <c r="O75" s="173"/>
    </row>
    <row r="76" spans="1:15" ht="15">
      <c r="A76" s="173"/>
      <c r="B76" s="475" t="s">
        <v>58</v>
      </c>
      <c r="C76" s="475"/>
      <c r="D76" s="475"/>
      <c r="E76" s="475"/>
      <c r="F76" s="475"/>
      <c r="G76" s="475"/>
      <c r="H76" s="475"/>
      <c r="I76" s="475"/>
      <c r="J76" s="475"/>
      <c r="K76" s="505" t="s">
        <v>1798</v>
      </c>
      <c r="L76" s="475"/>
      <c r="M76" s="213"/>
      <c r="N76" s="505" t="s">
        <v>603</v>
      </c>
      <c r="O76" s="173"/>
    </row>
    <row r="77" spans="1:15" ht="19.5" customHeight="1">
      <c r="A77" s="173"/>
      <c r="B77" s="971"/>
      <c r="C77" s="971"/>
      <c r="D77" s="971"/>
      <c r="E77" s="971"/>
      <c r="F77" s="971"/>
      <c r="G77" s="971"/>
      <c r="H77" s="475"/>
      <c r="I77" s="475"/>
      <c r="J77" s="475"/>
      <c r="K77" s="506"/>
      <c r="L77" s="475"/>
      <c r="M77" s="213"/>
      <c r="N77" s="158"/>
      <c r="O77" s="173"/>
    </row>
    <row r="78" spans="1:15" ht="15">
      <c r="A78" s="173"/>
      <c r="B78" s="475"/>
      <c r="C78" s="475"/>
      <c r="D78" s="475"/>
      <c r="E78" s="475"/>
      <c r="F78" s="475"/>
      <c r="G78" s="475"/>
      <c r="H78" s="475"/>
      <c r="I78" s="475"/>
      <c r="J78" s="475"/>
      <c r="K78" s="475"/>
      <c r="L78" s="475"/>
      <c r="M78" s="213"/>
      <c r="N78" s="475"/>
      <c r="O78" s="173"/>
    </row>
    <row r="79" spans="1:15" ht="18">
      <c r="A79" s="173"/>
      <c r="B79" s="508"/>
      <c r="C79" s="475" t="s">
        <v>1532</v>
      </c>
      <c r="D79" s="475"/>
      <c r="E79" s="475"/>
      <c r="F79" s="475"/>
      <c r="G79" s="475"/>
      <c r="H79" s="475"/>
      <c r="I79" s="475"/>
      <c r="J79" s="475"/>
      <c r="K79" s="475"/>
      <c r="L79" s="475"/>
      <c r="M79" s="213"/>
      <c r="N79" s="475"/>
      <c r="O79" s="173"/>
    </row>
    <row r="80" spans="1:15" ht="15">
      <c r="A80" s="173"/>
      <c r="B80" s="475"/>
      <c r="C80" s="475" t="s">
        <v>950</v>
      </c>
      <c r="D80" s="475"/>
      <c r="E80" s="475"/>
      <c r="F80" s="475"/>
      <c r="G80" s="475"/>
      <c r="H80" s="475"/>
      <c r="I80" s="475"/>
      <c r="J80" s="475"/>
      <c r="K80" s="475"/>
      <c r="L80" s="475"/>
      <c r="M80" s="213"/>
      <c r="N80" s="475"/>
      <c r="O80" s="173"/>
    </row>
    <row r="81" spans="1:15" ht="15">
      <c r="A81" s="173"/>
      <c r="B81" s="475"/>
      <c r="C81" s="475"/>
      <c r="D81" s="475"/>
      <c r="E81" s="475"/>
      <c r="F81" s="475"/>
      <c r="G81" s="475"/>
      <c r="H81" s="475"/>
      <c r="I81" s="475"/>
      <c r="J81" s="475"/>
      <c r="K81" s="475"/>
      <c r="L81" s="475"/>
      <c r="M81" s="213"/>
      <c r="N81" s="475"/>
      <c r="O81" s="173"/>
    </row>
    <row r="82" spans="1:15" ht="18">
      <c r="A82" s="173"/>
      <c r="B82" s="508"/>
      <c r="C82" s="475" t="s">
        <v>1533</v>
      </c>
      <c r="D82" s="475"/>
      <c r="E82" s="475"/>
      <c r="F82" s="475"/>
      <c r="G82" s="475"/>
      <c r="H82" s="475"/>
      <c r="I82" s="475"/>
      <c r="J82" s="475"/>
      <c r="K82" s="475"/>
      <c r="L82" s="475"/>
      <c r="M82" s="213"/>
      <c r="N82" s="475"/>
      <c r="O82" s="173"/>
    </row>
    <row r="83" spans="1:15" ht="15">
      <c r="A83" s="173"/>
      <c r="B83" s="475"/>
      <c r="C83" s="475" t="s">
        <v>950</v>
      </c>
      <c r="D83" s="475"/>
      <c r="E83" s="475"/>
      <c r="F83" s="475"/>
      <c r="G83" s="475"/>
      <c r="H83" s="475"/>
      <c r="I83" s="475"/>
      <c r="J83" s="475"/>
      <c r="K83" s="475"/>
      <c r="L83" s="475"/>
      <c r="M83" s="213"/>
      <c r="N83" s="475"/>
      <c r="O83" s="173"/>
    </row>
    <row r="84" spans="1:15" ht="15">
      <c r="A84" s="173"/>
      <c r="B84" s="475"/>
      <c r="C84" s="475"/>
      <c r="D84" s="475"/>
      <c r="E84" s="475"/>
      <c r="F84" s="475"/>
      <c r="G84" s="475"/>
      <c r="H84" s="475"/>
      <c r="I84" s="475"/>
      <c r="J84" s="475"/>
      <c r="K84" s="475"/>
      <c r="L84" s="475"/>
      <c r="M84" s="213"/>
      <c r="N84" s="475"/>
      <c r="O84" s="173"/>
    </row>
    <row r="85" spans="1:15" ht="18">
      <c r="A85" s="173"/>
      <c r="B85" s="508"/>
      <c r="C85" s="475" t="s">
        <v>1976</v>
      </c>
      <c r="D85" s="475"/>
      <c r="E85" s="475"/>
      <c r="F85" s="475"/>
      <c r="G85" s="475"/>
      <c r="H85" s="475"/>
      <c r="I85" s="475"/>
      <c r="J85" s="475"/>
      <c r="K85" s="475"/>
      <c r="L85" s="475"/>
      <c r="M85" s="213"/>
      <c r="N85" s="475"/>
      <c r="O85" s="173"/>
    </row>
    <row r="86" spans="1:15" ht="15">
      <c r="A86" s="173"/>
      <c r="B86" s="475"/>
      <c r="C86" s="475" t="s">
        <v>1977</v>
      </c>
      <c r="D86" s="475"/>
      <c r="E86" s="475"/>
      <c r="F86" s="475"/>
      <c r="G86" s="475"/>
      <c r="H86" s="475"/>
      <c r="I86" s="475"/>
      <c r="J86" s="475"/>
      <c r="K86" s="475"/>
      <c r="L86" s="475"/>
      <c r="M86" s="213"/>
      <c r="N86" s="475"/>
      <c r="O86" s="173"/>
    </row>
    <row r="87" spans="1:15" ht="15">
      <c r="A87" s="173"/>
      <c r="B87" s="475"/>
      <c r="C87" s="475" t="s">
        <v>1660</v>
      </c>
      <c r="D87" s="475"/>
      <c r="E87" s="475"/>
      <c r="F87" s="475"/>
      <c r="G87" s="475"/>
      <c r="H87" s="475"/>
      <c r="I87" s="475"/>
      <c r="J87" s="475"/>
      <c r="K87" s="475"/>
      <c r="L87" s="475"/>
      <c r="M87" s="213"/>
      <c r="N87" s="475"/>
      <c r="O87" s="173"/>
    </row>
    <row r="88" spans="1:15" ht="15">
      <c r="A88" s="173"/>
      <c r="B88" s="475"/>
      <c r="C88" s="475"/>
      <c r="D88" s="475"/>
      <c r="E88" s="475"/>
      <c r="F88" s="475"/>
      <c r="G88" s="475"/>
      <c r="H88" s="475"/>
      <c r="I88" s="475"/>
      <c r="J88" s="475"/>
      <c r="K88" s="475"/>
      <c r="L88" s="475"/>
      <c r="M88" s="213"/>
      <c r="N88" s="475"/>
      <c r="O88" s="173"/>
    </row>
    <row r="89" spans="1:15" ht="18">
      <c r="A89" s="173"/>
      <c r="B89" s="508"/>
      <c r="C89" s="475" t="s">
        <v>1661</v>
      </c>
      <c r="D89" s="475"/>
      <c r="E89" s="475"/>
      <c r="F89" s="475"/>
      <c r="G89" s="475"/>
      <c r="H89" s="475"/>
      <c r="I89" s="475"/>
      <c r="J89" s="475"/>
      <c r="K89" s="475"/>
      <c r="L89" s="475"/>
      <c r="M89" s="213"/>
      <c r="N89" s="475"/>
      <c r="O89" s="173"/>
    </row>
    <row r="90" spans="1:15" ht="15">
      <c r="A90" s="173"/>
      <c r="B90" s="475"/>
      <c r="C90" s="475" t="s">
        <v>1662</v>
      </c>
      <c r="D90" s="475"/>
      <c r="E90" s="475"/>
      <c r="F90" s="475"/>
      <c r="G90" s="475"/>
      <c r="H90" s="475"/>
      <c r="I90" s="475"/>
      <c r="J90" s="475"/>
      <c r="K90" s="475"/>
      <c r="L90" s="475"/>
      <c r="M90" s="213"/>
      <c r="N90" s="475"/>
      <c r="O90" s="173"/>
    </row>
    <row r="91" spans="1:15" ht="15">
      <c r="A91" s="173"/>
      <c r="B91" s="475"/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213"/>
      <c r="N91" s="475"/>
      <c r="O91" s="173"/>
    </row>
    <row r="92" spans="1:15" ht="18">
      <c r="A92" s="173"/>
      <c r="B92" s="508"/>
      <c r="C92" s="475" t="s">
        <v>187</v>
      </c>
      <c r="D92" s="475"/>
      <c r="E92" s="475"/>
      <c r="F92" s="475"/>
      <c r="G92" s="475"/>
      <c r="H92" s="475"/>
      <c r="I92" s="475"/>
      <c r="J92" s="475"/>
      <c r="K92" s="475"/>
      <c r="L92" s="475"/>
      <c r="M92" s="213"/>
      <c r="N92" s="475"/>
      <c r="O92" s="173"/>
    </row>
    <row r="93" spans="1:15" ht="15">
      <c r="A93" s="173"/>
      <c r="B93" s="475"/>
      <c r="C93" s="475"/>
      <c r="D93" s="475"/>
      <c r="E93" s="475"/>
      <c r="F93" s="475"/>
      <c r="G93" s="475"/>
      <c r="H93" s="475"/>
      <c r="I93" s="475"/>
      <c r="J93" s="475"/>
      <c r="K93" s="475"/>
      <c r="L93" s="475"/>
      <c r="M93" s="213"/>
      <c r="N93" s="475"/>
      <c r="O93" s="173"/>
    </row>
    <row r="94" spans="1:15" ht="18">
      <c r="A94" s="173"/>
      <c r="B94" s="508"/>
      <c r="C94" s="475" t="s">
        <v>1446</v>
      </c>
      <c r="D94" s="475"/>
      <c r="E94" s="475"/>
      <c r="F94" s="475"/>
      <c r="G94" s="475"/>
      <c r="H94" s="475"/>
      <c r="I94" s="475"/>
      <c r="J94" s="475"/>
      <c r="K94" s="475"/>
      <c r="L94" s="475"/>
      <c r="M94" s="213"/>
      <c r="N94" s="475"/>
      <c r="O94" s="173"/>
    </row>
    <row r="95" spans="1:15" ht="15">
      <c r="A95" s="173"/>
      <c r="B95" s="475"/>
      <c r="C95" s="475" t="s">
        <v>1447</v>
      </c>
      <c r="D95" s="475"/>
      <c r="E95" s="475"/>
      <c r="F95" s="475"/>
      <c r="G95" s="475"/>
      <c r="H95" s="475"/>
      <c r="I95" s="475"/>
      <c r="J95" s="475"/>
      <c r="K95" s="475"/>
      <c r="L95" s="475"/>
      <c r="M95" s="213"/>
      <c r="N95" s="475"/>
      <c r="O95" s="173"/>
    </row>
    <row r="96" spans="1:15" ht="15">
      <c r="A96" s="173"/>
      <c r="B96" s="475"/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213"/>
      <c r="N96" s="475"/>
      <c r="O96" s="173"/>
    </row>
    <row r="97" spans="1:15" ht="15.75">
      <c r="A97" s="173"/>
      <c r="B97" s="475" t="s">
        <v>59</v>
      </c>
      <c r="C97" s="475"/>
      <c r="D97" s="475"/>
      <c r="E97" s="163">
        <f>N50</f>
        <v>0</v>
      </c>
      <c r="F97" s="475"/>
      <c r="G97" s="502" t="s">
        <v>188</v>
      </c>
      <c r="H97" s="498"/>
      <c r="I97" s="498"/>
      <c r="J97" s="498"/>
      <c r="K97" s="498"/>
      <c r="L97" s="498"/>
      <c r="M97" s="213"/>
      <c r="N97" s="163">
        <f>E97*0.025</f>
        <v>0</v>
      </c>
      <c r="O97" s="503" t="s">
        <v>509</v>
      </c>
    </row>
    <row r="98" spans="1:15" ht="15">
      <c r="A98" s="173"/>
      <c r="B98" s="475"/>
      <c r="C98" s="475"/>
      <c r="D98" s="475"/>
      <c r="E98" s="475"/>
      <c r="F98" s="475"/>
      <c r="G98" s="475"/>
      <c r="H98" s="475"/>
      <c r="I98" s="475"/>
      <c r="J98" s="475"/>
      <c r="K98" s="475"/>
      <c r="L98" s="475"/>
      <c r="M98" s="213"/>
      <c r="N98" s="475"/>
      <c r="O98" s="173"/>
    </row>
    <row r="99" spans="1:15" ht="15.75">
      <c r="A99" s="173"/>
      <c r="B99" s="475" t="s">
        <v>1796</v>
      </c>
      <c r="C99" s="475"/>
      <c r="D99" s="475"/>
      <c r="E99" s="475"/>
      <c r="F99" s="475"/>
      <c r="G99" s="475"/>
      <c r="H99" s="504"/>
      <c r="I99" s="475" t="s">
        <v>1797</v>
      </c>
      <c r="J99" s="475"/>
      <c r="K99" s="475"/>
      <c r="L99" s="475"/>
      <c r="M99" s="213"/>
      <c r="N99" s="475"/>
      <c r="O99" s="173"/>
    </row>
    <row r="100" spans="1:15" ht="15.75">
      <c r="A100" s="173"/>
      <c r="B100" s="475" t="s">
        <v>1557</v>
      </c>
      <c r="C100" s="475"/>
      <c r="D100" s="475"/>
      <c r="E100" s="475"/>
      <c r="F100" s="475"/>
      <c r="G100" s="475"/>
      <c r="H100" s="475"/>
      <c r="I100" s="475"/>
      <c r="J100" s="498"/>
      <c r="K100" s="498"/>
      <c r="L100" s="498"/>
      <c r="M100" s="213"/>
      <c r="N100" s="163">
        <f>ROUND(H99,0)*N97</f>
        <v>0</v>
      </c>
      <c r="O100" s="503" t="s">
        <v>895</v>
      </c>
    </row>
    <row r="101" spans="1:15" ht="15.75">
      <c r="A101" s="173"/>
      <c r="B101" s="475" t="s">
        <v>1799</v>
      </c>
      <c r="C101" s="475"/>
      <c r="D101" s="475"/>
      <c r="E101" s="475"/>
      <c r="F101" s="475"/>
      <c r="G101" s="475"/>
      <c r="H101" s="504"/>
      <c r="I101" s="475" t="s">
        <v>1800</v>
      </c>
      <c r="J101" s="475"/>
      <c r="K101" s="475"/>
      <c r="L101" s="475"/>
      <c r="M101" s="213"/>
      <c r="N101" s="163">
        <f>ROUND(H101,0)*N97</f>
        <v>0</v>
      </c>
      <c r="O101" s="503" t="s">
        <v>897</v>
      </c>
    </row>
    <row r="102" spans="1:15" ht="15.75">
      <c r="A102" s="173"/>
      <c r="B102" s="475" t="s">
        <v>1559</v>
      </c>
      <c r="C102" s="475"/>
      <c r="D102" s="475"/>
      <c r="E102" s="498"/>
      <c r="F102" s="498"/>
      <c r="G102" s="498"/>
      <c r="H102" s="498"/>
      <c r="I102" s="498"/>
      <c r="J102" s="498"/>
      <c r="K102" s="498"/>
      <c r="L102" s="498"/>
      <c r="M102" s="489" t="s">
        <v>1204</v>
      </c>
      <c r="N102" s="163">
        <f>N100+N101</f>
        <v>0</v>
      </c>
      <c r="O102" s="503" t="s">
        <v>899</v>
      </c>
    </row>
    <row r="103" spans="1:15" ht="15">
      <c r="A103" s="173"/>
      <c r="B103" s="475"/>
      <c r="C103" s="475"/>
      <c r="D103" s="475"/>
      <c r="E103" s="475"/>
      <c r="F103" s="475"/>
      <c r="G103" s="475"/>
      <c r="H103" s="475"/>
      <c r="I103" s="475"/>
      <c r="J103" s="475"/>
      <c r="K103" s="475"/>
      <c r="L103" s="475"/>
      <c r="M103" s="213"/>
      <c r="N103" s="475"/>
      <c r="O103" s="173"/>
    </row>
    <row r="104" spans="1:15" ht="15.75">
      <c r="A104" s="173"/>
      <c r="B104" s="475" t="s">
        <v>1558</v>
      </c>
      <c r="C104" s="475"/>
      <c r="D104" s="475"/>
      <c r="E104" s="475"/>
      <c r="F104" s="475"/>
      <c r="G104" s="475"/>
      <c r="H104" s="475"/>
      <c r="I104" s="475"/>
      <c r="J104" s="475"/>
      <c r="K104" s="475"/>
      <c r="L104" s="475"/>
      <c r="M104" s="213"/>
      <c r="N104" s="475"/>
      <c r="O104" s="173"/>
    </row>
    <row r="105" spans="1:15" ht="15">
      <c r="A105" s="173"/>
      <c r="B105" s="475" t="s">
        <v>60</v>
      </c>
      <c r="C105" s="475"/>
      <c r="D105" s="475"/>
      <c r="E105" s="475"/>
      <c r="F105" s="475"/>
      <c r="G105" s="475"/>
      <c r="H105" s="475"/>
      <c r="I105" s="475"/>
      <c r="J105" s="475"/>
      <c r="K105" s="475"/>
      <c r="L105" s="475"/>
      <c r="M105" s="213"/>
      <c r="N105" s="475"/>
      <c r="O105" s="173"/>
    </row>
    <row r="106" spans="1:15" ht="15.75">
      <c r="A106" s="173"/>
      <c r="B106" s="475" t="s">
        <v>1448</v>
      </c>
      <c r="C106" s="475"/>
      <c r="D106" s="475"/>
      <c r="E106" s="475"/>
      <c r="F106" s="475"/>
      <c r="G106" s="475"/>
      <c r="H106" s="498"/>
      <c r="I106" s="498"/>
      <c r="J106" s="498"/>
      <c r="K106" s="475"/>
      <c r="L106" s="477" t="s">
        <v>1449</v>
      </c>
      <c r="M106" s="213"/>
      <c r="N106" s="163">
        <f>MINA(N56,N102)</f>
        <v>0</v>
      </c>
      <c r="O106" s="503" t="s">
        <v>511</v>
      </c>
    </row>
    <row r="107" spans="1:15" ht="15">
      <c r="A107" s="173"/>
      <c r="B107" s="475"/>
      <c r="C107" s="475"/>
      <c r="D107" s="475"/>
      <c r="E107" s="475"/>
      <c r="F107" s="475"/>
      <c r="G107" s="475"/>
      <c r="H107" s="475"/>
      <c r="I107" s="475"/>
      <c r="J107" s="475"/>
      <c r="K107" s="475"/>
      <c r="L107" s="475"/>
      <c r="M107" s="213"/>
      <c r="N107" s="475"/>
      <c r="O107" s="173"/>
    </row>
    <row r="108" spans="1:15" ht="20.25">
      <c r="A108" s="173"/>
      <c r="B108" s="476" t="s">
        <v>61</v>
      </c>
      <c r="C108" s="475"/>
      <c r="D108" s="475"/>
      <c r="E108" s="475"/>
      <c r="F108" s="475"/>
      <c r="G108" s="475"/>
      <c r="H108" s="475"/>
      <c r="I108" s="475"/>
      <c r="J108" s="475"/>
      <c r="K108" s="475"/>
      <c r="L108" s="475"/>
      <c r="M108" s="213"/>
      <c r="N108" s="475"/>
      <c r="O108" s="173"/>
    </row>
    <row r="109" spans="1:15" ht="15">
      <c r="A109" s="173"/>
      <c r="B109" s="475" t="s">
        <v>62</v>
      </c>
      <c r="C109" s="475"/>
      <c r="D109" s="475"/>
      <c r="E109" s="475"/>
      <c r="F109" s="475"/>
      <c r="G109" s="475"/>
      <c r="H109" s="475"/>
      <c r="I109" s="475"/>
      <c r="J109" s="475"/>
      <c r="K109" s="475"/>
      <c r="L109" s="475"/>
      <c r="M109" s="213"/>
      <c r="N109" s="475"/>
      <c r="O109" s="173"/>
    </row>
    <row r="110" spans="1:15" ht="15.75">
      <c r="A110" s="173"/>
      <c r="B110" s="475" t="s">
        <v>1340</v>
      </c>
      <c r="C110" s="475"/>
      <c r="D110" s="475"/>
      <c r="E110" s="475"/>
      <c r="F110" s="475"/>
      <c r="G110" s="475"/>
      <c r="H110" s="475"/>
      <c r="I110" s="475"/>
      <c r="J110" s="475"/>
      <c r="K110" s="475"/>
      <c r="L110" s="475"/>
      <c r="M110" s="213"/>
      <c r="N110" s="475"/>
      <c r="O110" s="173"/>
    </row>
    <row r="111" spans="1:15" ht="15">
      <c r="A111" s="173"/>
      <c r="B111" s="475" t="s">
        <v>63</v>
      </c>
      <c r="C111" s="475"/>
      <c r="D111" s="475"/>
      <c r="E111" s="475"/>
      <c r="F111" s="475"/>
      <c r="G111" s="475"/>
      <c r="H111" s="475"/>
      <c r="I111" s="475"/>
      <c r="J111" s="475"/>
      <c r="K111" s="475"/>
      <c r="L111" s="475"/>
      <c r="M111" s="213"/>
      <c r="N111" s="475"/>
      <c r="O111" s="173"/>
    </row>
    <row r="112" spans="1:15" ht="15">
      <c r="A112" s="173"/>
      <c r="B112" s="475"/>
      <c r="C112" s="475"/>
      <c r="D112" s="475"/>
      <c r="E112" s="475"/>
      <c r="F112" s="475"/>
      <c r="G112" s="475"/>
      <c r="H112" s="475"/>
      <c r="I112" s="475"/>
      <c r="J112" s="475"/>
      <c r="K112" s="475"/>
      <c r="L112" s="475"/>
      <c r="M112" s="213"/>
      <c r="N112" s="475"/>
      <c r="O112" s="173"/>
    </row>
    <row r="113" spans="1:15" ht="15.75">
      <c r="A113" s="173"/>
      <c r="B113" s="475" t="s">
        <v>1341</v>
      </c>
      <c r="C113" s="475"/>
      <c r="D113" s="475"/>
      <c r="E113" s="475"/>
      <c r="F113" s="475"/>
      <c r="G113" s="475"/>
      <c r="H113" s="475"/>
      <c r="I113" s="475"/>
      <c r="J113" s="475"/>
      <c r="K113" s="475"/>
      <c r="L113" s="475"/>
      <c r="M113" s="213"/>
      <c r="N113" s="475"/>
      <c r="O113" s="173"/>
    </row>
    <row r="114" spans="1:15" ht="15">
      <c r="A114" s="173"/>
      <c r="B114" s="475" t="s">
        <v>64</v>
      </c>
      <c r="C114" s="475"/>
      <c r="D114" s="475"/>
      <c r="E114" s="475"/>
      <c r="F114" s="475"/>
      <c r="G114" s="475"/>
      <c r="H114" s="475"/>
      <c r="I114" s="475"/>
      <c r="J114" s="475"/>
      <c r="K114" s="475"/>
      <c r="L114" s="475"/>
      <c r="M114" s="213"/>
      <c r="N114" s="475"/>
      <c r="O114" s="173"/>
    </row>
    <row r="115" spans="1:15" ht="15">
      <c r="A115" s="173"/>
      <c r="B115" s="510" t="s">
        <v>1339</v>
      </c>
      <c r="C115" s="475"/>
      <c r="D115" s="475"/>
      <c r="E115" s="475"/>
      <c r="F115" s="475"/>
      <c r="G115" s="475"/>
      <c r="H115" s="475"/>
      <c r="I115" s="475"/>
      <c r="J115" s="475"/>
      <c r="K115" s="475"/>
      <c r="L115" s="475"/>
      <c r="M115" s="213"/>
      <c r="N115" s="475"/>
      <c r="O115" s="173"/>
    </row>
    <row r="116" spans="1:15" ht="15">
      <c r="A116" s="173"/>
      <c r="B116" s="475"/>
      <c r="C116" s="475"/>
      <c r="D116" s="475"/>
      <c r="E116" s="475"/>
      <c r="F116" s="475"/>
      <c r="G116" s="475"/>
      <c r="H116" s="475"/>
      <c r="I116" s="475"/>
      <c r="J116" s="475"/>
      <c r="K116" s="475"/>
      <c r="L116" s="475"/>
      <c r="M116" s="213"/>
      <c r="N116" s="475"/>
      <c r="O116" s="173"/>
    </row>
    <row r="117" spans="1:15" ht="15.75">
      <c r="A117" s="173"/>
      <c r="B117" s="475" t="s">
        <v>59</v>
      </c>
      <c r="C117" s="475"/>
      <c r="D117" s="475"/>
      <c r="E117" s="163">
        <f>N50</f>
        <v>0</v>
      </c>
      <c r="F117" s="475"/>
      <c r="G117" s="502" t="s">
        <v>188</v>
      </c>
      <c r="H117" s="475"/>
      <c r="I117" s="475"/>
      <c r="J117" s="475"/>
      <c r="K117" s="475"/>
      <c r="L117" s="475"/>
      <c r="M117" s="213"/>
      <c r="N117" s="163">
        <f>E117*0.025</f>
        <v>0</v>
      </c>
      <c r="O117" s="503" t="s">
        <v>444</v>
      </c>
    </row>
    <row r="118" spans="1:15" ht="15">
      <c r="A118" s="173"/>
      <c r="B118" s="475"/>
      <c r="C118" s="475"/>
      <c r="D118" s="475"/>
      <c r="E118" s="475"/>
      <c r="F118" s="475"/>
      <c r="G118" s="475"/>
      <c r="H118" s="475"/>
      <c r="I118" s="475"/>
      <c r="J118" s="475"/>
      <c r="K118" s="475"/>
      <c r="L118" s="475"/>
      <c r="M118" s="213"/>
      <c r="N118" s="475"/>
      <c r="O118" s="173"/>
    </row>
    <row r="119" spans="1:15" ht="15.75">
      <c r="A119" s="173"/>
      <c r="B119" s="475" t="s">
        <v>810</v>
      </c>
      <c r="C119" s="475"/>
      <c r="D119" s="475"/>
      <c r="E119" s="475"/>
      <c r="F119" s="475"/>
      <c r="G119" s="475"/>
      <c r="H119" s="504"/>
      <c r="I119" s="475" t="s">
        <v>1224</v>
      </c>
      <c r="J119" s="475"/>
      <c r="K119" s="475"/>
      <c r="L119" s="475"/>
      <c r="M119" s="213"/>
      <c r="N119" s="475"/>
      <c r="O119" s="173"/>
    </row>
    <row r="120" spans="1:15" ht="15.75">
      <c r="A120" s="173"/>
      <c r="B120" s="475" t="s">
        <v>809</v>
      </c>
      <c r="C120" s="475"/>
      <c r="D120" s="475"/>
      <c r="E120" s="475"/>
      <c r="F120" s="475"/>
      <c r="G120" s="475"/>
      <c r="H120" s="475"/>
      <c r="I120" s="475"/>
      <c r="J120" s="475"/>
      <c r="K120" s="507"/>
      <c r="L120" s="507"/>
      <c r="M120" s="213"/>
      <c r="N120" s="163">
        <f>H119*N117</f>
        <v>0</v>
      </c>
      <c r="O120" s="503" t="s">
        <v>513</v>
      </c>
    </row>
    <row r="121" spans="1:15" ht="15.75">
      <c r="A121" s="173"/>
      <c r="B121" s="475" t="s">
        <v>1214</v>
      </c>
      <c r="C121" s="475"/>
      <c r="D121" s="475"/>
      <c r="E121" s="475"/>
      <c r="F121" s="475"/>
      <c r="G121" s="475"/>
      <c r="H121" s="504"/>
      <c r="I121" s="475" t="s">
        <v>1223</v>
      </c>
      <c r="J121" s="475"/>
      <c r="K121" s="475"/>
      <c r="L121" s="475"/>
      <c r="M121" s="213"/>
      <c r="N121" s="475"/>
      <c r="O121" s="173"/>
    </row>
    <row r="122" spans="1:15" ht="15.75">
      <c r="A122" s="173"/>
      <c r="B122" s="475" t="s">
        <v>1342</v>
      </c>
      <c r="C122" s="475"/>
      <c r="D122" s="475"/>
      <c r="E122" s="498"/>
      <c r="F122" s="498"/>
      <c r="G122" s="498"/>
      <c r="H122" s="498"/>
      <c r="I122" s="498"/>
      <c r="J122" s="498"/>
      <c r="K122" s="498"/>
      <c r="L122" s="498"/>
      <c r="M122" s="213"/>
      <c r="N122" s="163">
        <f>H121*N117</f>
        <v>0</v>
      </c>
      <c r="O122" s="503" t="s">
        <v>515</v>
      </c>
    </row>
    <row r="123" spans="1:15" ht="15.75">
      <c r="A123" s="173"/>
      <c r="B123" s="475" t="s">
        <v>1097</v>
      </c>
      <c r="C123" s="475"/>
      <c r="D123" s="475"/>
      <c r="E123" s="498"/>
      <c r="F123" s="498"/>
      <c r="G123" s="498"/>
      <c r="H123" s="498"/>
      <c r="I123" s="498"/>
      <c r="J123" s="498"/>
      <c r="K123" s="498"/>
      <c r="L123" s="498"/>
      <c r="M123" s="489" t="s">
        <v>1203</v>
      </c>
      <c r="N123" s="163">
        <f>N120+N122</f>
        <v>0</v>
      </c>
      <c r="O123" s="503" t="s">
        <v>516</v>
      </c>
    </row>
    <row r="124" spans="1:15" ht="15">
      <c r="A124" s="173"/>
      <c r="B124" s="475"/>
      <c r="C124" s="475"/>
      <c r="D124" s="475"/>
      <c r="E124" s="475"/>
      <c r="F124" s="475"/>
      <c r="G124" s="475"/>
      <c r="H124" s="475"/>
      <c r="I124" s="475"/>
      <c r="J124" s="475"/>
      <c r="K124" s="475"/>
      <c r="L124" s="475"/>
      <c r="M124" s="213"/>
      <c r="N124" s="475"/>
      <c r="O124" s="173"/>
    </row>
    <row r="125" spans="1:15" ht="15">
      <c r="A125" s="173"/>
      <c r="B125" s="475"/>
      <c r="C125" s="475"/>
      <c r="D125" s="475"/>
      <c r="E125" s="475"/>
      <c r="F125" s="475"/>
      <c r="G125" s="475"/>
      <c r="H125" s="475"/>
      <c r="I125" s="475"/>
      <c r="J125" s="475"/>
      <c r="K125" s="475"/>
      <c r="L125" s="475"/>
      <c r="M125" s="213"/>
      <c r="N125" s="475"/>
      <c r="O125" s="173"/>
    </row>
    <row r="126" spans="1:15" ht="15">
      <c r="A126" s="173"/>
      <c r="B126" s="475" t="s">
        <v>1099</v>
      </c>
      <c r="C126" s="475"/>
      <c r="D126" s="475"/>
      <c r="E126" s="475"/>
      <c r="F126" s="475"/>
      <c r="G126" s="475"/>
      <c r="H126" s="475"/>
      <c r="I126" s="475"/>
      <c r="J126" s="475"/>
      <c r="K126" s="498"/>
      <c r="L126" s="498"/>
      <c r="M126" s="213"/>
      <c r="N126" s="163">
        <f>IF(N106&gt;0,N106,(N50-N63))</f>
        <v>0</v>
      </c>
      <c r="O126" s="503" t="s">
        <v>581</v>
      </c>
    </row>
    <row r="127" spans="1:15" ht="15">
      <c r="A127" s="173"/>
      <c r="B127" s="475" t="s">
        <v>1098</v>
      </c>
      <c r="C127" s="475"/>
      <c r="D127" s="475"/>
      <c r="E127" s="475"/>
      <c r="F127" s="475"/>
      <c r="G127" s="475"/>
      <c r="H127" s="475"/>
      <c r="I127" s="475"/>
      <c r="J127" s="475"/>
      <c r="K127" s="498"/>
      <c r="L127" s="498"/>
      <c r="M127" s="213"/>
      <c r="N127" s="166">
        <f>IF(N106&gt;0,N106,(N52-N63))</f>
        <v>0</v>
      </c>
      <c r="O127" s="503" t="s">
        <v>518</v>
      </c>
    </row>
    <row r="128" spans="1:15" ht="15.75">
      <c r="A128" s="173"/>
      <c r="B128" s="475" t="s">
        <v>806</v>
      </c>
      <c r="C128" s="475"/>
      <c r="D128" s="475"/>
      <c r="E128" s="475"/>
      <c r="F128" s="475"/>
      <c r="G128" s="475"/>
      <c r="H128" s="475"/>
      <c r="I128" s="475"/>
      <c r="J128" s="475"/>
      <c r="K128" s="598">
        <f>MAX(0,'T1 GEN-2-3-4'!K55-('T1 GEN-2-3-4'!I60+'T1 GEN-2-3-4'!I61+'T1 GEN-2-3-4'!I62+'T1 GEN-2-3-4'!I64+'T1 GEN-2-3-4'!I66+'T1 GEN-2-3-4'!I68+'T1 GEN-2-3-4'!I69+'T1 GEN-2-3-4'!I71+'T1 GEN-2-3-4'!I72+'T1 GEN-2-3-4'!I74+'T1 GEN-2-3-4'!I75+'T1 GEN-2-3-4'!I76+'T1 GEN-2-3-4'!I77+'T1 GEN-2-3-4'!I78))</f>
        <v>0</v>
      </c>
      <c r="L128" s="495" t="s">
        <v>230</v>
      </c>
      <c r="M128" s="213"/>
      <c r="N128" s="163">
        <f>ROUND(K128*(2/3),2)</f>
        <v>0</v>
      </c>
      <c r="O128" s="503" t="s">
        <v>445</v>
      </c>
    </row>
    <row r="129" spans="1:15" ht="15">
      <c r="A129" s="173"/>
      <c r="B129" s="475" t="s">
        <v>177</v>
      </c>
      <c r="C129" s="475"/>
      <c r="D129" s="475"/>
      <c r="E129" s="475"/>
      <c r="F129" s="475"/>
      <c r="G129" s="475"/>
      <c r="H129" s="498"/>
      <c r="I129" s="498"/>
      <c r="J129" s="498"/>
      <c r="K129" s="498"/>
      <c r="L129" s="498"/>
      <c r="M129" s="213"/>
      <c r="N129" s="163">
        <f>IF(B77="",0,MAX(N102-N54,0))</f>
        <v>0</v>
      </c>
      <c r="O129" s="503" t="s">
        <v>520</v>
      </c>
    </row>
    <row r="130" spans="1:15" ht="15">
      <c r="A130" s="173"/>
      <c r="B130" s="475"/>
      <c r="C130" s="475"/>
      <c r="D130" s="475"/>
      <c r="E130" s="475"/>
      <c r="F130" s="475"/>
      <c r="G130" s="475"/>
      <c r="H130" s="475"/>
      <c r="I130" s="475"/>
      <c r="J130" s="475"/>
      <c r="K130" s="475"/>
      <c r="L130" s="475"/>
      <c r="M130" s="213"/>
      <c r="N130" s="475"/>
      <c r="O130" s="173"/>
    </row>
    <row r="131" spans="1:15" ht="15.75">
      <c r="A131" s="173"/>
      <c r="B131" s="475" t="s">
        <v>807</v>
      </c>
      <c r="C131" s="475"/>
      <c r="D131" s="475"/>
      <c r="E131" s="475"/>
      <c r="F131" s="475"/>
      <c r="G131" s="475"/>
      <c r="H131" s="475"/>
      <c r="I131" s="475"/>
      <c r="J131" s="498"/>
      <c r="K131" s="498"/>
      <c r="L131" s="498"/>
      <c r="M131" s="213"/>
      <c r="N131" s="163">
        <f>IF(B77="",MINA(N123,N126,N127,N128),MINA(N123,N126,N127,N128,N129))</f>
        <v>0</v>
      </c>
      <c r="O131" s="503" t="s">
        <v>446</v>
      </c>
    </row>
    <row r="132" spans="1:15" ht="15">
      <c r="A132" s="173"/>
      <c r="B132" s="475" t="s">
        <v>178</v>
      </c>
      <c r="C132" s="475"/>
      <c r="D132" s="475"/>
      <c r="E132" s="475"/>
      <c r="F132" s="475"/>
      <c r="G132" s="475"/>
      <c r="H132" s="475"/>
      <c r="I132" s="475"/>
      <c r="J132" s="498"/>
      <c r="K132" s="498"/>
      <c r="L132" s="498"/>
      <c r="M132" s="213"/>
      <c r="N132" s="163">
        <f>IF(B77="",N63,N106)</f>
        <v>0</v>
      </c>
      <c r="O132" s="503" t="s">
        <v>792</v>
      </c>
    </row>
    <row r="133" spans="1:15" ht="15.75">
      <c r="A133" s="173"/>
      <c r="B133" s="475" t="s">
        <v>808</v>
      </c>
      <c r="C133" s="475"/>
      <c r="D133" s="475"/>
      <c r="E133" s="475"/>
      <c r="F133" s="475"/>
      <c r="G133" s="475"/>
      <c r="H133" s="475"/>
      <c r="I133" s="498"/>
      <c r="J133" s="498"/>
      <c r="K133" s="475"/>
      <c r="L133" s="477" t="s">
        <v>1449</v>
      </c>
      <c r="M133" s="213"/>
      <c r="N133" s="163">
        <f>IF(N54=N56,IF(N61&gt;0,0,N131+N132),0)</f>
        <v>0</v>
      </c>
      <c r="O133" s="503" t="s">
        <v>969</v>
      </c>
    </row>
    <row r="134" spans="1:15" ht="15">
      <c r="A134" s="173"/>
      <c r="B134" s="475"/>
      <c r="C134" s="475"/>
      <c r="D134" s="475"/>
      <c r="E134" s="475"/>
      <c r="F134" s="475"/>
      <c r="G134" s="475"/>
      <c r="H134" s="475"/>
      <c r="I134" s="475"/>
      <c r="J134" s="475"/>
      <c r="K134" s="475"/>
      <c r="L134" s="475"/>
      <c r="M134" s="213"/>
      <c r="N134" s="475"/>
      <c r="O134" s="173"/>
    </row>
    <row r="135" spans="1:15" ht="15">
      <c r="A135" s="173"/>
      <c r="B135" s="475"/>
      <c r="C135" s="475"/>
      <c r="D135" s="475"/>
      <c r="E135" s="475"/>
      <c r="F135" s="475"/>
      <c r="G135" s="475"/>
      <c r="H135" s="475"/>
      <c r="I135" s="475"/>
      <c r="J135" s="475"/>
      <c r="K135" s="475"/>
      <c r="L135" s="475"/>
      <c r="M135" s="213"/>
      <c r="N135" s="475"/>
      <c r="O135" s="173"/>
    </row>
  </sheetData>
  <sheetProtection password="EC35" sheet="1" objects="1" scenarios="1"/>
  <mergeCells count="16">
    <mergeCell ref="B77:G77"/>
    <mergeCell ref="B22:G22"/>
    <mergeCell ref="B28:C28"/>
    <mergeCell ref="B29:C29"/>
    <mergeCell ref="B30:C30"/>
    <mergeCell ref="G32:L32"/>
    <mergeCell ref="G28:L28"/>
    <mergeCell ref="G29:L29"/>
    <mergeCell ref="G30:L30"/>
    <mergeCell ref="G31:L31"/>
    <mergeCell ref="B31:C31"/>
    <mergeCell ref="B32:C32"/>
    <mergeCell ref="B18:G18"/>
    <mergeCell ref="B19:G19"/>
    <mergeCell ref="B21:G21"/>
    <mergeCell ref="B20:G20"/>
  </mergeCells>
  <printOptions horizontalCentered="1"/>
  <pageMargins left="0" right="0" top="0" bottom="0" header="0.5" footer="0.5"/>
  <pageSetup fitToHeight="2" horizontalDpi="600" verticalDpi="600" orientation="portrait" scale="65" r:id="rId4"/>
  <headerFooter alignWithMargins="0">
    <oddFooter>&amp;LT778 E (01)
&amp;C(Ce formulaire existe en français.)
</oddFooter>
  </headerFooter>
  <rowBreaks count="1" manualBreakCount="1">
    <brk id="69" max="255" man="1"/>
  </rowBreaks>
  <drawing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62"/>
  <sheetViews>
    <sheetView showGridLines="0" showRowColHeaders="0" zoomScale="95" zoomScaleNormal="95" workbookViewId="0" topLeftCell="A1">
      <selection activeCell="B1" sqref="B1"/>
    </sheetView>
  </sheetViews>
  <sheetFormatPr defaultColWidth="8.88671875" defaultRowHeight="15"/>
  <cols>
    <col min="1" max="1" width="2.10546875" style="631" customWidth="1"/>
    <col min="2" max="2" width="0.9921875" style="631" customWidth="1"/>
    <col min="3" max="3" width="7.10546875" style="631" customWidth="1"/>
    <col min="4" max="4" width="16.77734375" style="631" customWidth="1"/>
    <col min="5" max="5" width="17.77734375" style="631" customWidth="1"/>
    <col min="6" max="6" width="16.77734375" style="631" customWidth="1"/>
    <col min="7" max="7" width="9.10546875" style="631" customWidth="1"/>
    <col min="8" max="8" width="2.88671875" style="631" customWidth="1"/>
    <col min="9" max="9" width="9.10546875" style="631" customWidth="1"/>
    <col min="10" max="10" width="2.77734375" style="631" customWidth="1"/>
    <col min="11" max="11" width="2.10546875" style="631" customWidth="1"/>
    <col min="12" max="16384" width="7.10546875" style="631" customWidth="1"/>
  </cols>
  <sheetData>
    <row r="1" spans="1:11" ht="15" customHeight="1">
      <c r="A1" s="627"/>
      <c r="B1" s="628" t="s">
        <v>743</v>
      </c>
      <c r="C1" s="629"/>
      <c r="D1" s="85"/>
      <c r="E1" s="85"/>
      <c r="F1" s="629"/>
      <c r="G1" s="629"/>
      <c r="H1" s="629"/>
      <c r="I1" s="629"/>
      <c r="J1" s="629"/>
      <c r="K1" s="629"/>
    </row>
    <row r="2" spans="1:11" ht="12.75" customHeight="1">
      <c r="A2" s="627"/>
      <c r="B2" s="628" t="s">
        <v>682</v>
      </c>
      <c r="C2" s="629"/>
      <c r="D2" s="85"/>
      <c r="E2" s="85"/>
      <c r="F2" s="629"/>
      <c r="G2" s="629"/>
      <c r="H2" s="629"/>
      <c r="I2" s="632" t="s">
        <v>834</v>
      </c>
      <c r="J2" s="629"/>
      <c r="K2" s="629"/>
    </row>
    <row r="3" spans="1:11" ht="9.75" customHeight="1">
      <c r="A3" s="627"/>
      <c r="B3" s="633"/>
      <c r="C3" s="629"/>
      <c r="D3" s="85"/>
      <c r="E3" s="85"/>
      <c r="F3" s="629"/>
      <c r="G3" s="629"/>
      <c r="H3" s="629"/>
      <c r="I3" s="629"/>
      <c r="J3" s="629"/>
      <c r="K3" s="629"/>
    </row>
    <row r="4" spans="1:11" ht="12" customHeight="1">
      <c r="A4" s="630"/>
      <c r="B4" s="630"/>
      <c r="C4" s="629" t="s">
        <v>668</v>
      </c>
      <c r="D4" s="85"/>
      <c r="E4" s="85"/>
      <c r="F4" s="629"/>
      <c r="G4" s="629"/>
      <c r="H4" s="629"/>
      <c r="I4" s="629"/>
      <c r="J4" s="629"/>
      <c r="K4" s="629"/>
    </row>
    <row r="5" spans="1:11" ht="12.75" customHeight="1">
      <c r="A5" s="630"/>
      <c r="B5" s="630"/>
      <c r="C5" s="629" t="s">
        <v>669</v>
      </c>
      <c r="D5" s="85"/>
      <c r="E5" s="85"/>
      <c r="F5" s="629"/>
      <c r="G5" s="629"/>
      <c r="H5" s="629"/>
      <c r="I5" s="629"/>
      <c r="J5" s="629"/>
      <c r="K5" s="629"/>
    </row>
    <row r="6" spans="1:11" ht="12.75" customHeight="1">
      <c r="A6" s="630"/>
      <c r="B6" s="630"/>
      <c r="C6" s="629" t="s">
        <v>670</v>
      </c>
      <c r="D6" s="85"/>
      <c r="E6" s="85"/>
      <c r="F6" s="629"/>
      <c r="G6" s="629"/>
      <c r="H6" s="629"/>
      <c r="I6" s="629"/>
      <c r="J6" s="629"/>
      <c r="K6" s="629"/>
    </row>
    <row r="7" spans="1:11" ht="18.75" customHeight="1">
      <c r="A7" s="630"/>
      <c r="B7" s="630"/>
      <c r="C7" s="629" t="s">
        <v>744</v>
      </c>
      <c r="D7" s="85"/>
      <c r="E7" s="85"/>
      <c r="F7" s="629"/>
      <c r="G7" s="629"/>
      <c r="H7" s="629"/>
      <c r="I7" s="629"/>
      <c r="J7" s="629"/>
      <c r="K7" s="629"/>
    </row>
    <row r="8" spans="1:11" ht="21.75" customHeight="1">
      <c r="A8" s="627"/>
      <c r="B8" s="633"/>
      <c r="C8" s="634" t="s">
        <v>745</v>
      </c>
      <c r="D8" s="85"/>
      <c r="E8" s="85"/>
      <c r="F8" s="629"/>
      <c r="G8" s="629"/>
      <c r="H8" s="629"/>
      <c r="I8" s="629"/>
      <c r="J8" s="629"/>
      <c r="K8" s="629"/>
    </row>
    <row r="9" spans="1:11" ht="18" customHeight="1">
      <c r="A9" s="627"/>
      <c r="B9" s="635"/>
      <c r="C9" s="637" t="s">
        <v>1864</v>
      </c>
      <c r="D9" s="85"/>
      <c r="E9" s="85"/>
      <c r="F9" s="637"/>
      <c r="G9" s="637"/>
      <c r="H9" s="637"/>
      <c r="I9" s="637"/>
      <c r="J9" s="638"/>
      <c r="K9" s="639"/>
    </row>
    <row r="10" spans="1:11" ht="12" customHeight="1">
      <c r="A10" s="627"/>
      <c r="B10" s="640"/>
      <c r="C10" s="677" t="s">
        <v>1865</v>
      </c>
      <c r="D10" s="85"/>
      <c r="E10" s="85"/>
      <c r="F10" s="639"/>
      <c r="G10" s="639"/>
      <c r="H10" s="639"/>
      <c r="I10" s="639"/>
      <c r="J10" s="642"/>
      <c r="K10" s="639"/>
    </row>
    <row r="11" spans="1:11" ht="12" customHeight="1">
      <c r="A11" s="627"/>
      <c r="B11" s="640"/>
      <c r="C11" s="677" t="s">
        <v>1939</v>
      </c>
      <c r="D11" s="85"/>
      <c r="E11" s="85"/>
      <c r="F11" s="639"/>
      <c r="G11" s="639"/>
      <c r="H11" s="639"/>
      <c r="I11" s="639"/>
      <c r="J11" s="642"/>
      <c r="K11" s="639"/>
    </row>
    <row r="12" spans="1:11" ht="12" customHeight="1">
      <c r="A12" s="627"/>
      <c r="B12" s="640"/>
      <c r="C12" s="639" t="s">
        <v>683</v>
      </c>
      <c r="D12" s="85"/>
      <c r="E12" s="85"/>
      <c r="F12" s="639"/>
      <c r="G12" s="639"/>
      <c r="H12" s="639"/>
      <c r="I12" s="639"/>
      <c r="J12" s="642"/>
      <c r="K12" s="639"/>
    </row>
    <row r="13" spans="1:11" ht="12" customHeight="1">
      <c r="A13" s="627"/>
      <c r="B13" s="640"/>
      <c r="C13" s="639" t="s">
        <v>746</v>
      </c>
      <c r="D13" s="85"/>
      <c r="E13" s="85"/>
      <c r="F13" s="639"/>
      <c r="G13" s="639"/>
      <c r="H13" s="639"/>
      <c r="I13" s="639"/>
      <c r="J13" s="642"/>
      <c r="K13" s="639"/>
    </row>
    <row r="14" spans="1:11" ht="12" customHeight="1">
      <c r="A14" s="627"/>
      <c r="B14" s="640"/>
      <c r="C14" s="677" t="s">
        <v>747</v>
      </c>
      <c r="D14" s="85"/>
      <c r="E14" s="85"/>
      <c r="F14" s="639"/>
      <c r="G14" s="639"/>
      <c r="H14" s="639"/>
      <c r="I14" s="639"/>
      <c r="J14" s="642"/>
      <c r="K14" s="639"/>
    </row>
    <row r="15" spans="1:11" ht="12" customHeight="1">
      <c r="A15" s="627"/>
      <c r="B15" s="644"/>
      <c r="C15" s="643"/>
      <c r="D15" s="85"/>
      <c r="E15" s="85"/>
      <c r="F15" s="639"/>
      <c r="G15" s="639"/>
      <c r="H15" s="639"/>
      <c r="I15" s="681">
        <f>IF('T1 GEN-1'!T36=2001,'T1 GEN-1'!U36,IF(OR('T1 GEN-1'!T13&gt;1983,'T1 GEN-1'!T13&lt;1931),0,IF(OR('T1 GEN-1'!T13=1983,'T1 GEN-1'!T13=1931),IF('T1 GEN-1'!T13=1983,12-'T1 GEN-1'!U13,'T1 GEN-1'!U13),12)))</f>
        <v>12</v>
      </c>
      <c r="J15" s="642"/>
      <c r="K15" s="639"/>
    </row>
    <row r="16" spans="1:11" ht="12" customHeight="1">
      <c r="A16" s="627"/>
      <c r="B16" s="640"/>
      <c r="C16" s="639"/>
      <c r="D16" s="85"/>
      <c r="E16" s="85"/>
      <c r="F16" s="639"/>
      <c r="G16" s="645" t="s">
        <v>3</v>
      </c>
      <c r="H16" s="639"/>
      <c r="I16" s="759">
        <f>I15</f>
        <v>12</v>
      </c>
      <c r="J16" s="642"/>
      <c r="K16" s="639"/>
    </row>
    <row r="17" spans="1:11" ht="12" customHeight="1">
      <c r="A17" s="627"/>
      <c r="B17" s="640"/>
      <c r="C17" s="639" t="s">
        <v>2050</v>
      </c>
      <c r="D17" s="85"/>
      <c r="E17" s="85"/>
      <c r="F17" s="639"/>
      <c r="G17" s="645" t="s">
        <v>2051</v>
      </c>
      <c r="H17" s="639"/>
      <c r="I17" s="679">
        <f>MIN(TRUNC(I15*38300/12,2),MISC!L78)</f>
        <v>0</v>
      </c>
      <c r="J17" s="646">
        <v>1</v>
      </c>
      <c r="K17" s="647"/>
    </row>
    <row r="18" spans="1:11" ht="12" customHeight="1">
      <c r="A18" s="627"/>
      <c r="B18" s="640"/>
      <c r="C18" s="639" t="s">
        <v>2052</v>
      </c>
      <c r="D18" s="85"/>
      <c r="E18" s="85"/>
      <c r="F18" s="639"/>
      <c r="G18" s="645" t="s">
        <v>2053</v>
      </c>
      <c r="H18" s="639"/>
      <c r="I18" s="679">
        <f>TRUNC(I15*(3500/12),2)</f>
        <v>3500</v>
      </c>
      <c r="J18" s="646">
        <v>2</v>
      </c>
      <c r="K18" s="647"/>
    </row>
    <row r="19" spans="1:11" ht="12" customHeight="1">
      <c r="A19" s="627"/>
      <c r="B19" s="640"/>
      <c r="C19" s="639" t="s">
        <v>2054</v>
      </c>
      <c r="D19" s="85"/>
      <c r="E19" s="85"/>
      <c r="F19" s="639"/>
      <c r="G19" s="645" t="s">
        <v>2055</v>
      </c>
      <c r="H19" s="639"/>
      <c r="I19" s="679">
        <f>MAX(0,MIN(TRUNC(I15*34800/12,2),I17-I18))</f>
        <v>0</v>
      </c>
      <c r="J19" s="646">
        <v>3</v>
      </c>
      <c r="K19" s="647"/>
    </row>
    <row r="20" spans="1:11" ht="9.75" customHeight="1">
      <c r="A20" s="627"/>
      <c r="B20" s="640"/>
      <c r="C20" s="639"/>
      <c r="D20" s="85"/>
      <c r="E20" s="85"/>
      <c r="F20" s="639"/>
      <c r="G20" s="645"/>
      <c r="H20" s="639"/>
      <c r="I20" s="639"/>
      <c r="J20" s="646"/>
      <c r="K20" s="647"/>
    </row>
    <row r="21" spans="1:11" ht="12" customHeight="1">
      <c r="A21" s="627"/>
      <c r="B21" s="640"/>
      <c r="C21" s="639" t="s">
        <v>2056</v>
      </c>
      <c r="D21" s="85"/>
      <c r="E21" s="85"/>
      <c r="F21" s="639"/>
      <c r="G21" s="639"/>
      <c r="H21" s="639"/>
      <c r="I21" s="679">
        <f>MISC!L79</f>
        <v>0</v>
      </c>
      <c r="J21" s="646">
        <v>4</v>
      </c>
      <c r="K21" s="647"/>
    </row>
    <row r="22" spans="1:11" ht="12" customHeight="1">
      <c r="A22" s="627"/>
      <c r="B22" s="640"/>
      <c r="C22" s="639" t="s">
        <v>2057</v>
      </c>
      <c r="D22" s="85"/>
      <c r="E22" s="85"/>
      <c r="F22" s="639"/>
      <c r="G22" s="645" t="s">
        <v>2058</v>
      </c>
      <c r="H22" s="639"/>
      <c r="I22" s="679">
        <f>MIN(TRUNC(I15*1496.4/12,2),I19*0.043)</f>
        <v>0</v>
      </c>
      <c r="J22" s="646">
        <v>5</v>
      </c>
      <c r="K22" s="647"/>
    </row>
    <row r="23" spans="1:11" ht="12" customHeight="1">
      <c r="A23" s="627"/>
      <c r="B23" s="640"/>
      <c r="C23" s="639" t="s">
        <v>207</v>
      </c>
      <c r="D23" s="641"/>
      <c r="E23" s="639"/>
      <c r="F23" s="639"/>
      <c r="G23" s="648" t="s">
        <v>2059</v>
      </c>
      <c r="H23" s="639"/>
      <c r="I23" s="679">
        <f>IF(AND('T1 GEN-2-3-4'!I23=0,'T1 GEN-2-3-4'!I30=0,'T1 GEN-2-3-4'!I31=0,'T1 GEN-2-3-4'!I32=0,'T1 GEN-2-3-4'!I33=0,'T1 GEN-2-3-4'!I34=0),MAX(0,I21-I22),0)</f>
        <v>0</v>
      </c>
      <c r="J23" s="646">
        <v>6</v>
      </c>
      <c r="K23" s="647"/>
    </row>
    <row r="24" spans="1:11" ht="9.75" customHeight="1">
      <c r="A24" s="627"/>
      <c r="B24" s="640"/>
      <c r="C24" s="639"/>
      <c r="D24" s="641"/>
      <c r="E24" s="639"/>
      <c r="F24" s="649"/>
      <c r="G24" s="648"/>
      <c r="H24" s="639"/>
      <c r="I24" s="650"/>
      <c r="J24" s="646"/>
      <c r="K24" s="647"/>
    </row>
    <row r="25" spans="1:11" ht="12" customHeight="1">
      <c r="A25" s="627"/>
      <c r="B25" s="640"/>
      <c r="C25" s="649" t="s">
        <v>2060</v>
      </c>
      <c r="D25" s="641"/>
      <c r="E25" s="639"/>
      <c r="F25" s="639"/>
      <c r="G25" s="639"/>
      <c r="H25" s="639"/>
      <c r="I25" s="639"/>
      <c r="J25" s="642"/>
      <c r="K25" s="639"/>
    </row>
    <row r="26" spans="1:11" ht="12" customHeight="1">
      <c r="A26" s="627"/>
      <c r="B26" s="640"/>
      <c r="C26" s="649" t="s">
        <v>684</v>
      </c>
      <c r="D26" s="641"/>
      <c r="E26" s="639"/>
      <c r="F26" s="639"/>
      <c r="G26" s="639"/>
      <c r="H26" s="639"/>
      <c r="I26" s="639"/>
      <c r="J26" s="642"/>
      <c r="K26" s="639"/>
    </row>
    <row r="27" spans="1:11" ht="12" customHeight="1">
      <c r="A27" s="627"/>
      <c r="B27" s="640"/>
      <c r="C27" s="649"/>
      <c r="D27" s="641"/>
      <c r="E27" s="639"/>
      <c r="F27" s="639"/>
      <c r="G27" s="639"/>
      <c r="H27" s="639"/>
      <c r="I27" s="639"/>
      <c r="J27" s="642"/>
      <c r="K27" s="639"/>
    </row>
    <row r="28" spans="1:11" ht="12" customHeight="1">
      <c r="A28" s="627"/>
      <c r="B28" s="640"/>
      <c r="C28" s="649" t="s">
        <v>2061</v>
      </c>
      <c r="D28" s="641"/>
      <c r="E28" s="639"/>
      <c r="F28" s="639"/>
      <c r="G28" s="639"/>
      <c r="H28" s="639"/>
      <c r="I28" s="639"/>
      <c r="J28" s="642"/>
      <c r="K28" s="639"/>
    </row>
    <row r="29" spans="1:11" ht="12.75" customHeight="1">
      <c r="A29" s="627"/>
      <c r="B29" s="635"/>
      <c r="C29" s="651" t="s">
        <v>680</v>
      </c>
      <c r="D29" s="676" t="s">
        <v>671</v>
      </c>
      <c r="E29" s="676" t="s">
        <v>672</v>
      </c>
      <c r="F29" s="676" t="s">
        <v>673</v>
      </c>
      <c r="G29" s="1004" t="s">
        <v>674</v>
      </c>
      <c r="H29" s="1005"/>
      <c r="I29" s="1005"/>
      <c r="J29" s="638"/>
      <c r="K29" s="639"/>
    </row>
    <row r="30" spans="1:11" ht="12.75">
      <c r="A30" s="627"/>
      <c r="B30" s="640"/>
      <c r="C30" s="674" t="s">
        <v>681</v>
      </c>
      <c r="D30" s="675" t="s">
        <v>675</v>
      </c>
      <c r="E30" s="675" t="s">
        <v>678</v>
      </c>
      <c r="F30" s="675" t="s">
        <v>678</v>
      </c>
      <c r="G30" s="1008" t="s">
        <v>2062</v>
      </c>
      <c r="H30" s="1009"/>
      <c r="I30" s="1009"/>
      <c r="J30" s="642"/>
      <c r="K30" s="639"/>
    </row>
    <row r="31" spans="1:11" ht="12.75">
      <c r="A31" s="627"/>
      <c r="B31" s="652"/>
      <c r="C31" s="653" t="s">
        <v>2063</v>
      </c>
      <c r="D31" s="654" t="s">
        <v>676</v>
      </c>
      <c r="E31" s="654" t="s">
        <v>677</v>
      </c>
      <c r="F31" s="654" t="s">
        <v>679</v>
      </c>
      <c r="G31" s="1006" t="s">
        <v>2064</v>
      </c>
      <c r="H31" s="1007"/>
      <c r="I31" s="1007"/>
      <c r="J31" s="642"/>
      <c r="K31" s="639"/>
    </row>
    <row r="32" spans="1:11" ht="10.5" customHeight="1">
      <c r="A32" s="627"/>
      <c r="B32" s="655"/>
      <c r="C32" s="656">
        <v>1</v>
      </c>
      <c r="D32" s="657">
        <v>3191.66</v>
      </c>
      <c r="E32" s="657">
        <v>291.66</v>
      </c>
      <c r="F32" s="657">
        <v>2900</v>
      </c>
      <c r="G32" s="1002">
        <v>124.7</v>
      </c>
      <c r="H32" s="1003"/>
      <c r="I32" s="1003"/>
      <c r="J32" s="658"/>
      <c r="K32" s="639"/>
    </row>
    <row r="33" spans="1:11" ht="10.5" customHeight="1">
      <c r="A33" s="627"/>
      <c r="B33" s="655"/>
      <c r="C33" s="656">
        <v>2</v>
      </c>
      <c r="D33" s="657">
        <v>6383.33</v>
      </c>
      <c r="E33" s="657">
        <v>583.33</v>
      </c>
      <c r="F33" s="657">
        <v>5800</v>
      </c>
      <c r="G33" s="1002">
        <v>249.4</v>
      </c>
      <c r="H33" s="1003"/>
      <c r="I33" s="1003"/>
      <c r="J33" s="658"/>
      <c r="K33" s="639"/>
    </row>
    <row r="34" spans="1:11" ht="10.5" customHeight="1">
      <c r="A34" s="627"/>
      <c r="B34" s="655"/>
      <c r="C34" s="656">
        <v>3</v>
      </c>
      <c r="D34" s="657">
        <v>9575</v>
      </c>
      <c r="E34" s="657">
        <v>875</v>
      </c>
      <c r="F34" s="657">
        <v>8700</v>
      </c>
      <c r="G34" s="1002">
        <v>374.1</v>
      </c>
      <c r="H34" s="1003"/>
      <c r="I34" s="1003"/>
      <c r="J34" s="658"/>
      <c r="K34" s="639"/>
    </row>
    <row r="35" spans="1:11" ht="10.5" customHeight="1">
      <c r="A35" s="627"/>
      <c r="B35" s="655"/>
      <c r="C35" s="656">
        <v>4</v>
      </c>
      <c r="D35" s="657">
        <v>12766.66</v>
      </c>
      <c r="E35" s="657">
        <v>1166.66</v>
      </c>
      <c r="F35" s="657">
        <v>11600</v>
      </c>
      <c r="G35" s="1002">
        <v>498.8</v>
      </c>
      <c r="H35" s="1003"/>
      <c r="I35" s="1003"/>
      <c r="J35" s="658"/>
      <c r="K35" s="639"/>
    </row>
    <row r="36" spans="1:11" ht="10.5" customHeight="1">
      <c r="A36" s="627"/>
      <c r="B36" s="655"/>
      <c r="C36" s="656">
        <v>5</v>
      </c>
      <c r="D36" s="657">
        <v>15958.33</v>
      </c>
      <c r="E36" s="657">
        <v>1458.33</v>
      </c>
      <c r="F36" s="657">
        <v>14500</v>
      </c>
      <c r="G36" s="1002">
        <v>623.5</v>
      </c>
      <c r="H36" s="1003"/>
      <c r="I36" s="1003"/>
      <c r="J36" s="658"/>
      <c r="K36" s="639"/>
    </row>
    <row r="37" spans="1:11" ht="10.5" customHeight="1">
      <c r="A37" s="627"/>
      <c r="B37" s="655"/>
      <c r="C37" s="656">
        <v>6</v>
      </c>
      <c r="D37" s="657">
        <v>19150</v>
      </c>
      <c r="E37" s="657">
        <v>1750</v>
      </c>
      <c r="F37" s="657">
        <v>17400</v>
      </c>
      <c r="G37" s="1002">
        <v>748.2</v>
      </c>
      <c r="H37" s="1003"/>
      <c r="I37" s="1003"/>
      <c r="J37" s="658"/>
      <c r="K37" s="639"/>
    </row>
    <row r="38" spans="1:11" ht="10.5" customHeight="1">
      <c r="A38" s="627"/>
      <c r="B38" s="655"/>
      <c r="C38" s="656">
        <v>7</v>
      </c>
      <c r="D38" s="657">
        <v>22341.66</v>
      </c>
      <c r="E38" s="657">
        <v>2041.66</v>
      </c>
      <c r="F38" s="657">
        <v>20300</v>
      </c>
      <c r="G38" s="1002">
        <v>872.9</v>
      </c>
      <c r="H38" s="1003"/>
      <c r="I38" s="1003"/>
      <c r="J38" s="658"/>
      <c r="K38" s="639"/>
    </row>
    <row r="39" spans="1:11" ht="10.5" customHeight="1">
      <c r="A39" s="627"/>
      <c r="B39" s="655"/>
      <c r="C39" s="656">
        <v>8</v>
      </c>
      <c r="D39" s="657">
        <v>25533.33</v>
      </c>
      <c r="E39" s="657">
        <v>2333.33</v>
      </c>
      <c r="F39" s="657">
        <v>23200</v>
      </c>
      <c r="G39" s="1002">
        <v>997.6</v>
      </c>
      <c r="H39" s="1003"/>
      <c r="I39" s="1003"/>
      <c r="J39" s="658"/>
      <c r="K39" s="639"/>
    </row>
    <row r="40" spans="1:11" ht="10.5" customHeight="1">
      <c r="A40" s="627"/>
      <c r="B40" s="655"/>
      <c r="C40" s="656">
        <v>9</v>
      </c>
      <c r="D40" s="657">
        <v>28725</v>
      </c>
      <c r="E40" s="657">
        <v>2625</v>
      </c>
      <c r="F40" s="657">
        <v>26100</v>
      </c>
      <c r="G40" s="1002">
        <v>1122.3</v>
      </c>
      <c r="H40" s="1003"/>
      <c r="I40" s="1003"/>
      <c r="J40" s="658"/>
      <c r="K40" s="639"/>
    </row>
    <row r="41" spans="1:11" ht="10.5" customHeight="1">
      <c r="A41" s="627"/>
      <c r="B41" s="655"/>
      <c r="C41" s="656">
        <v>10</v>
      </c>
      <c r="D41" s="657">
        <v>31916.66</v>
      </c>
      <c r="E41" s="657">
        <v>2916.66</v>
      </c>
      <c r="F41" s="657">
        <v>29000</v>
      </c>
      <c r="G41" s="1002">
        <v>1247</v>
      </c>
      <c r="H41" s="1003"/>
      <c r="I41" s="1003"/>
      <c r="J41" s="658"/>
      <c r="K41" s="639"/>
    </row>
    <row r="42" spans="1:11" ht="10.5" customHeight="1">
      <c r="A42" s="627"/>
      <c r="B42" s="655"/>
      <c r="C42" s="656">
        <v>11</v>
      </c>
      <c r="D42" s="657">
        <v>35108.33</v>
      </c>
      <c r="E42" s="657">
        <v>3208.33</v>
      </c>
      <c r="F42" s="657">
        <v>31900</v>
      </c>
      <c r="G42" s="1002">
        <v>1371.7</v>
      </c>
      <c r="H42" s="1003"/>
      <c r="I42" s="1003"/>
      <c r="J42" s="658"/>
      <c r="K42" s="639"/>
    </row>
    <row r="43" spans="1:11" ht="10.5" customHeight="1">
      <c r="A43" s="627"/>
      <c r="B43" s="655"/>
      <c r="C43" s="656">
        <v>12</v>
      </c>
      <c r="D43" s="657">
        <v>38300</v>
      </c>
      <c r="E43" s="657">
        <v>3500</v>
      </c>
      <c r="F43" s="657">
        <v>34800</v>
      </c>
      <c r="G43" s="1002">
        <v>1496.4</v>
      </c>
      <c r="H43" s="1003"/>
      <c r="I43" s="1003"/>
      <c r="J43" s="658"/>
      <c r="K43" s="639"/>
    </row>
    <row r="44" spans="1:11" ht="9.75" customHeight="1">
      <c r="A44" s="627"/>
      <c r="B44" s="649"/>
      <c r="C44" s="639"/>
      <c r="D44" s="641"/>
      <c r="E44" s="639"/>
      <c r="F44" s="659"/>
      <c r="G44" s="639"/>
      <c r="H44" s="639"/>
      <c r="I44" s="639"/>
      <c r="J44" s="639"/>
      <c r="K44" s="639"/>
    </row>
    <row r="45" spans="1:11" ht="12" customHeight="1">
      <c r="A45" s="627"/>
      <c r="B45" s="629"/>
      <c r="C45" s="634" t="s">
        <v>2065</v>
      </c>
      <c r="D45" s="633"/>
      <c r="E45" s="629"/>
      <c r="F45" s="629"/>
      <c r="G45" s="629"/>
      <c r="H45" s="629"/>
      <c r="I45" s="629"/>
      <c r="J45" s="629"/>
      <c r="K45" s="629"/>
    </row>
    <row r="46" spans="1:11" ht="12" customHeight="1">
      <c r="A46" s="627"/>
      <c r="B46" s="635"/>
      <c r="C46" s="637" t="s">
        <v>285</v>
      </c>
      <c r="D46" s="636"/>
      <c r="E46" s="637"/>
      <c r="F46" s="637"/>
      <c r="G46" s="637"/>
      <c r="H46" s="637"/>
      <c r="I46" s="637"/>
      <c r="J46" s="638"/>
      <c r="K46" s="639"/>
    </row>
    <row r="47" spans="1:11" ht="12" customHeight="1">
      <c r="A47" s="627"/>
      <c r="B47" s="640"/>
      <c r="C47" s="660"/>
      <c r="D47" s="661"/>
      <c r="E47" s="660"/>
      <c r="F47" s="660"/>
      <c r="G47" s="662" t="s">
        <v>1855</v>
      </c>
      <c r="H47" s="639"/>
      <c r="I47" s="679">
        <f>IF(MISC!L80&gt;2000,MIN(39000,MISC!L80),0)</f>
        <v>0</v>
      </c>
      <c r="J47" s="646">
        <v>1</v>
      </c>
      <c r="K47" s="639"/>
    </row>
    <row r="48" spans="1:11" ht="9.75" customHeight="1">
      <c r="A48" s="627"/>
      <c r="B48" s="640"/>
      <c r="C48" s="663"/>
      <c r="D48" s="663"/>
      <c r="E48" s="663"/>
      <c r="F48" s="663"/>
      <c r="G48" s="663"/>
      <c r="H48" s="630"/>
      <c r="I48" s="664"/>
      <c r="J48" s="646"/>
      <c r="K48" s="647"/>
    </row>
    <row r="49" spans="1:11" ht="12" customHeight="1">
      <c r="A49" s="627"/>
      <c r="B49" s="640"/>
      <c r="C49" s="639" t="s">
        <v>1856</v>
      </c>
      <c r="D49" s="641"/>
      <c r="E49" s="639"/>
      <c r="F49" s="639"/>
      <c r="G49" s="639"/>
      <c r="H49" s="639"/>
      <c r="I49" s="679">
        <f>MISC!L81</f>
        <v>0</v>
      </c>
      <c r="J49" s="646">
        <v>2</v>
      </c>
      <c r="K49" s="647"/>
    </row>
    <row r="50" spans="1:11" ht="12" customHeight="1">
      <c r="A50" s="627"/>
      <c r="B50" s="640"/>
      <c r="C50" s="639" t="s">
        <v>1857</v>
      </c>
      <c r="D50" s="641"/>
      <c r="E50" s="639"/>
      <c r="F50" s="665"/>
      <c r="G50" s="665"/>
      <c r="H50" s="639"/>
      <c r="I50" s="679">
        <f>MAX(0,I47-2000)</f>
        <v>0</v>
      </c>
      <c r="J50" s="646">
        <v>3</v>
      </c>
      <c r="K50" s="647"/>
    </row>
    <row r="51" spans="1:11" ht="12" customHeight="1">
      <c r="A51" s="627"/>
      <c r="B51" s="640"/>
      <c r="C51" s="639" t="s">
        <v>1001</v>
      </c>
      <c r="D51" s="641"/>
      <c r="E51" s="639"/>
      <c r="F51" s="665"/>
      <c r="G51" s="665"/>
      <c r="H51" s="639"/>
      <c r="I51" s="679">
        <f>MAX(0,I49-I50)</f>
        <v>0</v>
      </c>
      <c r="J51" s="646">
        <v>4</v>
      </c>
      <c r="K51" s="647"/>
    </row>
    <row r="52" spans="1:11" ht="9.75" customHeight="1">
      <c r="A52" s="627"/>
      <c r="B52" s="640"/>
      <c r="C52" s="639"/>
      <c r="D52" s="641"/>
      <c r="E52" s="639"/>
      <c r="F52" s="639"/>
      <c r="G52" s="639"/>
      <c r="H52" s="639"/>
      <c r="I52" s="659"/>
      <c r="J52" s="646"/>
      <c r="K52" s="647"/>
    </row>
    <row r="53" spans="1:11" ht="12" customHeight="1">
      <c r="A53" s="627"/>
      <c r="B53" s="640"/>
      <c r="C53" s="639" t="s">
        <v>1856</v>
      </c>
      <c r="D53" s="641"/>
      <c r="E53" s="639"/>
      <c r="F53" s="666"/>
      <c r="G53" s="666"/>
      <c r="H53" s="639"/>
      <c r="I53" s="679">
        <f>MISC!L81</f>
        <v>0</v>
      </c>
      <c r="J53" s="646">
        <v>5</v>
      </c>
      <c r="K53" s="647"/>
    </row>
    <row r="54" spans="1:11" ht="12" customHeight="1">
      <c r="A54" s="627"/>
      <c r="B54" s="640"/>
      <c r="C54" s="639" t="s">
        <v>1858</v>
      </c>
      <c r="D54" s="641"/>
      <c r="E54" s="639"/>
      <c r="F54" s="665"/>
      <c r="G54" s="667" t="s">
        <v>1859</v>
      </c>
      <c r="H54" s="639"/>
      <c r="I54" s="679">
        <f>MIN(877.5,I47*0.0225)</f>
        <v>0</v>
      </c>
      <c r="J54" s="646">
        <v>6</v>
      </c>
      <c r="K54" s="647"/>
    </row>
    <row r="55" spans="1:11" ht="12" customHeight="1">
      <c r="A55" s="627"/>
      <c r="B55" s="640"/>
      <c r="C55" s="639" t="s">
        <v>284</v>
      </c>
      <c r="D55" s="641"/>
      <c r="E55" s="639"/>
      <c r="F55" s="665"/>
      <c r="G55" s="666"/>
      <c r="H55" s="639"/>
      <c r="I55" s="679">
        <f>MAX(0,I53-I54)</f>
        <v>0</v>
      </c>
      <c r="J55" s="646">
        <v>7</v>
      </c>
      <c r="K55" s="647"/>
    </row>
    <row r="56" spans="1:11" ht="9.75" customHeight="1">
      <c r="A56" s="627"/>
      <c r="B56" s="640"/>
      <c r="C56" s="639"/>
      <c r="D56" s="641"/>
      <c r="E56" s="639"/>
      <c r="F56" s="639"/>
      <c r="G56" s="639"/>
      <c r="H56" s="639"/>
      <c r="I56" s="659"/>
      <c r="J56" s="646"/>
      <c r="K56" s="647"/>
    </row>
    <row r="57" spans="1:11" ht="12" customHeight="1">
      <c r="A57" s="627"/>
      <c r="B57" s="640"/>
      <c r="C57" s="639" t="s">
        <v>1863</v>
      </c>
      <c r="D57" s="641"/>
      <c r="E57" s="639"/>
      <c r="F57" s="630"/>
      <c r="G57" s="668" t="s">
        <v>1860</v>
      </c>
      <c r="H57" s="639"/>
      <c r="I57" s="679">
        <f>MAX(I51,I55)</f>
        <v>0</v>
      </c>
      <c r="J57" s="646">
        <v>8</v>
      </c>
      <c r="K57" s="647"/>
    </row>
    <row r="58" spans="1:11" ht="9.75" customHeight="1">
      <c r="A58" s="627"/>
      <c r="B58" s="640"/>
      <c r="C58" s="639"/>
      <c r="D58" s="641"/>
      <c r="E58" s="639"/>
      <c r="F58" s="639"/>
      <c r="G58" s="639"/>
      <c r="H58" s="639"/>
      <c r="I58" s="659"/>
      <c r="J58" s="642"/>
      <c r="K58" s="639"/>
    </row>
    <row r="59" spans="1:11" ht="12" customHeight="1">
      <c r="A59" s="627"/>
      <c r="B59" s="640"/>
      <c r="C59" s="649" t="s">
        <v>1861</v>
      </c>
      <c r="D59" s="641"/>
      <c r="E59" s="639"/>
      <c r="F59" s="639"/>
      <c r="G59" s="639"/>
      <c r="H59" s="639"/>
      <c r="I59" s="659"/>
      <c r="J59" s="642"/>
      <c r="K59" s="639"/>
    </row>
    <row r="60" spans="1:11" ht="12" customHeight="1">
      <c r="A60" s="627"/>
      <c r="B60" s="652"/>
      <c r="C60" s="669" t="s">
        <v>1862</v>
      </c>
      <c r="D60" s="661"/>
      <c r="E60" s="660"/>
      <c r="F60" s="660"/>
      <c r="G60" s="660"/>
      <c r="H60" s="660"/>
      <c r="I60" s="670"/>
      <c r="J60" s="671"/>
      <c r="K60" s="639"/>
    </row>
    <row r="61" spans="1:11" ht="12.75" customHeight="1">
      <c r="A61" s="627"/>
      <c r="B61" s="663"/>
      <c r="C61" s="672"/>
      <c r="D61" s="636"/>
      <c r="E61" s="637"/>
      <c r="F61" s="637"/>
      <c r="G61" s="637"/>
      <c r="H61" s="637"/>
      <c r="I61" s="673"/>
      <c r="J61" s="637"/>
      <c r="K61" s="639"/>
    </row>
    <row r="62" spans="1:11" ht="12.75" customHeight="1">
      <c r="A62" s="628"/>
      <c r="B62" s="629"/>
      <c r="C62" s="629"/>
      <c r="D62" s="633"/>
      <c r="E62" s="629"/>
      <c r="F62" s="629"/>
      <c r="G62" s="629"/>
      <c r="H62" s="629"/>
      <c r="I62" s="629"/>
      <c r="J62" s="629"/>
      <c r="K62" s="629"/>
    </row>
  </sheetData>
  <sheetProtection password="EC35" sheet="1" objects="1" scenarios="1"/>
  <mergeCells count="15">
    <mergeCell ref="G42:I42"/>
    <mergeCell ref="G43:I43"/>
    <mergeCell ref="G30:I30"/>
    <mergeCell ref="G38:I38"/>
    <mergeCell ref="G39:I39"/>
    <mergeCell ref="G40:I40"/>
    <mergeCell ref="G41:I41"/>
    <mergeCell ref="G34:I34"/>
    <mergeCell ref="G35:I35"/>
    <mergeCell ref="G36:I36"/>
    <mergeCell ref="G37:I37"/>
    <mergeCell ref="G29:I29"/>
    <mergeCell ref="G31:I31"/>
    <mergeCell ref="G32:I32"/>
    <mergeCell ref="G33:I33"/>
  </mergeCells>
  <dataValidations count="2">
    <dataValidation allowBlank="1" showErrorMessage="1" sqref="I15"/>
    <dataValidation type="whole" allowBlank="1" showInputMessage="1" showErrorMessage="1" promptTitle="Default Formula" prompt="You may have to override if you received a CPP or QPP retirement or disability pension for part of 2001.  &#10;See instructions above." errorTitle="MONTH ERROR" error="Value must be between 0 and 12" sqref="I16">
      <formula1>0</formula1>
      <formula2>12</formula2>
    </dataValidation>
  </dataValidations>
  <printOptions horizontalCentered="1" verticalCentered="1"/>
  <pageMargins left="0" right="0" top="0" bottom="0" header="0.26" footer="0.5"/>
  <pageSetup fitToHeight="1" fitToWidth="1" horizontalDpi="600" verticalDpi="600" orientation="portrait" scale="97" r:id="rId4"/>
  <drawing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J55"/>
  <sheetViews>
    <sheetView showGridLines="0" zoomScale="75" zoomScaleNormal="75" workbookViewId="0" topLeftCell="A1">
      <selection activeCell="B1" sqref="B1"/>
    </sheetView>
  </sheetViews>
  <sheetFormatPr defaultColWidth="8.88671875" defaultRowHeight="15"/>
  <cols>
    <col min="1" max="1" width="1.77734375" style="828" customWidth="1"/>
    <col min="2" max="2" width="45.3359375" style="828" customWidth="1"/>
    <col min="3" max="3" width="11.4453125" style="828" customWidth="1"/>
    <col min="4" max="4" width="5.21484375" style="828" customWidth="1"/>
    <col min="5" max="5" width="11.4453125" style="828" customWidth="1"/>
    <col min="6" max="6" width="5.21484375" style="828" customWidth="1"/>
    <col min="7" max="7" width="11.4453125" style="828" customWidth="1"/>
    <col min="8" max="8" width="5.21484375" style="828" customWidth="1"/>
    <col min="9" max="9" width="1.77734375" style="828" customWidth="1"/>
    <col min="10" max="16384" width="7.10546875" style="828" customWidth="1"/>
  </cols>
  <sheetData>
    <row r="1" spans="1:10" ht="12.75">
      <c r="A1" s="825"/>
      <c r="B1" s="826" t="s">
        <v>1955</v>
      </c>
      <c r="C1" s="825"/>
      <c r="D1" s="825"/>
      <c r="E1" s="825"/>
      <c r="F1" s="825"/>
      <c r="G1" s="825"/>
      <c r="H1" s="825"/>
      <c r="I1" s="825"/>
      <c r="J1" s="827"/>
    </row>
    <row r="2" spans="1:9" ht="15.75">
      <c r="A2" s="829"/>
      <c r="B2" s="830" t="s">
        <v>1957</v>
      </c>
      <c r="C2" s="829"/>
      <c r="D2" s="829"/>
      <c r="E2" s="829"/>
      <c r="F2" s="829"/>
      <c r="G2" s="825"/>
      <c r="H2" s="831"/>
      <c r="I2" s="825"/>
    </row>
    <row r="3" spans="1:9" ht="18">
      <c r="A3" s="829"/>
      <c r="B3" s="832" t="s">
        <v>1244</v>
      </c>
      <c r="C3" s="829"/>
      <c r="D3" s="829"/>
      <c r="E3" s="833"/>
      <c r="F3" s="829"/>
      <c r="G3" s="825"/>
      <c r="H3" s="831"/>
      <c r="I3" s="825"/>
    </row>
    <row r="4" spans="1:9" ht="18">
      <c r="A4" s="829"/>
      <c r="B4" s="832" t="s">
        <v>1245</v>
      </c>
      <c r="C4" s="829"/>
      <c r="D4" s="829"/>
      <c r="E4" s="833"/>
      <c r="F4" s="829"/>
      <c r="G4" s="867">
        <f>year</f>
        <v>2001</v>
      </c>
      <c r="H4" s="831"/>
      <c r="I4" s="825"/>
    </row>
    <row r="5" spans="1:9" ht="11.25" customHeight="1">
      <c r="A5" s="829"/>
      <c r="B5" s="829"/>
      <c r="C5" s="829"/>
      <c r="D5" s="829"/>
      <c r="E5" s="833"/>
      <c r="F5" s="829"/>
      <c r="G5" s="834" t="s">
        <v>1246</v>
      </c>
      <c r="H5" s="831"/>
      <c r="I5" s="825"/>
    </row>
    <row r="6" spans="1:9" ht="13.5" customHeight="1">
      <c r="A6" s="829"/>
      <c r="B6" s="829" t="s">
        <v>1247</v>
      </c>
      <c r="C6" s="829"/>
      <c r="D6" s="829"/>
      <c r="E6" s="833"/>
      <c r="F6" s="829"/>
      <c r="G6" s="829"/>
      <c r="H6" s="831"/>
      <c r="I6" s="825"/>
    </row>
    <row r="7" spans="1:9" ht="20.25" customHeight="1">
      <c r="A7" s="829"/>
      <c r="B7" s="830" t="s">
        <v>1248</v>
      </c>
      <c r="C7" s="829"/>
      <c r="D7" s="829"/>
      <c r="E7" s="833"/>
      <c r="F7" s="829"/>
      <c r="G7" s="829"/>
      <c r="H7" s="831"/>
      <c r="I7" s="825"/>
    </row>
    <row r="8" spans="1:9" ht="12" customHeight="1">
      <c r="A8" s="829"/>
      <c r="B8" s="835" t="s">
        <v>1249</v>
      </c>
      <c r="C8" s="836"/>
      <c r="D8" s="836"/>
      <c r="E8" s="837"/>
      <c r="F8" s="835" t="s">
        <v>1250</v>
      </c>
      <c r="G8" s="838"/>
      <c r="H8" s="839"/>
      <c r="I8" s="825"/>
    </row>
    <row r="9" spans="1:9" ht="27" customHeight="1">
      <c r="A9" s="829"/>
      <c r="B9" s="1010" t="str">
        <f>'T1 GEN-1'!D11&amp;" "&amp;'T1 GEN-1'!D13</f>
        <v> </v>
      </c>
      <c r="C9" s="1011"/>
      <c r="D9" s="1011"/>
      <c r="E9" s="1012"/>
      <c r="F9" s="840"/>
      <c r="G9" s="862">
        <f>'T1 GEN-1'!T11</f>
        <v>0</v>
      </c>
      <c r="H9" s="841"/>
      <c r="I9" s="825"/>
    </row>
    <row r="10" spans="1:9" ht="11.25" customHeight="1">
      <c r="A10" s="829"/>
      <c r="B10" s="842" t="s">
        <v>1251</v>
      </c>
      <c r="C10" s="843"/>
      <c r="D10" s="843"/>
      <c r="E10" s="844"/>
      <c r="F10" s="835" t="s">
        <v>1250</v>
      </c>
      <c r="G10" s="843"/>
      <c r="H10" s="839"/>
      <c r="I10" s="825"/>
    </row>
    <row r="11" spans="1:9" ht="27" customHeight="1">
      <c r="A11" s="829"/>
      <c r="B11" s="1013">
        <f>'T1 GEN-1'!S28</f>
        <v>0</v>
      </c>
      <c r="C11" s="1014"/>
      <c r="D11" s="1014"/>
      <c r="E11" s="1015"/>
      <c r="F11" s="864"/>
      <c r="G11" s="862">
        <f>'T1 GEN-1'!T25</f>
        <v>0</v>
      </c>
      <c r="H11" s="865"/>
      <c r="I11" s="825"/>
    </row>
    <row r="12" spans="1:9" ht="27.75" customHeight="1">
      <c r="A12" s="829"/>
      <c r="B12" s="832" t="s">
        <v>1252</v>
      </c>
      <c r="C12" s="829"/>
      <c r="D12" s="829"/>
      <c r="E12" s="833"/>
      <c r="F12" s="829"/>
      <c r="G12" s="829"/>
      <c r="H12" s="831"/>
      <c r="I12" s="825"/>
    </row>
    <row r="13" spans="1:9" ht="26.25" customHeight="1">
      <c r="A13" s="829"/>
      <c r="B13" s="843" t="s">
        <v>1285</v>
      </c>
      <c r="C13" s="843"/>
      <c r="D13" s="843"/>
      <c r="E13" s="844"/>
      <c r="F13" s="843"/>
      <c r="G13" s="843"/>
      <c r="H13" s="845"/>
      <c r="I13" s="825"/>
    </row>
    <row r="14" spans="1:9" ht="15.75">
      <c r="A14" s="846"/>
      <c r="B14" s="847" t="s">
        <v>1253</v>
      </c>
      <c r="C14" s="843"/>
      <c r="D14" s="843"/>
      <c r="E14" s="850">
        <f>IF(year=G4,'T4RSP'!J68,0)</f>
        <v>0</v>
      </c>
      <c r="F14" s="849">
        <v>1</v>
      </c>
      <c r="G14" s="843"/>
      <c r="H14" s="845"/>
      <c r="I14" s="825"/>
    </row>
    <row r="15" spans="1:9" ht="18">
      <c r="A15" s="846"/>
      <c r="B15" s="849" t="s">
        <v>1254</v>
      </c>
      <c r="C15" s="843"/>
      <c r="D15" s="843"/>
      <c r="E15" s="844"/>
      <c r="F15" s="843"/>
      <c r="G15" s="843"/>
      <c r="H15" s="845"/>
      <c r="I15" s="825"/>
    </row>
    <row r="16" spans="1:9" ht="15.75">
      <c r="A16" s="846"/>
      <c r="B16" s="849" t="s">
        <v>1255</v>
      </c>
      <c r="C16" s="843"/>
      <c r="D16" s="843"/>
      <c r="E16" s="850"/>
      <c r="F16" s="849">
        <v>2</v>
      </c>
      <c r="G16" s="843"/>
      <c r="H16" s="845"/>
      <c r="I16" s="825"/>
    </row>
    <row r="17" spans="1:9" ht="15.75">
      <c r="A17" s="846"/>
      <c r="B17" s="849" t="s">
        <v>1286</v>
      </c>
      <c r="C17" s="843"/>
      <c r="D17" s="843"/>
      <c r="E17" s="848">
        <f>E14-E16</f>
        <v>0</v>
      </c>
      <c r="F17" s="851" t="s">
        <v>1256</v>
      </c>
      <c r="G17" s="848">
        <f>E17</f>
        <v>0</v>
      </c>
      <c r="H17" s="849">
        <v>3</v>
      </c>
      <c r="I17" s="825"/>
    </row>
    <row r="18" spans="1:9" ht="18">
      <c r="A18" s="846"/>
      <c r="B18" s="849" t="s">
        <v>1257</v>
      </c>
      <c r="C18" s="843"/>
      <c r="D18" s="843"/>
      <c r="E18" s="844"/>
      <c r="F18" s="843"/>
      <c r="G18" s="843"/>
      <c r="H18" s="845"/>
      <c r="I18" s="825"/>
    </row>
    <row r="19" spans="1:9" ht="15.75">
      <c r="A19" s="846"/>
      <c r="B19" s="849" t="s">
        <v>1258</v>
      </c>
      <c r="C19" s="843"/>
      <c r="D19" s="843"/>
      <c r="E19" s="850"/>
      <c r="F19" s="849">
        <v>4</v>
      </c>
      <c r="G19" s="843"/>
      <c r="H19" s="845"/>
      <c r="I19" s="825"/>
    </row>
    <row r="20" spans="1:9" ht="15.75">
      <c r="A20" s="846"/>
      <c r="B20" s="849" t="s">
        <v>1259</v>
      </c>
      <c r="C20" s="843"/>
      <c r="D20" s="843"/>
      <c r="E20" s="852"/>
      <c r="F20" s="849"/>
      <c r="G20" s="843"/>
      <c r="H20" s="845"/>
      <c r="I20" s="825"/>
    </row>
    <row r="21" spans="1:9" ht="15">
      <c r="A21" s="829"/>
      <c r="B21" s="849" t="s">
        <v>1260</v>
      </c>
      <c r="C21" s="843"/>
      <c r="D21" s="843"/>
      <c r="E21" s="850"/>
      <c r="F21" s="849">
        <v>5</v>
      </c>
      <c r="G21" s="853"/>
      <c r="H21" s="854"/>
      <c r="I21" s="825"/>
    </row>
    <row r="22" spans="1:9" ht="15.75">
      <c r="A22" s="829"/>
      <c r="B22" s="843" t="s">
        <v>1287</v>
      </c>
      <c r="C22" s="843"/>
      <c r="D22" s="843"/>
      <c r="E22" s="848">
        <f>E19-E21</f>
        <v>0</v>
      </c>
      <c r="F22" s="851" t="s">
        <v>1256</v>
      </c>
      <c r="G22" s="848">
        <f>E22</f>
        <v>0</v>
      </c>
      <c r="H22" s="849">
        <v>6</v>
      </c>
      <c r="I22" s="825"/>
    </row>
    <row r="23" spans="1:9" ht="15">
      <c r="A23" s="829"/>
      <c r="B23" s="843" t="s">
        <v>1261</v>
      </c>
      <c r="C23" s="843"/>
      <c r="D23" s="843"/>
      <c r="E23" s="843"/>
      <c r="F23" s="843"/>
      <c r="G23" s="848">
        <f>E14</f>
        <v>0</v>
      </c>
      <c r="H23" s="849">
        <v>7</v>
      </c>
      <c r="I23" s="825"/>
    </row>
    <row r="24" spans="1:9" ht="12.75">
      <c r="A24" s="829"/>
      <c r="B24" s="843" t="s">
        <v>1288</v>
      </c>
      <c r="C24" s="843"/>
      <c r="D24" s="843"/>
      <c r="E24" s="843"/>
      <c r="F24" s="843"/>
      <c r="G24" s="853"/>
      <c r="H24" s="849"/>
      <c r="I24" s="825"/>
    </row>
    <row r="25" spans="1:9" ht="15">
      <c r="A25" s="829"/>
      <c r="B25" s="843" t="s">
        <v>1262</v>
      </c>
      <c r="C25" s="843"/>
      <c r="D25" s="843"/>
      <c r="E25" s="843"/>
      <c r="F25" s="843"/>
      <c r="G25" s="848">
        <f>MIN(G17,G22)</f>
        <v>0</v>
      </c>
      <c r="H25" s="849">
        <v>8</v>
      </c>
      <c r="I25" s="825"/>
    </row>
    <row r="26" spans="1:9" ht="15">
      <c r="A26" s="829"/>
      <c r="B26" s="843" t="s">
        <v>1289</v>
      </c>
      <c r="C26" s="843"/>
      <c r="D26" s="843"/>
      <c r="E26" s="843"/>
      <c r="F26" s="843"/>
      <c r="G26" s="848">
        <f>G23-G25</f>
        <v>0</v>
      </c>
      <c r="H26" s="849">
        <v>9</v>
      </c>
      <c r="I26" s="825"/>
    </row>
    <row r="27" spans="1:9" ht="17.25" customHeight="1">
      <c r="A27" s="829"/>
      <c r="B27" s="843"/>
      <c r="C27" s="843"/>
      <c r="D27" s="843"/>
      <c r="E27" s="843"/>
      <c r="F27" s="829"/>
      <c r="G27" s="853"/>
      <c r="H27" s="855"/>
      <c r="I27" s="825"/>
    </row>
    <row r="28" spans="1:9" ht="15.75">
      <c r="A28" s="829"/>
      <c r="B28" s="832" t="s">
        <v>1263</v>
      </c>
      <c r="C28" s="829"/>
      <c r="D28" s="829"/>
      <c r="E28" s="829"/>
      <c r="F28" s="829"/>
      <c r="G28" s="829"/>
      <c r="H28" s="856"/>
      <c r="I28" s="825"/>
    </row>
    <row r="29" spans="1:9" ht="28.5" customHeight="1">
      <c r="A29" s="829"/>
      <c r="B29" s="843" t="s">
        <v>1264</v>
      </c>
      <c r="C29" s="843"/>
      <c r="D29" s="843"/>
      <c r="E29" s="853"/>
      <c r="F29" s="843"/>
      <c r="G29" s="843"/>
      <c r="H29" s="857"/>
      <c r="I29" s="825"/>
    </row>
    <row r="30" spans="1:9" ht="15.75" customHeight="1">
      <c r="A30" s="829"/>
      <c r="B30" s="843" t="s">
        <v>1265</v>
      </c>
      <c r="C30" s="843"/>
      <c r="D30" s="843"/>
      <c r="E30" s="850">
        <f>IF(year=G4,'T4RIF'!J57,0)</f>
        <v>0</v>
      </c>
      <c r="F30" s="849">
        <v>10</v>
      </c>
      <c r="G30" s="863"/>
      <c r="H30" s="857"/>
      <c r="I30" s="825"/>
    </row>
    <row r="31" spans="1:9" ht="15" customHeight="1">
      <c r="A31" s="829"/>
      <c r="B31" s="843" t="s">
        <v>1266</v>
      </c>
      <c r="C31" s="843"/>
      <c r="D31" s="843"/>
      <c r="E31" s="853"/>
      <c r="F31" s="843"/>
      <c r="G31" s="863"/>
      <c r="H31" s="857"/>
      <c r="I31" s="825"/>
    </row>
    <row r="32" spans="1:9" ht="11.25" customHeight="1">
      <c r="A32" s="829"/>
      <c r="B32" s="843" t="s">
        <v>1267</v>
      </c>
      <c r="C32" s="843"/>
      <c r="D32" s="843"/>
      <c r="E32" s="858"/>
      <c r="F32" s="843"/>
      <c r="G32" s="849"/>
      <c r="H32" s="857"/>
      <c r="I32" s="825"/>
    </row>
    <row r="33" spans="1:9" ht="15.75">
      <c r="A33" s="829"/>
      <c r="B33" s="843" t="s">
        <v>1268</v>
      </c>
      <c r="C33" s="850">
        <f>IF(year=G4,'T4RIF'!J58,0)</f>
        <v>0</v>
      </c>
      <c r="D33" s="849">
        <v>11</v>
      </c>
      <c r="E33" s="863"/>
      <c r="F33" s="843"/>
      <c r="G33" s="843"/>
      <c r="H33" s="857"/>
      <c r="I33" s="825"/>
    </row>
    <row r="34" spans="1:9" ht="20.25" customHeight="1">
      <c r="A34" s="829"/>
      <c r="B34" s="843" t="s">
        <v>1269</v>
      </c>
      <c r="C34" s="843"/>
      <c r="D34" s="843"/>
      <c r="E34" s="858"/>
      <c r="F34" s="843"/>
      <c r="G34" s="843"/>
      <c r="H34" s="857"/>
      <c r="I34" s="825"/>
    </row>
    <row r="35" spans="1:9" ht="12.75">
      <c r="A35" s="829"/>
      <c r="B35" s="843" t="s">
        <v>1270</v>
      </c>
      <c r="C35" s="843"/>
      <c r="D35" s="843"/>
      <c r="E35" s="858"/>
      <c r="F35" s="843"/>
      <c r="G35" s="843"/>
      <c r="H35" s="857"/>
      <c r="I35" s="825"/>
    </row>
    <row r="36" spans="1:9" ht="15">
      <c r="A36" s="829"/>
      <c r="B36" s="843" t="s">
        <v>1271</v>
      </c>
      <c r="C36" s="850"/>
      <c r="D36" s="849">
        <v>12</v>
      </c>
      <c r="E36" s="858"/>
      <c r="F36" s="843"/>
      <c r="G36" s="843"/>
      <c r="H36" s="857"/>
      <c r="I36" s="825"/>
    </row>
    <row r="37" spans="1:9" ht="15.75">
      <c r="A37" s="829"/>
      <c r="B37" s="843" t="s">
        <v>1290</v>
      </c>
      <c r="C37" s="848">
        <f>C33-C36</f>
        <v>0</v>
      </c>
      <c r="D37" s="851" t="s">
        <v>1256</v>
      </c>
      <c r="E37" s="848">
        <f>C37</f>
        <v>0</v>
      </c>
      <c r="F37" s="849">
        <v>13</v>
      </c>
      <c r="G37" s="843"/>
      <c r="H37" s="857"/>
      <c r="I37" s="825"/>
    </row>
    <row r="38" spans="1:9" ht="15.75">
      <c r="A38" s="829"/>
      <c r="B38" s="843" t="s">
        <v>1291</v>
      </c>
      <c r="C38" s="843"/>
      <c r="D38" s="843"/>
      <c r="E38" s="848">
        <f>E30+E37</f>
        <v>0</v>
      </c>
      <c r="F38" s="851" t="s">
        <v>1256</v>
      </c>
      <c r="G38" s="848">
        <f>E38</f>
        <v>0</v>
      </c>
      <c r="H38" s="849">
        <v>14</v>
      </c>
      <c r="I38" s="825"/>
    </row>
    <row r="39" spans="1:9" ht="18" customHeight="1">
      <c r="A39" s="829"/>
      <c r="B39" s="843" t="s">
        <v>1272</v>
      </c>
      <c r="C39" s="843"/>
      <c r="D39" s="843"/>
      <c r="E39" s="858"/>
      <c r="F39" s="843"/>
      <c r="G39" s="843"/>
      <c r="H39" s="857"/>
      <c r="I39" s="825"/>
    </row>
    <row r="40" spans="1:9" ht="12.75">
      <c r="A40" s="829"/>
      <c r="B40" s="843" t="s">
        <v>1273</v>
      </c>
      <c r="C40" s="843"/>
      <c r="D40" s="843"/>
      <c r="E40" s="858"/>
      <c r="F40" s="843"/>
      <c r="G40" s="843"/>
      <c r="H40" s="857"/>
      <c r="I40" s="825"/>
    </row>
    <row r="41" spans="1:9" ht="15">
      <c r="A41" s="829"/>
      <c r="B41" s="843" t="s">
        <v>1274</v>
      </c>
      <c r="C41" s="843"/>
      <c r="D41" s="843"/>
      <c r="E41" s="850">
        <f>E19</f>
        <v>0</v>
      </c>
      <c r="F41" s="849">
        <v>15</v>
      </c>
      <c r="G41" s="843"/>
      <c r="H41" s="857"/>
      <c r="I41" s="825"/>
    </row>
    <row r="42" spans="1:9" ht="18" customHeight="1">
      <c r="A42" s="829"/>
      <c r="B42" s="843" t="s">
        <v>1275</v>
      </c>
      <c r="C42" s="843"/>
      <c r="D42" s="843"/>
      <c r="E42" s="858"/>
      <c r="F42" s="843"/>
      <c r="G42" s="859"/>
      <c r="H42" s="857"/>
      <c r="I42" s="825"/>
    </row>
    <row r="43" spans="1:9" ht="12.75">
      <c r="A43" s="829"/>
      <c r="B43" s="843" t="s">
        <v>1276</v>
      </c>
      <c r="C43" s="843"/>
      <c r="D43" s="843"/>
      <c r="E43" s="858"/>
      <c r="F43" s="843"/>
      <c r="G43" s="859"/>
      <c r="H43" s="854"/>
      <c r="I43" s="825"/>
    </row>
    <row r="44" spans="1:9" ht="15">
      <c r="A44" s="829"/>
      <c r="B44" s="843" t="s">
        <v>1277</v>
      </c>
      <c r="C44" s="843"/>
      <c r="D44" s="843"/>
      <c r="E44" s="850">
        <f>E21+G25</f>
        <v>0</v>
      </c>
      <c r="F44" s="849">
        <v>16</v>
      </c>
      <c r="G44" s="859"/>
      <c r="H44" s="857"/>
      <c r="I44" s="825"/>
    </row>
    <row r="45" spans="1:9" ht="15.75">
      <c r="A45" s="829"/>
      <c r="B45" s="843" t="s">
        <v>1292</v>
      </c>
      <c r="C45" s="843"/>
      <c r="D45" s="843"/>
      <c r="E45" s="848">
        <f>E41-E44</f>
        <v>0</v>
      </c>
      <c r="F45" s="851" t="s">
        <v>1256</v>
      </c>
      <c r="G45" s="848">
        <f>E45</f>
        <v>0</v>
      </c>
      <c r="H45" s="849">
        <v>17</v>
      </c>
      <c r="I45" s="825"/>
    </row>
    <row r="46" spans="1:9" ht="12.75">
      <c r="A46" s="829"/>
      <c r="B46" s="843" t="s">
        <v>1278</v>
      </c>
      <c r="C46" s="843"/>
      <c r="D46" s="843"/>
      <c r="E46" s="858"/>
      <c r="F46" s="843"/>
      <c r="G46" s="843"/>
      <c r="H46" s="857"/>
      <c r="I46" s="825"/>
    </row>
    <row r="47" spans="1:9" ht="15.75">
      <c r="A47" s="829"/>
      <c r="B47" s="843" t="s">
        <v>1279</v>
      </c>
      <c r="C47" s="843"/>
      <c r="D47" s="843"/>
      <c r="E47" s="858"/>
      <c r="F47" s="843"/>
      <c r="G47" s="850">
        <f>IF(year=G4,'T4RIF'!J56+'T4RIF'!J57,0)</f>
        <v>0</v>
      </c>
      <c r="H47" s="849">
        <v>18</v>
      </c>
      <c r="I47" s="863"/>
    </row>
    <row r="48" spans="1:9" ht="16.5" customHeight="1">
      <c r="A48" s="829"/>
      <c r="B48" s="843" t="s">
        <v>1293</v>
      </c>
      <c r="C48" s="843"/>
      <c r="D48" s="843"/>
      <c r="E48" s="858"/>
      <c r="F48" s="843"/>
      <c r="G48" s="843"/>
      <c r="H48" s="857"/>
      <c r="I48" s="825"/>
    </row>
    <row r="49" spans="1:9" ht="11.25" customHeight="1">
      <c r="A49" s="829"/>
      <c r="B49" s="843" t="s">
        <v>1280</v>
      </c>
      <c r="C49" s="843"/>
      <c r="D49" s="843"/>
      <c r="E49" s="858"/>
      <c r="F49" s="843"/>
      <c r="G49" s="843"/>
      <c r="H49" s="857"/>
      <c r="I49" s="825"/>
    </row>
    <row r="50" spans="1:9" ht="15">
      <c r="A50" s="829"/>
      <c r="B50" s="843" t="s">
        <v>1281</v>
      </c>
      <c r="C50" s="843"/>
      <c r="D50" s="843"/>
      <c r="E50" s="858"/>
      <c r="F50" s="843"/>
      <c r="G50" s="848">
        <f>MIN(G38,G45)</f>
        <v>0</v>
      </c>
      <c r="H50" s="849">
        <v>19</v>
      </c>
      <c r="I50" s="825"/>
    </row>
    <row r="51" spans="1:9" ht="15">
      <c r="A51" s="829"/>
      <c r="B51" s="843" t="s">
        <v>1294</v>
      </c>
      <c r="C51" s="843"/>
      <c r="D51" s="843"/>
      <c r="E51" s="858"/>
      <c r="F51" s="843"/>
      <c r="G51" s="848">
        <f>G47-G50</f>
        <v>0</v>
      </c>
      <c r="H51" s="849">
        <v>20</v>
      </c>
      <c r="I51" s="825"/>
    </row>
    <row r="52" spans="1:9" ht="11.25" customHeight="1">
      <c r="A52" s="829"/>
      <c r="B52" s="843" t="s">
        <v>1282</v>
      </c>
      <c r="C52" s="843"/>
      <c r="D52" s="843"/>
      <c r="E52" s="858"/>
      <c r="F52" s="843"/>
      <c r="G52" s="843"/>
      <c r="H52" s="857"/>
      <c r="I52" s="825"/>
    </row>
    <row r="53" spans="1:9" ht="45" customHeight="1">
      <c r="A53" s="829"/>
      <c r="B53" s="860" t="s">
        <v>1283</v>
      </c>
      <c r="C53" s="843"/>
      <c r="D53" s="843"/>
      <c r="E53" s="858"/>
      <c r="F53" s="829"/>
      <c r="G53" s="829"/>
      <c r="H53" s="856"/>
      <c r="I53" s="825"/>
    </row>
    <row r="54" spans="1:9" ht="11.25" customHeight="1">
      <c r="A54" s="829"/>
      <c r="B54" s="861" t="s">
        <v>1284</v>
      </c>
      <c r="C54" s="843"/>
      <c r="D54" s="843"/>
      <c r="E54" s="858"/>
      <c r="F54" s="829"/>
      <c r="G54" s="829"/>
      <c r="H54" s="856"/>
      <c r="I54" s="825"/>
    </row>
    <row r="55" spans="1:9" ht="11.25" customHeight="1">
      <c r="A55" s="829"/>
      <c r="B55" s="843"/>
      <c r="C55" s="843"/>
      <c r="D55" s="843"/>
      <c r="E55" s="858"/>
      <c r="F55" s="829"/>
      <c r="G55" s="829"/>
      <c r="H55" s="856"/>
      <c r="I55" s="825"/>
    </row>
    <row r="56" ht="12.75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</sheetData>
  <sheetProtection password="EC35" sheet="1" objects="1" scenarios="1"/>
  <mergeCells count="2">
    <mergeCell ref="B9:E9"/>
    <mergeCell ref="B11:E11"/>
  </mergeCells>
  <dataValidations count="8">
    <dataValidation allowBlank="1" showInputMessage="1" showErrorMessage="1" promptTitle="DEFAULT FORMULA" prompt="From line 4 of Part 1 above.  If you didn't complete part 1 above, enter the value as per the instructions for this line" sqref="E41"/>
    <dataValidation allowBlank="1" showInputMessage="1" showErrorMessage="1" promptTitle="DEFAULT FORMULA" prompt="Line 5 plus line 8 from Part 1 above.  If you didn't complete Part 1, enter the value as per the instructions for this line" sqref="E44"/>
    <dataValidation allowBlank="1" showInputMessage="1" showErrorMessage="1" promptTitle="DEFAULT FORMULA" prompt="This formula is for the year of this income tax return.  If you are working out another year, then put in the proper value for that year." sqref="E14"/>
    <dataValidation allowBlank="1" showInputMessage="1" showErrorMessage="1" promptTitle="DEFAULT FORMULA" prompt="This formula is for the tax year of this income tax return.  If you are calculating for another year, then put in the proper data for that year." sqref="G47"/>
    <dataValidation allowBlank="1" showInputMessage="1" showErrorMessage="1" promptTitle="DEFAULT FORMULA" prompt="This formula is for the year of this income tax return.  If you are caculating another year, then put in the proper data for that year." sqref="C33"/>
    <dataValidation allowBlank="1" showInputMessage="1" showErrorMessage="1" promptTitle="DEFAULT FORMULA" prompt="This formula is for the tax year of this income tax return.  If you are calculating another year, then put in the proper data for that year." sqref="E30"/>
    <dataValidation allowBlank="1" showInputMessage="1" showErrorMessage="1" promptTitle="DEFAULT FORMULA" prompt="If doing this calculation for a year other than the tax year of this form, then please enter the four digits of the year" sqref="G4"/>
    <dataValidation allowBlank="1" showInputMessage="1" showErrorMessage="1" promptTitle="DEFAULT FORMULA" prompt="If you wish, you can override this which comes from T1 GEN-1 spouse or common law partner information." sqref="B11:E11"/>
  </dataValidations>
  <printOptions horizontalCentered="1"/>
  <pageMargins left="0.4" right="0.45" top="0.5" bottom="0.25" header="0.24" footer="0.5"/>
  <pageSetup fitToHeight="1" fitToWidth="1" horizontalDpi="600" verticalDpi="600" orientation="portrait" scale="81" r:id="rId4"/>
  <drawing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111111111">
    <pageSetUpPr fitToPage="1"/>
  </sheetPr>
  <dimension ref="A1:IV70"/>
  <sheetViews>
    <sheetView showGridLines="0" showRowColHeaders="0" zoomScale="60" zoomScaleNormal="60" workbookViewId="0" topLeftCell="A1">
      <selection activeCell="B1" sqref="B1"/>
    </sheetView>
  </sheetViews>
  <sheetFormatPr defaultColWidth="8.88671875" defaultRowHeight="15"/>
  <cols>
    <col min="1" max="1" width="1.77734375" style="67" customWidth="1"/>
    <col min="2" max="2" width="8.3359375" style="67" customWidth="1"/>
    <col min="3" max="3" width="34.77734375" style="67" customWidth="1"/>
    <col min="4" max="4" width="7.99609375" style="67" customWidth="1"/>
    <col min="5" max="10" width="12.21484375" style="67" customWidth="1"/>
    <col min="11" max="11" width="1.88671875" style="67" customWidth="1"/>
    <col min="12" max="16384" width="8.88671875" style="67" customWidth="1"/>
  </cols>
  <sheetData>
    <row r="1" spans="2:11" ht="18">
      <c r="B1" s="64"/>
      <c r="C1" s="62" t="s">
        <v>1125</v>
      </c>
      <c r="D1" s="62"/>
      <c r="E1" s="562" t="s">
        <v>1648</v>
      </c>
      <c r="F1" s="64"/>
      <c r="G1" s="64"/>
      <c r="H1" s="65"/>
      <c r="I1" s="64"/>
      <c r="J1" s="65" t="s">
        <v>1584</v>
      </c>
      <c r="K1" s="66"/>
    </row>
    <row r="2" spans="2:11" ht="15.75">
      <c r="B2" s="64"/>
      <c r="C2" s="64"/>
      <c r="D2" s="68"/>
      <c r="E2" s="66"/>
      <c r="F2" s="64"/>
      <c r="G2" s="64"/>
      <c r="H2" s="64"/>
      <c r="I2" s="64"/>
      <c r="J2" s="64"/>
      <c r="K2" s="66"/>
    </row>
    <row r="3" spans="2:11" ht="18">
      <c r="B3" s="69"/>
      <c r="C3" s="69" t="s">
        <v>156</v>
      </c>
      <c r="D3" s="64"/>
      <c r="E3" s="68"/>
      <c r="F3" s="64"/>
      <c r="G3" s="64"/>
      <c r="H3" s="64"/>
      <c r="I3" s="64"/>
      <c r="J3" s="64"/>
      <c r="K3" s="66"/>
    </row>
    <row r="4" spans="2:11" ht="18">
      <c r="B4" s="69"/>
      <c r="C4" s="69" t="s">
        <v>157</v>
      </c>
      <c r="D4" s="64"/>
      <c r="E4" s="68"/>
      <c r="F4" s="64"/>
      <c r="G4" s="64"/>
      <c r="H4" s="64"/>
      <c r="I4" s="64"/>
      <c r="J4" s="64"/>
      <c r="K4" s="66"/>
    </row>
    <row r="5" spans="2:11" ht="18">
      <c r="B5" s="69"/>
      <c r="C5" s="69" t="s">
        <v>739</v>
      </c>
      <c r="D5" s="64"/>
      <c r="E5" s="68"/>
      <c r="F5" s="64"/>
      <c r="G5" s="64"/>
      <c r="H5" s="64"/>
      <c r="I5" s="64"/>
      <c r="J5" s="64"/>
      <c r="K5" s="66"/>
    </row>
    <row r="6" spans="2:11" ht="18">
      <c r="B6" s="69"/>
      <c r="C6" s="69" t="s">
        <v>1118</v>
      </c>
      <c r="D6" s="64"/>
      <c r="E6" s="68"/>
      <c r="F6" s="64"/>
      <c r="G6" s="64"/>
      <c r="H6" s="64"/>
      <c r="I6" s="64"/>
      <c r="J6" s="64"/>
      <c r="K6" s="66"/>
    </row>
    <row r="7" spans="2:11" ht="18">
      <c r="B7" s="69"/>
      <c r="C7" s="69" t="s">
        <v>320</v>
      </c>
      <c r="D7" s="64"/>
      <c r="E7" s="68"/>
      <c r="F7" s="64"/>
      <c r="G7" s="64"/>
      <c r="H7" s="64"/>
      <c r="I7" s="64"/>
      <c r="J7" s="64"/>
      <c r="K7" s="66"/>
    </row>
    <row r="8" spans="2:11" ht="18">
      <c r="B8" s="69"/>
      <c r="C8" s="69" t="s">
        <v>1119</v>
      </c>
      <c r="D8" s="64"/>
      <c r="E8" s="68"/>
      <c r="F8" s="64"/>
      <c r="G8" s="64"/>
      <c r="H8" s="64"/>
      <c r="I8" s="64"/>
      <c r="J8" s="64"/>
      <c r="K8" s="66"/>
    </row>
    <row r="9" spans="2:11" ht="18">
      <c r="B9" s="69"/>
      <c r="C9" s="69" t="s">
        <v>1126</v>
      </c>
      <c r="D9" s="64"/>
      <c r="E9" s="68"/>
      <c r="F9" s="64"/>
      <c r="G9" s="64"/>
      <c r="H9" s="64"/>
      <c r="I9" s="64"/>
      <c r="J9" s="64"/>
      <c r="K9" s="66"/>
    </row>
    <row r="10" spans="2:11" ht="18">
      <c r="B10" s="69"/>
      <c r="C10" s="69" t="s">
        <v>1127</v>
      </c>
      <c r="D10" s="64"/>
      <c r="E10" s="68"/>
      <c r="F10" s="64"/>
      <c r="G10" s="64"/>
      <c r="H10" s="64"/>
      <c r="I10" s="64"/>
      <c r="J10" s="64"/>
      <c r="K10" s="66"/>
    </row>
    <row r="11" spans="2:11" ht="18">
      <c r="B11" s="69"/>
      <c r="C11" s="69" t="s">
        <v>1775</v>
      </c>
      <c r="D11" s="64"/>
      <c r="E11" s="68"/>
      <c r="F11" s="64"/>
      <c r="G11" s="64"/>
      <c r="H11" s="64"/>
      <c r="I11" s="64"/>
      <c r="J11" s="64"/>
      <c r="K11" s="66"/>
    </row>
    <row r="12" spans="2:11" ht="18">
      <c r="B12" s="69"/>
      <c r="C12" s="69" t="s">
        <v>71</v>
      </c>
      <c r="D12" s="64"/>
      <c r="E12" s="68"/>
      <c r="F12" s="64"/>
      <c r="G12" s="64"/>
      <c r="H12" s="64"/>
      <c r="I12" s="64"/>
      <c r="J12" s="64"/>
      <c r="K12" s="66"/>
    </row>
    <row r="13" spans="2:11" ht="18">
      <c r="B13" s="69"/>
      <c r="C13" s="69"/>
      <c r="D13" s="64"/>
      <c r="E13" s="68"/>
      <c r="F13" s="64"/>
      <c r="G13" s="64"/>
      <c r="H13" s="64"/>
      <c r="I13" s="64"/>
      <c r="J13" s="64"/>
      <c r="K13" s="66"/>
    </row>
    <row r="14" spans="2:11" ht="23.25">
      <c r="B14" s="620" t="s">
        <v>608</v>
      </c>
      <c r="C14" s="69"/>
      <c r="D14" s="64"/>
      <c r="E14" s="68"/>
      <c r="F14" s="64"/>
      <c r="G14" s="64"/>
      <c r="H14" s="64"/>
      <c r="I14" s="64"/>
      <c r="J14" s="64"/>
      <c r="K14" s="66"/>
    </row>
    <row r="15" spans="2:11" ht="36">
      <c r="B15" s="72" t="s">
        <v>1967</v>
      </c>
      <c r="C15" s="72" t="s">
        <v>1968</v>
      </c>
      <c r="D15" s="72" t="s">
        <v>1969</v>
      </c>
      <c r="E15" s="72" t="s">
        <v>1120</v>
      </c>
      <c r="F15" s="72" t="s">
        <v>1121</v>
      </c>
      <c r="G15" s="72" t="s">
        <v>1122</v>
      </c>
      <c r="H15" s="72" t="s">
        <v>1123</v>
      </c>
      <c r="I15" s="72" t="s">
        <v>1124</v>
      </c>
      <c r="J15" s="73" t="s">
        <v>508</v>
      </c>
      <c r="K15" s="66"/>
    </row>
    <row r="16" spans="2:11" ht="18">
      <c r="B16" s="69"/>
      <c r="C16" s="69"/>
      <c r="D16" s="64"/>
      <c r="E16" s="68"/>
      <c r="F16" s="64"/>
      <c r="G16" s="64"/>
      <c r="H16" s="64"/>
      <c r="I16" s="64"/>
      <c r="J16" s="64"/>
      <c r="K16" s="66"/>
    </row>
    <row r="17" spans="2:11" ht="18">
      <c r="B17" s="77" t="s">
        <v>509</v>
      </c>
      <c r="C17" s="568" t="s">
        <v>1423</v>
      </c>
      <c r="D17" s="77"/>
      <c r="E17" s="617"/>
      <c r="F17" s="617"/>
      <c r="G17" s="617"/>
      <c r="H17" s="617"/>
      <c r="I17" s="617"/>
      <c r="J17" s="438">
        <f>SUM(E17:I17)</f>
        <v>0</v>
      </c>
      <c r="K17" s="66"/>
    </row>
    <row r="18" spans="2:11" ht="18">
      <c r="B18" s="77"/>
      <c r="C18" s="69"/>
      <c r="D18" s="64"/>
      <c r="E18" s="68"/>
      <c r="F18" s="64"/>
      <c r="G18" s="64"/>
      <c r="H18" s="68"/>
      <c r="I18" s="64"/>
      <c r="J18" s="64"/>
      <c r="K18" s="66"/>
    </row>
    <row r="19" spans="2:11" ht="18">
      <c r="B19" s="77" t="s">
        <v>895</v>
      </c>
      <c r="C19" s="568" t="s">
        <v>1424</v>
      </c>
      <c r="D19" s="77" t="s">
        <v>1455</v>
      </c>
      <c r="E19" s="617"/>
      <c r="F19" s="617"/>
      <c r="G19" s="617"/>
      <c r="H19" s="617"/>
      <c r="I19" s="617"/>
      <c r="J19" s="438">
        <f>SUM(E19:I19)</f>
        <v>0</v>
      </c>
      <c r="K19" s="66"/>
    </row>
    <row r="20" spans="1:256" s="619" customFormat="1" ht="18">
      <c r="A20" s="618"/>
      <c r="B20" s="77"/>
      <c r="C20" s="562"/>
      <c r="D20" s="62"/>
      <c r="E20" s="68"/>
      <c r="F20" s="64"/>
      <c r="G20" s="64"/>
      <c r="H20" s="68"/>
      <c r="I20" s="64"/>
      <c r="J20" s="64"/>
      <c r="K20" s="66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618"/>
      <c r="AM20" s="618"/>
      <c r="AN20" s="618"/>
      <c r="AO20" s="618"/>
      <c r="AP20" s="618"/>
      <c r="AQ20" s="618"/>
      <c r="AR20" s="618"/>
      <c r="AS20" s="618"/>
      <c r="AT20" s="618"/>
      <c r="AU20" s="618"/>
      <c r="AV20" s="618"/>
      <c r="AW20" s="618"/>
      <c r="AX20" s="618"/>
      <c r="AY20" s="618"/>
      <c r="AZ20" s="618"/>
      <c r="BA20" s="618"/>
      <c r="BB20" s="618"/>
      <c r="BC20" s="618"/>
      <c r="BD20" s="618"/>
      <c r="BE20" s="618"/>
      <c r="BF20" s="618"/>
      <c r="BG20" s="618"/>
      <c r="BH20" s="618"/>
      <c r="BI20" s="618"/>
      <c r="BJ20" s="618"/>
      <c r="BK20" s="618"/>
      <c r="BL20" s="618"/>
      <c r="BM20" s="618"/>
      <c r="BN20" s="618"/>
      <c r="BO20" s="618"/>
      <c r="BP20" s="618"/>
      <c r="BQ20" s="618"/>
      <c r="BR20" s="618"/>
      <c r="BS20" s="618"/>
      <c r="BT20" s="618"/>
      <c r="BU20" s="618"/>
      <c r="BV20" s="618"/>
      <c r="BW20" s="618"/>
      <c r="BX20" s="618"/>
      <c r="BY20" s="618"/>
      <c r="BZ20" s="618"/>
      <c r="CA20" s="618"/>
      <c r="CB20" s="618"/>
      <c r="CC20" s="618"/>
      <c r="CD20" s="618"/>
      <c r="CE20" s="618"/>
      <c r="CF20" s="618"/>
      <c r="CG20" s="618"/>
      <c r="CH20" s="618"/>
      <c r="CI20" s="618"/>
      <c r="CJ20" s="618"/>
      <c r="CK20" s="618"/>
      <c r="CL20" s="618"/>
      <c r="CM20" s="618"/>
      <c r="CN20" s="618"/>
      <c r="CO20" s="618"/>
      <c r="CP20" s="618"/>
      <c r="CQ20" s="618"/>
      <c r="CR20" s="618"/>
      <c r="CS20" s="618"/>
      <c r="CT20" s="618"/>
      <c r="CU20" s="618"/>
      <c r="CV20" s="618"/>
      <c r="CW20" s="618"/>
      <c r="CX20" s="618"/>
      <c r="CY20" s="618"/>
      <c r="CZ20" s="618"/>
      <c r="DA20" s="618"/>
      <c r="DB20" s="618"/>
      <c r="DC20" s="618"/>
      <c r="DD20" s="618"/>
      <c r="DE20" s="618"/>
      <c r="DF20" s="618"/>
      <c r="DG20" s="618"/>
      <c r="DH20" s="618"/>
      <c r="DI20" s="618"/>
      <c r="DJ20" s="618"/>
      <c r="DK20" s="618"/>
      <c r="DL20" s="618"/>
      <c r="DM20" s="618"/>
      <c r="DN20" s="618"/>
      <c r="DO20" s="618"/>
      <c r="DP20" s="618"/>
      <c r="DQ20" s="618"/>
      <c r="DR20" s="618"/>
      <c r="DS20" s="618"/>
      <c r="DT20" s="618"/>
      <c r="DU20" s="618"/>
      <c r="DV20" s="618"/>
      <c r="DW20" s="618"/>
      <c r="DX20" s="618"/>
      <c r="DY20" s="618"/>
      <c r="DZ20" s="618"/>
      <c r="EA20" s="618"/>
      <c r="EB20" s="618"/>
      <c r="EC20" s="618"/>
      <c r="ED20" s="618"/>
      <c r="EE20" s="618"/>
      <c r="EF20" s="618"/>
      <c r="EG20" s="618"/>
      <c r="EH20" s="618"/>
      <c r="EI20" s="618"/>
      <c r="EJ20" s="618"/>
      <c r="EK20" s="618"/>
      <c r="EL20" s="618"/>
      <c r="EM20" s="618"/>
      <c r="EN20" s="618"/>
      <c r="EO20" s="618"/>
      <c r="EP20" s="618"/>
      <c r="EQ20" s="618"/>
      <c r="ER20" s="618"/>
      <c r="ES20" s="618"/>
      <c r="ET20" s="618"/>
      <c r="EU20" s="618"/>
      <c r="EV20" s="618"/>
      <c r="EW20" s="618"/>
      <c r="EX20" s="618"/>
      <c r="EY20" s="618"/>
      <c r="EZ20" s="618"/>
      <c r="FA20" s="618"/>
      <c r="FB20" s="618"/>
      <c r="FC20" s="618"/>
      <c r="FD20" s="618"/>
      <c r="FE20" s="618"/>
      <c r="FF20" s="618"/>
      <c r="FG20" s="618"/>
      <c r="FH20" s="618"/>
      <c r="FI20" s="618"/>
      <c r="FJ20" s="618"/>
      <c r="FK20" s="618"/>
      <c r="FL20" s="618"/>
      <c r="FM20" s="618"/>
      <c r="FN20" s="618"/>
      <c r="FO20" s="618"/>
      <c r="FP20" s="618"/>
      <c r="FQ20" s="618"/>
      <c r="FR20" s="618"/>
      <c r="FS20" s="618"/>
      <c r="FT20" s="618"/>
      <c r="FU20" s="618"/>
      <c r="FV20" s="618"/>
      <c r="FW20" s="618"/>
      <c r="FX20" s="618"/>
      <c r="FY20" s="618"/>
      <c r="FZ20" s="618"/>
      <c r="GA20" s="618"/>
      <c r="GB20" s="618"/>
      <c r="GC20" s="618"/>
      <c r="GD20" s="618"/>
      <c r="GE20" s="618"/>
      <c r="GF20" s="618"/>
      <c r="GG20" s="618"/>
      <c r="GH20" s="618"/>
      <c r="GI20" s="618"/>
      <c r="GJ20" s="618"/>
      <c r="GK20" s="618"/>
      <c r="GL20" s="618"/>
      <c r="GM20" s="618"/>
      <c r="GN20" s="618"/>
      <c r="GO20" s="618"/>
      <c r="GP20" s="618"/>
      <c r="GQ20" s="618"/>
      <c r="GR20" s="618"/>
      <c r="GS20" s="618"/>
      <c r="GT20" s="618"/>
      <c r="GU20" s="618"/>
      <c r="GV20" s="618"/>
      <c r="GW20" s="618"/>
      <c r="GX20" s="618"/>
      <c r="GY20" s="618"/>
      <c r="GZ20" s="618"/>
      <c r="HA20" s="618"/>
      <c r="HB20" s="618"/>
      <c r="HC20" s="618"/>
      <c r="HD20" s="618"/>
      <c r="HE20" s="618"/>
      <c r="HF20" s="618"/>
      <c r="HG20" s="618"/>
      <c r="HH20" s="618"/>
      <c r="HI20" s="618"/>
      <c r="HJ20" s="618"/>
      <c r="HK20" s="618"/>
      <c r="HL20" s="618"/>
      <c r="HM20" s="618"/>
      <c r="HN20" s="618"/>
      <c r="HO20" s="618"/>
      <c r="HP20" s="618"/>
      <c r="HQ20" s="618"/>
      <c r="HR20" s="618"/>
      <c r="HS20" s="618"/>
      <c r="HT20" s="618"/>
      <c r="HU20" s="618"/>
      <c r="HV20" s="618"/>
      <c r="HW20" s="618"/>
      <c r="HX20" s="618"/>
      <c r="HY20" s="618"/>
      <c r="HZ20" s="618"/>
      <c r="IA20" s="618"/>
      <c r="IB20" s="618"/>
      <c r="IC20" s="618"/>
      <c r="ID20" s="618"/>
      <c r="IE20" s="618"/>
      <c r="IF20" s="618"/>
      <c r="IG20" s="618"/>
      <c r="IH20" s="618"/>
      <c r="II20" s="618"/>
      <c r="IJ20" s="618"/>
      <c r="IK20" s="618"/>
      <c r="IL20" s="618"/>
      <c r="IM20" s="618"/>
      <c r="IN20" s="618"/>
      <c r="IO20" s="618"/>
      <c r="IP20" s="618"/>
      <c r="IQ20" s="618"/>
      <c r="IR20" s="618"/>
      <c r="IS20" s="618"/>
      <c r="IT20" s="618"/>
      <c r="IU20" s="618"/>
      <c r="IV20" s="618"/>
    </row>
    <row r="21" spans="2:11" ht="18">
      <c r="B21" s="77" t="s">
        <v>897</v>
      </c>
      <c r="C21" s="568" t="s">
        <v>1425</v>
      </c>
      <c r="D21" s="77" t="s">
        <v>125</v>
      </c>
      <c r="E21" s="617"/>
      <c r="F21" s="617"/>
      <c r="G21" s="617"/>
      <c r="H21" s="617"/>
      <c r="I21" s="617"/>
      <c r="J21" s="438">
        <f>SUM(E21:I21)</f>
        <v>0</v>
      </c>
      <c r="K21" s="66"/>
    </row>
    <row r="22" spans="2:11" ht="18">
      <c r="B22" s="77"/>
      <c r="C22" s="69"/>
      <c r="D22" s="64"/>
      <c r="E22" s="62"/>
      <c r="F22" s="64"/>
      <c r="G22" s="64"/>
      <c r="H22" s="64"/>
      <c r="I22" s="64"/>
      <c r="J22" s="64"/>
      <c r="K22" s="66"/>
    </row>
    <row r="23" spans="2:11" ht="18">
      <c r="B23" s="77" t="s">
        <v>899</v>
      </c>
      <c r="C23" s="568" t="s">
        <v>838</v>
      </c>
      <c r="D23" s="92" t="s">
        <v>1456</v>
      </c>
      <c r="E23" s="617"/>
      <c r="F23" s="617"/>
      <c r="G23" s="617"/>
      <c r="H23" s="617"/>
      <c r="I23" s="617"/>
      <c r="J23" s="438">
        <f>SUM(E23:I23)</f>
        <v>0</v>
      </c>
      <c r="K23" s="66"/>
    </row>
    <row r="24" spans="2:11" ht="18">
      <c r="B24" s="77"/>
      <c r="C24" s="69"/>
      <c r="D24" s="583"/>
      <c r="E24" s="62"/>
      <c r="F24" s="64"/>
      <c r="G24" s="64"/>
      <c r="H24" s="64"/>
      <c r="I24" s="64"/>
      <c r="J24" s="64"/>
      <c r="K24" s="66"/>
    </row>
    <row r="25" spans="2:11" ht="18">
      <c r="B25" s="77" t="s">
        <v>511</v>
      </c>
      <c r="C25" s="568" t="s">
        <v>848</v>
      </c>
      <c r="D25" s="77" t="s">
        <v>1456</v>
      </c>
      <c r="E25" s="617"/>
      <c r="F25" s="617"/>
      <c r="G25" s="617"/>
      <c r="H25" s="617"/>
      <c r="I25" s="617"/>
      <c r="J25" s="438">
        <f>SUM(E25:I25)</f>
        <v>0</v>
      </c>
      <c r="K25" s="66"/>
    </row>
    <row r="26" spans="2:11" ht="18">
      <c r="B26" s="69"/>
      <c r="C26" s="568" t="s">
        <v>849</v>
      </c>
      <c r="D26" s="64"/>
      <c r="E26" s="68"/>
      <c r="F26" s="64"/>
      <c r="G26" s="64"/>
      <c r="H26" s="64"/>
      <c r="I26" s="64"/>
      <c r="J26" s="64"/>
      <c r="K26" s="66"/>
    </row>
    <row r="27" spans="2:11" ht="18">
      <c r="B27" s="77" t="s">
        <v>444</v>
      </c>
      <c r="C27" s="568" t="s">
        <v>839</v>
      </c>
      <c r="D27" s="77" t="s">
        <v>1456</v>
      </c>
      <c r="E27" s="617"/>
      <c r="F27" s="617"/>
      <c r="G27" s="617"/>
      <c r="H27" s="617"/>
      <c r="I27" s="617"/>
      <c r="J27" s="438">
        <f>SUM(E27:I27)</f>
        <v>0</v>
      </c>
      <c r="K27" s="66"/>
    </row>
    <row r="28" spans="2:11" ht="18">
      <c r="B28" s="77"/>
      <c r="C28" s="568"/>
      <c r="D28" s="64"/>
      <c r="E28" s="68"/>
      <c r="F28" s="64"/>
      <c r="G28" s="64"/>
      <c r="H28" s="68"/>
      <c r="I28" s="64"/>
      <c r="J28" s="64"/>
      <c r="K28" s="66"/>
    </row>
    <row r="29" spans="2:11" ht="18">
      <c r="B29" s="77" t="s">
        <v>513</v>
      </c>
      <c r="C29" s="568" t="s">
        <v>840</v>
      </c>
      <c r="D29" s="92" t="s">
        <v>850</v>
      </c>
      <c r="E29" s="617"/>
      <c r="F29" s="617"/>
      <c r="G29" s="617"/>
      <c r="H29" s="617"/>
      <c r="I29" s="617"/>
      <c r="J29" s="438">
        <f>SUM(E29:I29)</f>
        <v>0</v>
      </c>
      <c r="K29" s="66"/>
    </row>
    <row r="30" spans="2:11" ht="18">
      <c r="B30" s="77"/>
      <c r="C30" s="562"/>
      <c r="D30" s="62"/>
      <c r="E30" s="62"/>
      <c r="F30" s="62"/>
      <c r="G30" s="62"/>
      <c r="H30" s="62"/>
      <c r="I30" s="62"/>
      <c r="J30" s="62"/>
      <c r="K30" s="66"/>
    </row>
    <row r="31" spans="2:11" ht="18">
      <c r="B31" s="77" t="s">
        <v>515</v>
      </c>
      <c r="C31" s="568" t="s">
        <v>841</v>
      </c>
      <c r="D31" s="92" t="s">
        <v>219</v>
      </c>
      <c r="E31" s="617"/>
      <c r="F31" s="617"/>
      <c r="G31" s="617"/>
      <c r="H31" s="617"/>
      <c r="I31" s="617"/>
      <c r="J31" s="438">
        <f>SUM(E31:I31)</f>
        <v>0</v>
      </c>
      <c r="K31" s="66"/>
    </row>
    <row r="32" spans="2:11" ht="18">
      <c r="B32" s="77"/>
      <c r="C32" s="69" t="s">
        <v>852</v>
      </c>
      <c r="D32" s="64"/>
      <c r="E32" s="62"/>
      <c r="F32" s="64"/>
      <c r="G32" s="64"/>
      <c r="H32" s="64"/>
      <c r="I32" s="64"/>
      <c r="J32" s="64"/>
      <c r="K32" s="66"/>
    </row>
    <row r="33" spans="2:11" ht="18">
      <c r="B33" s="77"/>
      <c r="C33" s="69"/>
      <c r="D33" s="64"/>
      <c r="E33" s="62"/>
      <c r="F33" s="64"/>
      <c r="G33" s="64"/>
      <c r="H33" s="64"/>
      <c r="I33" s="64"/>
      <c r="J33" s="64"/>
      <c r="K33" s="66"/>
    </row>
    <row r="34" spans="2:11" ht="18">
      <c r="B34" s="77" t="s">
        <v>516</v>
      </c>
      <c r="C34" s="568" t="s">
        <v>842</v>
      </c>
      <c r="D34" s="77" t="s">
        <v>131</v>
      </c>
      <c r="E34" s="617"/>
      <c r="F34" s="617"/>
      <c r="G34" s="617"/>
      <c r="H34" s="617"/>
      <c r="I34" s="617"/>
      <c r="J34" s="438">
        <f>SUM(E34:I34)</f>
        <v>0</v>
      </c>
      <c r="K34" s="66"/>
    </row>
    <row r="35" spans="2:11" ht="18">
      <c r="B35" s="69"/>
      <c r="C35" s="69"/>
      <c r="D35" s="583" t="s">
        <v>124</v>
      </c>
      <c r="E35" s="621"/>
      <c r="F35" s="62"/>
      <c r="G35" s="64"/>
      <c r="H35" s="64"/>
      <c r="I35" s="64"/>
      <c r="J35" s="64"/>
      <c r="K35" s="66"/>
    </row>
    <row r="36" spans="2:11" ht="18">
      <c r="B36" s="77">
        <v>19</v>
      </c>
      <c r="C36" s="568" t="s">
        <v>843</v>
      </c>
      <c r="D36" s="77" t="s">
        <v>851</v>
      </c>
      <c r="E36" s="617"/>
      <c r="F36" s="617"/>
      <c r="G36" s="617"/>
      <c r="H36" s="617"/>
      <c r="I36" s="617"/>
      <c r="J36" s="438">
        <f>SUM(E36:I36)</f>
        <v>0</v>
      </c>
      <c r="K36" s="66"/>
    </row>
    <row r="37" spans="2:11" ht="18">
      <c r="B37" s="77"/>
      <c r="C37" s="568"/>
      <c r="D37" s="64"/>
      <c r="E37" s="68"/>
      <c r="F37" s="64"/>
      <c r="G37" s="64"/>
      <c r="H37" s="68"/>
      <c r="I37" s="64"/>
      <c r="J37" s="64"/>
      <c r="K37" s="66"/>
    </row>
    <row r="38" spans="2:11" ht="18">
      <c r="B38" s="77">
        <v>20</v>
      </c>
      <c r="C38" s="568" t="s">
        <v>844</v>
      </c>
      <c r="D38" s="92" t="s">
        <v>615</v>
      </c>
      <c r="E38" s="617"/>
      <c r="F38" s="617"/>
      <c r="G38" s="617"/>
      <c r="H38" s="617"/>
      <c r="I38" s="617"/>
      <c r="J38" s="438">
        <f>SUM(E38:I38)</f>
        <v>0</v>
      </c>
      <c r="K38" s="66"/>
    </row>
    <row r="39" spans="2:11" ht="18">
      <c r="B39" s="77"/>
      <c r="C39" s="562" t="s">
        <v>845</v>
      </c>
      <c r="D39" s="62"/>
      <c r="E39" s="62"/>
      <c r="F39" s="62"/>
      <c r="G39" s="62"/>
      <c r="H39" s="62"/>
      <c r="I39" s="62"/>
      <c r="J39" s="62"/>
      <c r="K39" s="66"/>
    </row>
    <row r="40" spans="2:11" ht="18">
      <c r="B40" s="77">
        <v>40</v>
      </c>
      <c r="C40" s="568" t="s">
        <v>846</v>
      </c>
      <c r="D40" s="77" t="s">
        <v>131</v>
      </c>
      <c r="E40" s="617"/>
      <c r="F40" s="617"/>
      <c r="G40" s="617"/>
      <c r="H40" s="617"/>
      <c r="I40" s="617"/>
      <c r="J40" s="438">
        <f>SUM(E40:I40)</f>
        <v>0</v>
      </c>
      <c r="K40" s="66"/>
    </row>
    <row r="41" spans="2:11" ht="18">
      <c r="B41" s="77"/>
      <c r="C41" s="69"/>
      <c r="D41" s="583" t="s">
        <v>124</v>
      </c>
      <c r="E41" s="62"/>
      <c r="F41" s="64"/>
      <c r="G41" s="64"/>
      <c r="H41" s="64"/>
      <c r="I41" s="64"/>
      <c r="J41" s="64"/>
      <c r="K41" s="66"/>
    </row>
    <row r="42" spans="2:11" ht="18">
      <c r="B42" s="77">
        <v>41</v>
      </c>
      <c r="C42" s="568" t="s">
        <v>847</v>
      </c>
      <c r="D42" s="77" t="s">
        <v>131</v>
      </c>
      <c r="E42" s="617"/>
      <c r="F42" s="617"/>
      <c r="G42" s="617"/>
      <c r="H42" s="617"/>
      <c r="I42" s="617"/>
      <c r="J42" s="438">
        <f>SUM(E42:I42)</f>
        <v>0</v>
      </c>
      <c r="K42" s="66"/>
    </row>
    <row r="43" spans="2:11" ht="18">
      <c r="B43" s="69"/>
      <c r="C43" s="69"/>
      <c r="D43" s="583" t="s">
        <v>124</v>
      </c>
      <c r="E43" s="68"/>
      <c r="F43" s="64"/>
      <c r="G43" s="64"/>
      <c r="H43" s="64"/>
      <c r="I43" s="64"/>
      <c r="J43" s="64"/>
      <c r="K43" s="66"/>
    </row>
    <row r="44" spans="2:11" ht="18.75" thickBot="1">
      <c r="B44" s="517"/>
      <c r="C44" s="518"/>
      <c r="D44" s="517"/>
      <c r="E44" s="519"/>
      <c r="F44" s="520"/>
      <c r="G44" s="520"/>
      <c r="H44" s="521"/>
      <c r="I44" s="520"/>
      <c r="J44" s="522"/>
      <c r="K44" s="523"/>
    </row>
    <row r="45" spans="2:11" ht="18">
      <c r="B45" s="77"/>
      <c r="C45" s="62" t="s">
        <v>1872</v>
      </c>
      <c r="D45" s="62"/>
      <c r="E45" s="562" t="s">
        <v>1648</v>
      </c>
      <c r="F45" s="64"/>
      <c r="G45" s="64"/>
      <c r="H45" s="65"/>
      <c r="I45" s="64"/>
      <c r="J45" s="65" t="s">
        <v>1584</v>
      </c>
      <c r="K45" s="66"/>
    </row>
    <row r="46" spans="2:11" ht="18">
      <c r="B46" s="77"/>
      <c r="C46" s="80"/>
      <c r="D46" s="77"/>
      <c r="E46" s="82"/>
      <c r="F46" s="79"/>
      <c r="G46" s="79"/>
      <c r="H46" s="84"/>
      <c r="I46" s="79"/>
      <c r="J46" s="83"/>
      <c r="K46" s="66"/>
    </row>
    <row r="47" spans="2:11" ht="18">
      <c r="B47" s="77"/>
      <c r="C47" s="72" t="s">
        <v>217</v>
      </c>
      <c r="D47" s="72" t="s">
        <v>1969</v>
      </c>
      <c r="E47" s="72" t="s">
        <v>218</v>
      </c>
      <c r="F47" s="570"/>
      <c r="G47" s="570"/>
      <c r="H47" s="570"/>
      <c r="I47" s="570"/>
      <c r="J47" s="570"/>
      <c r="K47" s="66"/>
    </row>
    <row r="48" spans="2:11" ht="18">
      <c r="B48" s="77"/>
      <c r="C48" s="524" t="s">
        <v>216</v>
      </c>
      <c r="D48" s="525" t="s">
        <v>219</v>
      </c>
      <c r="E48" s="526">
        <f>J31</f>
        <v>0</v>
      </c>
      <c r="F48" s="571"/>
      <c r="G48" s="571"/>
      <c r="H48" s="571"/>
      <c r="I48" s="571"/>
      <c r="J48" s="571"/>
      <c r="K48" s="66"/>
    </row>
    <row r="49" spans="2:11" ht="18">
      <c r="B49" s="77"/>
      <c r="C49" s="514" t="s">
        <v>216</v>
      </c>
      <c r="D49" s="515" t="s">
        <v>945</v>
      </c>
      <c r="E49" s="526"/>
      <c r="F49" s="571" t="s">
        <v>854</v>
      </c>
      <c r="G49" s="582" t="s">
        <v>404</v>
      </c>
      <c r="H49" s="571"/>
      <c r="I49" s="571"/>
      <c r="J49" s="571"/>
      <c r="K49" s="66"/>
    </row>
    <row r="50" spans="2:11" ht="18">
      <c r="B50" s="77"/>
      <c r="C50" s="514" t="s">
        <v>216</v>
      </c>
      <c r="D50" s="515" t="s">
        <v>1455</v>
      </c>
      <c r="E50" s="526">
        <f>J19</f>
        <v>0</v>
      </c>
      <c r="F50" s="571"/>
      <c r="G50" s="582" t="s">
        <v>405</v>
      </c>
      <c r="H50" s="571"/>
      <c r="I50" s="571"/>
      <c r="J50" s="571"/>
      <c r="K50" s="66"/>
    </row>
    <row r="51" spans="2:11" ht="18">
      <c r="B51" s="77"/>
      <c r="C51" s="514" t="s">
        <v>216</v>
      </c>
      <c r="D51" s="515" t="s">
        <v>1456</v>
      </c>
      <c r="E51" s="526">
        <f>J23+J25+J27</f>
        <v>0</v>
      </c>
      <c r="F51" s="571" t="s">
        <v>853</v>
      </c>
      <c r="G51" s="582"/>
      <c r="H51" s="571"/>
      <c r="I51" s="571"/>
      <c r="J51" s="571"/>
      <c r="K51" s="66"/>
    </row>
    <row r="52" spans="2:11" ht="18">
      <c r="B52" s="77"/>
      <c r="C52" s="514" t="s">
        <v>220</v>
      </c>
      <c r="D52" s="515" t="s">
        <v>615</v>
      </c>
      <c r="E52" s="526">
        <f>0.25*J38</f>
        <v>0</v>
      </c>
      <c r="F52" s="571"/>
      <c r="G52" s="571" t="s">
        <v>406</v>
      </c>
      <c r="H52" s="571"/>
      <c r="I52" s="571"/>
      <c r="J52" s="571"/>
      <c r="K52" s="66"/>
    </row>
    <row r="53" spans="2:11" ht="18">
      <c r="B53" s="77"/>
      <c r="C53" s="514" t="s">
        <v>1451</v>
      </c>
      <c r="D53" s="515" t="s">
        <v>125</v>
      </c>
      <c r="E53" s="526">
        <f>J21</f>
        <v>0</v>
      </c>
      <c r="F53" s="582"/>
      <c r="G53" s="571" t="s">
        <v>407</v>
      </c>
      <c r="H53" s="582"/>
      <c r="I53" s="582"/>
      <c r="J53" s="571"/>
      <c r="K53" s="66"/>
    </row>
    <row r="54" spans="2:11" ht="18">
      <c r="B54" s="77"/>
      <c r="C54" s="514" t="s">
        <v>1451</v>
      </c>
      <c r="D54" s="515" t="s">
        <v>126</v>
      </c>
      <c r="E54" s="526"/>
      <c r="F54" s="582" t="s">
        <v>855</v>
      </c>
      <c r="G54" s="571"/>
      <c r="H54" s="582"/>
      <c r="I54" s="582"/>
      <c r="J54" s="571"/>
      <c r="K54" s="66"/>
    </row>
    <row r="55" spans="2:11" ht="18">
      <c r="B55" s="77"/>
      <c r="C55" s="514" t="s">
        <v>1451</v>
      </c>
      <c r="D55" s="515" t="s">
        <v>127</v>
      </c>
      <c r="E55" s="526"/>
      <c r="F55" s="582" t="s">
        <v>855</v>
      </c>
      <c r="G55" s="571" t="s">
        <v>408</v>
      </c>
      <c r="H55" s="582"/>
      <c r="I55" s="582"/>
      <c r="J55" s="571"/>
      <c r="K55" s="66"/>
    </row>
    <row r="56" spans="2:11" ht="18">
      <c r="B56" s="77"/>
      <c r="C56" s="514" t="s">
        <v>124</v>
      </c>
      <c r="D56" s="515" t="s">
        <v>131</v>
      </c>
      <c r="E56" s="526">
        <f>J34+J40+J42</f>
        <v>0</v>
      </c>
      <c r="F56" s="571"/>
      <c r="G56" s="571" t="s">
        <v>403</v>
      </c>
      <c r="H56" s="571"/>
      <c r="I56" s="571"/>
      <c r="J56" s="571"/>
      <c r="K56" s="66"/>
    </row>
    <row r="57" spans="2:11" ht="18">
      <c r="B57" s="77"/>
      <c r="C57" s="514" t="s">
        <v>1415</v>
      </c>
      <c r="D57" s="515"/>
      <c r="E57" s="526"/>
      <c r="F57" s="79" t="s">
        <v>856</v>
      </c>
      <c r="G57" s="79"/>
      <c r="H57" s="84"/>
      <c r="I57" s="79"/>
      <c r="J57" s="83"/>
      <c r="K57" s="66"/>
    </row>
    <row r="58" spans="2:11" ht="18">
      <c r="B58" s="77"/>
      <c r="C58" s="80"/>
      <c r="D58" s="77"/>
      <c r="E58" s="82"/>
      <c r="F58" s="79"/>
      <c r="G58" s="79"/>
      <c r="H58" s="84"/>
      <c r="I58" s="79"/>
      <c r="J58" s="83"/>
      <c r="K58" s="66"/>
    </row>
    <row r="59" spans="2:4" ht="15">
      <c r="B59" s="89"/>
      <c r="D59" s="90"/>
    </row>
    <row r="60" spans="2:4" ht="15">
      <c r="B60" s="89"/>
      <c r="D60" s="90"/>
    </row>
    <row r="61" spans="2:4" ht="15">
      <c r="B61" s="89"/>
      <c r="D61" s="90"/>
    </row>
    <row r="62" spans="2:4" ht="15">
      <c r="B62" s="89"/>
      <c r="D62" s="90"/>
    </row>
    <row r="63" spans="2:4" ht="15">
      <c r="B63" s="89"/>
      <c r="D63" s="90"/>
    </row>
    <row r="64" spans="2:4" ht="15">
      <c r="B64" s="89"/>
      <c r="D64" s="90"/>
    </row>
    <row r="65" spans="2:4" ht="15">
      <c r="B65" s="89"/>
      <c r="D65" s="90"/>
    </row>
    <row r="66" spans="2:4" ht="15">
      <c r="B66" s="89"/>
      <c r="D66" s="90"/>
    </row>
    <row r="67" spans="2:4" ht="15">
      <c r="B67" s="89"/>
      <c r="D67" s="90"/>
    </row>
    <row r="68" spans="2:4" ht="15">
      <c r="B68" s="89"/>
      <c r="D68" s="90"/>
    </row>
    <row r="69" spans="2:4" ht="15">
      <c r="B69" s="89"/>
      <c r="D69" s="90"/>
    </row>
    <row r="70" spans="2:4" ht="15">
      <c r="B70" s="89"/>
      <c r="D70" s="90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4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11111121">
    <pageSetUpPr fitToPage="1"/>
  </sheetPr>
  <dimension ref="B1:K48"/>
  <sheetViews>
    <sheetView showGridLines="0" showRowColHeaders="0" zoomScale="60" zoomScaleNormal="60" workbookViewId="0" topLeftCell="A1">
      <selection activeCell="B1" sqref="B1"/>
    </sheetView>
  </sheetViews>
  <sheetFormatPr defaultColWidth="8.88671875" defaultRowHeight="15"/>
  <cols>
    <col min="1" max="1" width="1.77734375" style="67" customWidth="1"/>
    <col min="2" max="2" width="8.3359375" style="67" customWidth="1"/>
    <col min="3" max="3" width="34.77734375" style="67" customWidth="1"/>
    <col min="4" max="4" width="7.99609375" style="67" customWidth="1"/>
    <col min="5" max="10" width="12.21484375" style="67" customWidth="1"/>
    <col min="11" max="11" width="1.88671875" style="67" customWidth="1"/>
    <col min="12" max="16384" width="8.88671875" style="67" customWidth="1"/>
  </cols>
  <sheetData>
    <row r="1" spans="2:11" ht="18">
      <c r="B1" s="64"/>
      <c r="C1" s="62" t="s">
        <v>107</v>
      </c>
      <c r="D1" s="62"/>
      <c r="E1" s="562" t="s">
        <v>992</v>
      </c>
      <c r="F1" s="64"/>
      <c r="G1" s="64"/>
      <c r="H1" s="65"/>
      <c r="I1" s="64"/>
      <c r="J1" s="65" t="s">
        <v>1584</v>
      </c>
      <c r="K1" s="66"/>
    </row>
    <row r="2" spans="2:11" ht="15.75">
      <c r="B2" s="64"/>
      <c r="C2" s="64"/>
      <c r="D2" s="68"/>
      <c r="E2" s="66"/>
      <c r="F2" s="64"/>
      <c r="G2" s="64"/>
      <c r="H2" s="64"/>
      <c r="I2" s="64"/>
      <c r="J2" s="64"/>
      <c r="K2" s="66"/>
    </row>
    <row r="3" spans="2:11" ht="18">
      <c r="B3" s="69"/>
      <c r="C3" s="69" t="s">
        <v>108</v>
      </c>
      <c r="D3" s="64"/>
      <c r="E3" s="68"/>
      <c r="F3" s="64"/>
      <c r="G3" s="64"/>
      <c r="H3" s="64"/>
      <c r="I3" s="64"/>
      <c r="J3" s="64"/>
      <c r="K3" s="66"/>
    </row>
    <row r="4" spans="2:11" ht="18">
      <c r="B4" s="69"/>
      <c r="C4" s="69" t="s">
        <v>109</v>
      </c>
      <c r="D4" s="64"/>
      <c r="E4" s="68"/>
      <c r="F4" s="64"/>
      <c r="G4" s="64"/>
      <c r="H4" s="64"/>
      <c r="I4" s="64"/>
      <c r="J4" s="64"/>
      <c r="K4" s="66"/>
    </row>
    <row r="5" spans="2:11" ht="18">
      <c r="B5" s="69"/>
      <c r="C5" s="69" t="s">
        <v>110</v>
      </c>
      <c r="D5" s="64"/>
      <c r="E5" s="68"/>
      <c r="F5" s="64"/>
      <c r="G5" s="64"/>
      <c r="H5" s="64"/>
      <c r="I5" s="64"/>
      <c r="J5" s="64"/>
      <c r="K5" s="66"/>
    </row>
    <row r="6" spans="2:11" ht="18">
      <c r="B6" s="69"/>
      <c r="C6" s="69" t="s">
        <v>111</v>
      </c>
      <c r="D6" s="64"/>
      <c r="E6" s="68"/>
      <c r="F6" s="64"/>
      <c r="G6" s="64"/>
      <c r="H6" s="64"/>
      <c r="I6" s="64"/>
      <c r="J6" s="64"/>
      <c r="K6" s="66"/>
    </row>
    <row r="7" spans="2:11" ht="18">
      <c r="B7" s="69"/>
      <c r="C7" s="69" t="s">
        <v>320</v>
      </c>
      <c r="D7" s="64"/>
      <c r="E7" s="68"/>
      <c r="F7" s="64"/>
      <c r="G7" s="64"/>
      <c r="H7" s="64"/>
      <c r="I7" s="64"/>
      <c r="J7" s="64"/>
      <c r="K7" s="66"/>
    </row>
    <row r="8" spans="2:11" ht="18">
      <c r="B8" s="69"/>
      <c r="C8" s="69" t="s">
        <v>112</v>
      </c>
      <c r="D8" s="64"/>
      <c r="E8" s="68"/>
      <c r="F8" s="64"/>
      <c r="G8" s="64"/>
      <c r="H8" s="64"/>
      <c r="I8" s="64"/>
      <c r="J8" s="64"/>
      <c r="K8" s="66"/>
    </row>
    <row r="9" spans="2:11" ht="18">
      <c r="B9" s="69"/>
      <c r="C9" s="69" t="s">
        <v>994</v>
      </c>
      <c r="D9" s="64"/>
      <c r="E9" s="68"/>
      <c r="F9" s="64"/>
      <c r="G9" s="64"/>
      <c r="H9" s="64"/>
      <c r="I9" s="64"/>
      <c r="J9" s="64"/>
      <c r="K9" s="66"/>
    </row>
    <row r="10" spans="2:11" ht="18">
      <c r="B10" s="69"/>
      <c r="C10" s="69" t="s">
        <v>995</v>
      </c>
      <c r="D10" s="64"/>
      <c r="E10" s="68"/>
      <c r="F10" s="64"/>
      <c r="G10" s="64"/>
      <c r="H10" s="64"/>
      <c r="I10" s="64"/>
      <c r="J10" s="64"/>
      <c r="K10" s="66"/>
    </row>
    <row r="11" spans="2:11" ht="18">
      <c r="B11" s="69"/>
      <c r="C11" s="69" t="s">
        <v>1775</v>
      </c>
      <c r="D11" s="64"/>
      <c r="E11" s="68"/>
      <c r="F11" s="64"/>
      <c r="G11" s="64"/>
      <c r="H11" s="64"/>
      <c r="I11" s="64"/>
      <c r="J11" s="64"/>
      <c r="K11" s="66"/>
    </row>
    <row r="12" spans="2:11" ht="18">
      <c r="B12" s="69"/>
      <c r="C12" s="69" t="s">
        <v>71</v>
      </c>
      <c r="D12" s="64"/>
      <c r="E12" s="68"/>
      <c r="F12" s="64"/>
      <c r="G12" s="64"/>
      <c r="H12" s="64"/>
      <c r="I12" s="64"/>
      <c r="J12" s="64"/>
      <c r="K12" s="66"/>
    </row>
    <row r="13" spans="2:11" ht="18">
      <c r="B13" s="69"/>
      <c r="C13" s="69"/>
      <c r="D13" s="64"/>
      <c r="E13" s="68"/>
      <c r="F13" s="64"/>
      <c r="G13" s="64"/>
      <c r="H13" s="64"/>
      <c r="I13" s="64"/>
      <c r="J13" s="64"/>
      <c r="K13" s="66"/>
    </row>
    <row r="14" spans="2:11" ht="18">
      <c r="B14" s="69"/>
      <c r="C14" s="69"/>
      <c r="D14" s="64"/>
      <c r="E14" s="68"/>
      <c r="F14" s="64"/>
      <c r="G14" s="64"/>
      <c r="H14" s="64"/>
      <c r="I14" s="64"/>
      <c r="J14" s="64"/>
      <c r="K14" s="66"/>
    </row>
    <row r="15" spans="2:11" ht="36">
      <c r="B15" s="72" t="s">
        <v>1967</v>
      </c>
      <c r="C15" s="72" t="s">
        <v>1968</v>
      </c>
      <c r="D15" s="72" t="s">
        <v>1969</v>
      </c>
      <c r="E15" s="72" t="s">
        <v>113</v>
      </c>
      <c r="F15" s="72" t="s">
        <v>114</v>
      </c>
      <c r="G15" s="72" t="s">
        <v>115</v>
      </c>
      <c r="H15" s="72" t="s">
        <v>990</v>
      </c>
      <c r="I15" s="72" t="s">
        <v>991</v>
      </c>
      <c r="J15" s="73" t="s">
        <v>508</v>
      </c>
      <c r="K15" s="66"/>
    </row>
    <row r="16" spans="2:11" ht="18">
      <c r="B16" s="69"/>
      <c r="C16" s="69"/>
      <c r="D16" s="64"/>
      <c r="E16" s="68"/>
      <c r="F16" s="64"/>
      <c r="G16" s="64"/>
      <c r="H16" s="64"/>
      <c r="I16" s="64"/>
      <c r="J16" s="64"/>
      <c r="K16" s="66"/>
    </row>
    <row r="17" spans="2:11" ht="18">
      <c r="B17" s="77" t="s">
        <v>509</v>
      </c>
      <c r="C17" s="568" t="s">
        <v>996</v>
      </c>
      <c r="D17" s="77" t="s">
        <v>1407</v>
      </c>
      <c r="E17" s="569"/>
      <c r="F17" s="569"/>
      <c r="G17" s="569"/>
      <c r="H17" s="569"/>
      <c r="I17" s="569"/>
      <c r="J17" s="438">
        <f>SUM(E17:I17)</f>
        <v>0</v>
      </c>
      <c r="K17" s="66"/>
    </row>
    <row r="18" spans="2:11" ht="18">
      <c r="B18" s="77"/>
      <c r="C18" s="69"/>
      <c r="D18" s="64"/>
      <c r="E18" s="68"/>
      <c r="F18" s="64"/>
      <c r="G18" s="64"/>
      <c r="H18" s="68"/>
      <c r="I18" s="64"/>
      <c r="J18" s="64"/>
      <c r="K18" s="66"/>
    </row>
    <row r="19" spans="2:11" ht="18">
      <c r="B19" s="77" t="s">
        <v>895</v>
      </c>
      <c r="C19" s="568" t="s">
        <v>2066</v>
      </c>
      <c r="D19" s="77" t="s">
        <v>1408</v>
      </c>
      <c r="E19" s="569"/>
      <c r="F19" s="569"/>
      <c r="G19" s="569"/>
      <c r="H19" s="569"/>
      <c r="I19" s="569"/>
      <c r="J19" s="438">
        <f>SUM(E19:I19)</f>
        <v>0</v>
      </c>
      <c r="K19" s="66"/>
    </row>
    <row r="20" spans="2:11" ht="18">
      <c r="B20" s="77"/>
      <c r="C20" s="562" t="s">
        <v>2067</v>
      </c>
      <c r="D20" s="64"/>
      <c r="E20" s="62"/>
      <c r="F20" s="62"/>
      <c r="G20" s="62"/>
      <c r="H20" s="62"/>
      <c r="I20" s="62"/>
      <c r="J20" s="62"/>
      <c r="K20" s="66"/>
    </row>
    <row r="21" spans="2:11" ht="18">
      <c r="B21" s="77"/>
      <c r="C21" s="562"/>
      <c r="D21" s="64"/>
      <c r="E21" s="62"/>
      <c r="F21" s="62"/>
      <c r="G21" s="62"/>
      <c r="H21" s="62"/>
      <c r="I21" s="62"/>
      <c r="J21" s="62"/>
      <c r="K21" s="66"/>
    </row>
    <row r="22" spans="2:11" ht="18">
      <c r="B22" s="77" t="s">
        <v>899</v>
      </c>
      <c r="C22" s="568" t="s">
        <v>1406</v>
      </c>
      <c r="D22" s="92"/>
      <c r="E22" s="591"/>
      <c r="F22" s="591"/>
      <c r="G22" s="591"/>
      <c r="H22" s="591"/>
      <c r="I22" s="591"/>
      <c r="J22" s="62"/>
      <c r="K22" s="66"/>
    </row>
    <row r="23" spans="2:11" ht="18">
      <c r="B23" s="77"/>
      <c r="C23" s="69"/>
      <c r="D23" s="64"/>
      <c r="E23" s="62"/>
      <c r="F23" s="64"/>
      <c r="G23" s="64"/>
      <c r="H23" s="64"/>
      <c r="I23" s="64"/>
      <c r="J23" s="64"/>
      <c r="K23" s="66"/>
    </row>
    <row r="24" spans="2:11" ht="18.75" thickBot="1">
      <c r="B24" s="517"/>
      <c r="C24" s="518"/>
      <c r="D24" s="517"/>
      <c r="E24" s="519"/>
      <c r="F24" s="520"/>
      <c r="G24" s="520"/>
      <c r="H24" s="521"/>
      <c r="I24" s="520"/>
      <c r="J24" s="522"/>
      <c r="K24" s="523"/>
    </row>
    <row r="25" spans="2:11" ht="18">
      <c r="B25" s="77"/>
      <c r="C25" s="62" t="s">
        <v>993</v>
      </c>
      <c r="D25" s="62"/>
      <c r="E25" s="562" t="s">
        <v>992</v>
      </c>
      <c r="F25" s="64"/>
      <c r="G25" s="64"/>
      <c r="H25" s="65"/>
      <c r="I25" s="64"/>
      <c r="J25" s="65" t="s">
        <v>1584</v>
      </c>
      <c r="K25" s="66"/>
    </row>
    <row r="26" spans="2:11" ht="18">
      <c r="B26" s="77"/>
      <c r="C26" s="80"/>
      <c r="D26" s="77"/>
      <c r="E26" s="82"/>
      <c r="F26" s="79"/>
      <c r="G26" s="79"/>
      <c r="H26" s="84"/>
      <c r="I26" s="79"/>
      <c r="J26" s="83"/>
      <c r="K26" s="66"/>
    </row>
    <row r="27" spans="2:11" ht="18">
      <c r="B27" s="77"/>
      <c r="C27" s="72" t="s">
        <v>217</v>
      </c>
      <c r="D27" s="72" t="s">
        <v>1969</v>
      </c>
      <c r="E27" s="73" t="s">
        <v>218</v>
      </c>
      <c r="F27" s="570"/>
      <c r="G27" s="582" t="s">
        <v>404</v>
      </c>
      <c r="H27" s="570"/>
      <c r="I27" s="570"/>
      <c r="J27" s="570"/>
      <c r="K27" s="66"/>
    </row>
    <row r="28" spans="2:11" ht="18">
      <c r="B28" s="77"/>
      <c r="C28" s="514" t="s">
        <v>216</v>
      </c>
      <c r="D28" s="515" t="s">
        <v>997</v>
      </c>
      <c r="E28" s="526">
        <f>J17</f>
        <v>0</v>
      </c>
      <c r="F28" s="570"/>
      <c r="G28" s="582" t="s">
        <v>405</v>
      </c>
      <c r="H28" s="570"/>
      <c r="I28" s="570"/>
      <c r="J28" s="570"/>
      <c r="K28" s="66"/>
    </row>
    <row r="29" spans="2:11" ht="18">
      <c r="B29" s="77"/>
      <c r="C29" s="514" t="s">
        <v>216</v>
      </c>
      <c r="D29" s="515" t="s">
        <v>1409</v>
      </c>
      <c r="E29" s="526">
        <f>J19</f>
        <v>0</v>
      </c>
      <c r="F29" s="570"/>
      <c r="G29" s="582"/>
      <c r="H29" s="570"/>
      <c r="I29" s="570"/>
      <c r="J29" s="570"/>
      <c r="K29" s="66"/>
    </row>
    <row r="30" spans="2:11" ht="18">
      <c r="B30" s="77"/>
      <c r="C30" s="514" t="s">
        <v>220</v>
      </c>
      <c r="D30" s="515" t="s">
        <v>123</v>
      </c>
      <c r="E30" s="526">
        <f>J17+J19</f>
        <v>0</v>
      </c>
      <c r="F30" s="570"/>
      <c r="G30" s="571" t="s">
        <v>406</v>
      </c>
      <c r="H30" s="570"/>
      <c r="I30" s="570"/>
      <c r="J30" s="570"/>
      <c r="K30" s="66"/>
    </row>
    <row r="31" spans="2:11" ht="18">
      <c r="B31" s="77"/>
      <c r="C31" s="549"/>
      <c r="D31" s="550"/>
      <c r="E31" s="589"/>
      <c r="F31" s="570"/>
      <c r="G31" s="571" t="s">
        <v>407</v>
      </c>
      <c r="H31" s="570"/>
      <c r="I31" s="570"/>
      <c r="J31" s="570"/>
      <c r="K31" s="66"/>
    </row>
    <row r="32" spans="2:11" ht="18">
      <c r="B32" s="77"/>
      <c r="C32" s="551"/>
      <c r="D32" s="77"/>
      <c r="E32" s="590"/>
      <c r="F32" s="570"/>
      <c r="G32" s="571"/>
      <c r="H32" s="570"/>
      <c r="I32" s="570"/>
      <c r="J32" s="570"/>
      <c r="K32" s="66"/>
    </row>
    <row r="33" spans="2:11" ht="18">
      <c r="B33" s="77"/>
      <c r="C33" s="551"/>
      <c r="D33" s="77"/>
      <c r="E33" s="571"/>
      <c r="F33" s="571"/>
      <c r="G33" s="571" t="s">
        <v>408</v>
      </c>
      <c r="H33" s="571"/>
      <c r="I33" s="571"/>
      <c r="J33" s="571"/>
      <c r="K33" s="66"/>
    </row>
    <row r="34" spans="2:11" ht="18">
      <c r="B34" s="77"/>
      <c r="C34" s="551"/>
      <c r="D34" s="77"/>
      <c r="E34" s="571"/>
      <c r="F34" s="571"/>
      <c r="G34" s="571" t="s">
        <v>403</v>
      </c>
      <c r="H34" s="571"/>
      <c r="I34" s="571"/>
      <c r="J34" s="571"/>
      <c r="K34" s="66"/>
    </row>
    <row r="35" spans="2:11" ht="18">
      <c r="B35" s="77"/>
      <c r="C35" s="80"/>
      <c r="D35" s="77"/>
      <c r="E35" s="82"/>
      <c r="F35" s="79"/>
      <c r="G35" s="79"/>
      <c r="H35" s="84"/>
      <c r="I35" s="79"/>
      <c r="J35" s="83"/>
      <c r="K35" s="66"/>
    </row>
    <row r="36" spans="2:11" ht="18">
      <c r="B36" s="77"/>
      <c r="C36" s="80"/>
      <c r="D36" s="77"/>
      <c r="E36" s="82"/>
      <c r="F36" s="79"/>
      <c r="G36" s="79"/>
      <c r="H36" s="84"/>
      <c r="I36" s="79"/>
      <c r="J36" s="83"/>
      <c r="K36" s="66"/>
    </row>
    <row r="37" spans="2:4" ht="15">
      <c r="B37" s="89"/>
      <c r="D37" s="90"/>
    </row>
    <row r="38" spans="2:4" ht="15">
      <c r="B38" s="89"/>
      <c r="D38" s="90"/>
    </row>
    <row r="39" spans="2:4" ht="15">
      <c r="B39" s="89"/>
      <c r="D39" s="90"/>
    </row>
    <row r="40" spans="2:4" ht="15">
      <c r="B40" s="89"/>
      <c r="D40" s="90"/>
    </row>
    <row r="41" spans="2:4" ht="15">
      <c r="B41" s="89"/>
      <c r="D41" s="90"/>
    </row>
    <row r="42" spans="2:4" ht="15">
      <c r="B42" s="89"/>
      <c r="D42" s="90"/>
    </row>
    <row r="43" spans="2:4" ht="15">
      <c r="B43" s="89"/>
      <c r="D43" s="90"/>
    </row>
    <row r="44" spans="2:4" ht="15">
      <c r="B44" s="89"/>
      <c r="D44" s="90"/>
    </row>
    <row r="45" spans="2:4" ht="15">
      <c r="B45" s="89"/>
      <c r="D45" s="90"/>
    </row>
    <row r="46" spans="2:4" ht="15">
      <c r="B46" s="89"/>
      <c r="D46" s="90"/>
    </row>
    <row r="47" spans="2:4" ht="15">
      <c r="B47" s="89"/>
      <c r="D47" s="90"/>
    </row>
    <row r="48" spans="2:4" ht="15">
      <c r="B48" s="89"/>
      <c r="D48" s="90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66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111">
    <pageSetUpPr fitToPage="1"/>
  </sheetPr>
  <dimension ref="B1:N88"/>
  <sheetViews>
    <sheetView showGridLines="0" showRowColHeaders="0" zoomScale="60" zoomScaleNormal="60" workbookViewId="0" topLeftCell="A1">
      <selection activeCell="E24" sqref="E24"/>
    </sheetView>
  </sheetViews>
  <sheetFormatPr defaultColWidth="8.88671875" defaultRowHeight="15"/>
  <cols>
    <col min="1" max="2" width="1.77734375" style="67" customWidth="1"/>
    <col min="3" max="3" width="34.77734375" style="67" customWidth="1"/>
    <col min="4" max="4" width="7.99609375" style="67" customWidth="1"/>
    <col min="5" max="12" width="12.21484375" style="67" customWidth="1"/>
    <col min="13" max="13" width="1.88671875" style="67" customWidth="1"/>
    <col min="14" max="16384" width="8.88671875" style="67" customWidth="1"/>
  </cols>
  <sheetData>
    <row r="1" spans="2:13" ht="18">
      <c r="B1" s="64"/>
      <c r="C1" s="62" t="s">
        <v>1458</v>
      </c>
      <c r="D1" s="62"/>
      <c r="E1" s="63" t="s">
        <v>1605</v>
      </c>
      <c r="F1" s="64"/>
      <c r="G1" s="64"/>
      <c r="H1" s="65"/>
      <c r="I1" s="65"/>
      <c r="J1" s="65"/>
      <c r="K1" s="64"/>
      <c r="L1" s="65" t="s">
        <v>1584</v>
      </c>
      <c r="M1" s="66"/>
    </row>
    <row r="2" spans="2:13" ht="15.75">
      <c r="B2" s="64"/>
      <c r="C2" s="64"/>
      <c r="D2" s="68"/>
      <c r="E2" s="66"/>
      <c r="F2" s="64"/>
      <c r="G2" s="64"/>
      <c r="H2" s="64"/>
      <c r="I2" s="64"/>
      <c r="J2" s="64"/>
      <c r="K2" s="64"/>
      <c r="L2" s="64"/>
      <c r="M2" s="66"/>
    </row>
    <row r="3" spans="2:13" ht="15.75">
      <c r="B3" s="64"/>
      <c r="C3" s="64"/>
      <c r="D3" s="68"/>
      <c r="E3" s="66"/>
      <c r="F3" s="64"/>
      <c r="G3" s="64"/>
      <c r="H3" s="64"/>
      <c r="I3" s="64"/>
      <c r="J3" s="64"/>
      <c r="K3" s="64"/>
      <c r="L3" s="64"/>
      <c r="M3" s="66"/>
    </row>
    <row r="4" spans="2:13" ht="18">
      <c r="B4" s="69"/>
      <c r="C4" s="69" t="s">
        <v>1838</v>
      </c>
      <c r="D4" s="64"/>
      <c r="E4" s="68"/>
      <c r="F4" s="64"/>
      <c r="G4" s="64"/>
      <c r="H4" s="64"/>
      <c r="I4" s="64"/>
      <c r="J4" s="64"/>
      <c r="K4" s="64"/>
      <c r="L4" s="64"/>
      <c r="M4" s="66"/>
    </row>
    <row r="5" spans="2:13" ht="18">
      <c r="B5" s="69"/>
      <c r="C5" s="69" t="s">
        <v>1086</v>
      </c>
      <c r="D5" s="64"/>
      <c r="E5" s="68"/>
      <c r="F5" s="64"/>
      <c r="G5" s="64"/>
      <c r="H5" s="64"/>
      <c r="I5" s="64"/>
      <c r="J5" s="64"/>
      <c r="K5" s="64"/>
      <c r="L5" s="64"/>
      <c r="M5" s="66"/>
    </row>
    <row r="6" spans="2:13" ht="18">
      <c r="B6" s="69"/>
      <c r="C6" s="69" t="s">
        <v>1087</v>
      </c>
      <c r="D6" s="64"/>
      <c r="E6" s="68"/>
      <c r="F6" s="64"/>
      <c r="G6" s="64"/>
      <c r="H6" s="64"/>
      <c r="I6" s="64"/>
      <c r="J6" s="64"/>
      <c r="K6" s="64"/>
      <c r="L6" s="64"/>
      <c r="M6" s="66"/>
    </row>
    <row r="7" spans="2:13" ht="18">
      <c r="B7" s="69"/>
      <c r="C7" s="69" t="s">
        <v>1652</v>
      </c>
      <c r="D7" s="64"/>
      <c r="E7" s="68"/>
      <c r="F7" s="64"/>
      <c r="G7" s="64"/>
      <c r="H7" s="64"/>
      <c r="I7" s="64"/>
      <c r="J7" s="64"/>
      <c r="K7" s="64"/>
      <c r="L7" s="64"/>
      <c r="M7" s="66"/>
    </row>
    <row r="8" spans="2:13" ht="18">
      <c r="B8" s="69"/>
      <c r="C8" s="69" t="s">
        <v>1653</v>
      </c>
      <c r="D8" s="64"/>
      <c r="E8" s="68"/>
      <c r="F8" s="64"/>
      <c r="G8" s="64"/>
      <c r="H8" s="64"/>
      <c r="I8" s="64"/>
      <c r="J8" s="64"/>
      <c r="K8" s="64"/>
      <c r="L8" s="64"/>
      <c r="M8" s="66"/>
    </row>
    <row r="9" spans="2:13" ht="18">
      <c r="B9" s="69"/>
      <c r="C9" s="69" t="s">
        <v>1836</v>
      </c>
      <c r="D9" s="64"/>
      <c r="E9" s="68"/>
      <c r="F9" s="64"/>
      <c r="G9" s="64"/>
      <c r="H9" s="64"/>
      <c r="I9" s="64"/>
      <c r="J9" s="64"/>
      <c r="K9" s="64"/>
      <c r="L9" s="64"/>
      <c r="M9" s="66"/>
    </row>
    <row r="10" spans="2:13" ht="18">
      <c r="B10" s="69"/>
      <c r="C10" s="69" t="s">
        <v>1837</v>
      </c>
      <c r="D10" s="64"/>
      <c r="E10" s="68"/>
      <c r="F10" s="64"/>
      <c r="G10" s="64"/>
      <c r="H10" s="64"/>
      <c r="I10" s="64"/>
      <c r="J10" s="64"/>
      <c r="K10" s="64"/>
      <c r="L10" s="64"/>
      <c r="M10" s="66"/>
    </row>
    <row r="11" spans="2:13" ht="18">
      <c r="B11" s="69"/>
      <c r="C11" s="69" t="s">
        <v>266</v>
      </c>
      <c r="D11" s="64"/>
      <c r="E11" s="68"/>
      <c r="F11" s="64"/>
      <c r="G11" s="64"/>
      <c r="H11" s="64"/>
      <c r="I11" s="64"/>
      <c r="J11" s="64"/>
      <c r="K11" s="64"/>
      <c r="L11" s="64"/>
      <c r="M11" s="66"/>
    </row>
    <row r="12" spans="2:13" ht="18">
      <c r="B12" s="69"/>
      <c r="C12" s="69" t="s">
        <v>1834</v>
      </c>
      <c r="D12" s="64"/>
      <c r="E12" s="68"/>
      <c r="F12" s="64"/>
      <c r="G12" s="64"/>
      <c r="H12" s="64"/>
      <c r="I12" s="64"/>
      <c r="J12" s="64"/>
      <c r="K12" s="64"/>
      <c r="L12" s="64"/>
      <c r="M12" s="66"/>
    </row>
    <row r="13" spans="2:13" ht="18">
      <c r="B13" s="69"/>
      <c r="C13" s="69" t="s">
        <v>929</v>
      </c>
      <c r="D13" s="64"/>
      <c r="E13" s="68"/>
      <c r="F13" s="64"/>
      <c r="G13" s="64"/>
      <c r="H13" s="64"/>
      <c r="I13" s="64"/>
      <c r="J13" s="64"/>
      <c r="K13" s="64"/>
      <c r="L13" s="64"/>
      <c r="M13" s="66"/>
    </row>
    <row r="14" spans="2:13" ht="18">
      <c r="B14" s="69"/>
      <c r="C14" s="69" t="s">
        <v>116</v>
      </c>
      <c r="D14" s="64"/>
      <c r="E14" s="68"/>
      <c r="F14" s="64"/>
      <c r="G14" s="64"/>
      <c r="H14" s="64"/>
      <c r="I14" s="64"/>
      <c r="J14" s="64"/>
      <c r="K14" s="64"/>
      <c r="L14" s="64"/>
      <c r="M14" s="66"/>
    </row>
    <row r="15" spans="2:13" ht="18">
      <c r="B15" s="69"/>
      <c r="C15" s="69" t="s">
        <v>1775</v>
      </c>
      <c r="D15" s="64"/>
      <c r="E15" s="68"/>
      <c r="F15" s="64"/>
      <c r="G15" s="64"/>
      <c r="H15" s="64"/>
      <c r="I15" s="64"/>
      <c r="J15" s="64"/>
      <c r="K15" s="64"/>
      <c r="L15" s="64"/>
      <c r="M15" s="66"/>
    </row>
    <row r="16" spans="2:13" ht="18">
      <c r="B16" s="69"/>
      <c r="C16" s="69" t="s">
        <v>1966</v>
      </c>
      <c r="D16" s="64"/>
      <c r="E16" s="68"/>
      <c r="F16" s="64"/>
      <c r="G16" s="64"/>
      <c r="H16" s="64"/>
      <c r="I16" s="64"/>
      <c r="J16" s="64"/>
      <c r="K16" s="64"/>
      <c r="L16" s="64"/>
      <c r="M16" s="66"/>
    </row>
    <row r="17" spans="2:13" ht="18.75" thickBot="1">
      <c r="B17" s="517"/>
      <c r="C17" s="518"/>
      <c r="D17" s="517"/>
      <c r="E17" s="519"/>
      <c r="F17" s="520"/>
      <c r="G17" s="520"/>
      <c r="H17" s="521"/>
      <c r="I17" s="521"/>
      <c r="J17" s="521"/>
      <c r="K17" s="520"/>
      <c r="L17" s="522"/>
      <c r="M17" s="523"/>
    </row>
    <row r="18" spans="2:13" ht="18">
      <c r="B18" s="77"/>
      <c r="C18" s="62" t="s">
        <v>1459</v>
      </c>
      <c r="D18" s="62"/>
      <c r="E18" s="63" t="s">
        <v>1605</v>
      </c>
      <c r="F18" s="64"/>
      <c r="G18" s="64"/>
      <c r="H18" s="65"/>
      <c r="I18" s="65"/>
      <c r="J18" s="65"/>
      <c r="K18" s="64"/>
      <c r="L18" s="65" t="s">
        <v>1584</v>
      </c>
      <c r="M18" s="66"/>
    </row>
    <row r="19" spans="2:13" ht="18">
      <c r="B19" s="77"/>
      <c r="C19" s="80"/>
      <c r="D19" s="77"/>
      <c r="E19" s="82"/>
      <c r="F19" s="79"/>
      <c r="G19" s="79"/>
      <c r="H19" s="84"/>
      <c r="I19" s="84"/>
      <c r="J19" s="84"/>
      <c r="K19" s="79"/>
      <c r="L19" s="83"/>
      <c r="M19" s="66"/>
    </row>
    <row r="20" spans="2:13" ht="54">
      <c r="B20" s="77"/>
      <c r="C20" s="557" t="s">
        <v>217</v>
      </c>
      <c r="D20" s="557" t="s">
        <v>1969</v>
      </c>
      <c r="E20" s="557" t="s">
        <v>548</v>
      </c>
      <c r="F20" s="557" t="s">
        <v>548</v>
      </c>
      <c r="G20" s="557" t="s">
        <v>548</v>
      </c>
      <c r="H20" s="557" t="s">
        <v>548</v>
      </c>
      <c r="I20" s="557" t="s">
        <v>548</v>
      </c>
      <c r="J20" s="557" t="s">
        <v>548</v>
      </c>
      <c r="K20" s="557" t="s">
        <v>1938</v>
      </c>
      <c r="L20" s="557" t="s">
        <v>1835</v>
      </c>
      <c r="M20" s="66"/>
    </row>
    <row r="21" spans="2:13" ht="18">
      <c r="B21" s="77"/>
      <c r="C21" s="560" t="s">
        <v>216</v>
      </c>
      <c r="D21" s="558" t="s">
        <v>512</v>
      </c>
      <c r="E21" s="553"/>
      <c r="F21" s="553"/>
      <c r="G21" s="553"/>
      <c r="H21" s="553"/>
      <c r="I21" s="553"/>
      <c r="J21" s="554">
        <f>+'T4'!E57</f>
        <v>0</v>
      </c>
      <c r="K21" s="554">
        <f>SUM(E21:J21)</f>
        <v>0</v>
      </c>
      <c r="L21" s="554">
        <f>K21</f>
        <v>0</v>
      </c>
      <c r="M21" s="66"/>
    </row>
    <row r="22" spans="2:13" ht="18">
      <c r="B22" s="77"/>
      <c r="C22" s="560" t="s">
        <v>216</v>
      </c>
      <c r="D22" s="558" t="s">
        <v>632</v>
      </c>
      <c r="E22" s="553"/>
      <c r="F22" s="553"/>
      <c r="G22" s="553"/>
      <c r="H22" s="553"/>
      <c r="I22" s="553"/>
      <c r="J22" s="554">
        <f>+'T4'!E58</f>
        <v>0</v>
      </c>
      <c r="K22" s="554">
        <f aca="true" t="shared" si="0" ref="K22:K85">SUM(E22:J22)</f>
        <v>0</v>
      </c>
      <c r="L22" s="554">
        <f aca="true" t="shared" si="1" ref="L22:L85">K22</f>
        <v>0</v>
      </c>
      <c r="M22" s="66"/>
    </row>
    <row r="23" spans="2:13" ht="18">
      <c r="B23" s="77"/>
      <c r="C23" s="560" t="s">
        <v>216</v>
      </c>
      <c r="D23" s="558" t="s">
        <v>219</v>
      </c>
      <c r="E23" s="553"/>
      <c r="F23" s="553"/>
      <c r="G23" s="553"/>
      <c r="H23" s="553"/>
      <c r="I23" s="554">
        <f>+'T4A'!E52</f>
        <v>0</v>
      </c>
      <c r="J23" s="554">
        <f>+'T4PS'!E42</f>
        <v>0</v>
      </c>
      <c r="K23" s="554">
        <f t="shared" si="0"/>
        <v>0</v>
      </c>
      <c r="L23" s="554">
        <f t="shared" si="1"/>
        <v>0</v>
      </c>
      <c r="M23" s="66"/>
    </row>
    <row r="24" spans="2:13" ht="18">
      <c r="B24" s="77"/>
      <c r="C24" s="560" t="s">
        <v>216</v>
      </c>
      <c r="D24" s="558" t="s">
        <v>1453</v>
      </c>
      <c r="E24" s="553"/>
      <c r="F24" s="553"/>
      <c r="G24" s="553"/>
      <c r="H24" s="553"/>
      <c r="I24" s="553"/>
      <c r="J24" s="554">
        <f>+'T4A-OAS'!E33</f>
        <v>0</v>
      </c>
      <c r="K24" s="554">
        <f t="shared" si="0"/>
        <v>0</v>
      </c>
      <c r="L24" s="554">
        <f t="shared" si="1"/>
        <v>0</v>
      </c>
      <c r="M24" s="66"/>
    </row>
    <row r="25" spans="2:13" ht="18">
      <c r="B25" s="77"/>
      <c r="C25" s="560" t="s">
        <v>216</v>
      </c>
      <c r="D25" s="558" t="s">
        <v>38</v>
      </c>
      <c r="E25" s="553"/>
      <c r="F25" s="553"/>
      <c r="G25" s="553"/>
      <c r="H25" s="553"/>
      <c r="I25" s="553"/>
      <c r="J25" s="553"/>
      <c r="K25" s="554">
        <f t="shared" si="0"/>
        <v>0</v>
      </c>
      <c r="L25" s="554">
        <f>K25</f>
        <v>0</v>
      </c>
      <c r="M25" s="66"/>
    </row>
    <row r="26" spans="2:13" ht="18">
      <c r="B26" s="77"/>
      <c r="C26" s="561" t="s">
        <v>216</v>
      </c>
      <c r="D26" s="559" t="s">
        <v>945</v>
      </c>
      <c r="E26" s="553"/>
      <c r="F26" s="553"/>
      <c r="G26" s="553"/>
      <c r="H26" s="553"/>
      <c r="I26" s="866">
        <f>IF(year='T2205'!G4,IF(age&gt;=65,'T2205'!G51,0),0)</f>
        <v>0</v>
      </c>
      <c r="J26" s="554">
        <f>+'T4A'!E53</f>
        <v>0</v>
      </c>
      <c r="K26" s="554">
        <f t="shared" si="0"/>
        <v>0</v>
      </c>
      <c r="L26" s="554">
        <f t="shared" si="1"/>
        <v>0</v>
      </c>
      <c r="M26" s="66"/>
    </row>
    <row r="27" spans="2:13" ht="18">
      <c r="B27" s="77"/>
      <c r="C27" s="561" t="s">
        <v>216</v>
      </c>
      <c r="D27" s="559" t="s">
        <v>1454</v>
      </c>
      <c r="E27" s="553"/>
      <c r="F27" s="553"/>
      <c r="G27" s="553"/>
      <c r="H27" s="553"/>
      <c r="I27" s="553"/>
      <c r="J27" s="554">
        <f>+'T4E'!E43</f>
        <v>0</v>
      </c>
      <c r="K27" s="554">
        <f t="shared" si="0"/>
        <v>0</v>
      </c>
      <c r="L27" s="554">
        <f t="shared" si="1"/>
        <v>0</v>
      </c>
      <c r="M27" s="66"/>
    </row>
    <row r="28" spans="2:13" ht="18">
      <c r="B28" s="77"/>
      <c r="C28" s="561" t="s">
        <v>216</v>
      </c>
      <c r="D28" s="559" t="s">
        <v>1455</v>
      </c>
      <c r="E28" s="592" t="s">
        <v>802</v>
      </c>
      <c r="F28" s="592"/>
      <c r="G28" s="592"/>
      <c r="H28" s="592"/>
      <c r="I28" s="596"/>
      <c r="J28" s="554">
        <f>'T4PS'!E43</f>
        <v>0</v>
      </c>
      <c r="K28" s="554">
        <f t="shared" si="0"/>
        <v>0</v>
      </c>
      <c r="L28" s="554">
        <f t="shared" si="1"/>
        <v>0</v>
      </c>
      <c r="M28" s="66"/>
    </row>
    <row r="29" spans="2:13" ht="18">
      <c r="B29" s="77"/>
      <c r="C29" s="561" t="s">
        <v>216</v>
      </c>
      <c r="D29" s="559" t="s">
        <v>1456</v>
      </c>
      <c r="E29" s="592" t="s">
        <v>802</v>
      </c>
      <c r="F29" s="592"/>
      <c r="G29" s="592"/>
      <c r="H29" s="592"/>
      <c r="I29" s="596"/>
      <c r="J29" s="596"/>
      <c r="K29" s="554">
        <f t="shared" si="0"/>
        <v>0</v>
      </c>
      <c r="L29" s="554">
        <f t="shared" si="1"/>
        <v>0</v>
      </c>
      <c r="M29" s="66"/>
    </row>
    <row r="30" spans="2:13" ht="18">
      <c r="B30" s="77"/>
      <c r="C30" s="561" t="s">
        <v>216</v>
      </c>
      <c r="D30" s="559" t="s">
        <v>1457</v>
      </c>
      <c r="E30" s="596" t="s">
        <v>499</v>
      </c>
      <c r="F30" s="596"/>
      <c r="G30" s="596"/>
      <c r="H30" s="596"/>
      <c r="I30" s="554">
        <f>IF(year='T2205'!G4,'T2205'!G26,0)</f>
        <v>0</v>
      </c>
      <c r="J30" s="554">
        <f>'T4RSP'!J55</f>
        <v>0</v>
      </c>
      <c r="K30" s="554">
        <f t="shared" si="0"/>
        <v>0</v>
      </c>
      <c r="L30" s="554">
        <f t="shared" si="1"/>
        <v>0</v>
      </c>
      <c r="M30" s="66"/>
    </row>
    <row r="31" spans="2:13" ht="18">
      <c r="B31" s="77"/>
      <c r="C31" s="561" t="s">
        <v>216</v>
      </c>
      <c r="D31" s="559" t="s">
        <v>946</v>
      </c>
      <c r="E31" s="555"/>
      <c r="F31" s="555"/>
      <c r="G31" s="555"/>
      <c r="H31" s="555"/>
      <c r="I31" s="866">
        <f>IF(year='T2205'!G4,IF(age&lt;65,'T2205'!G51,0),0)</f>
        <v>0</v>
      </c>
      <c r="J31" s="554">
        <f>+'T4A'!E54</f>
        <v>0</v>
      </c>
      <c r="K31" s="554">
        <f t="shared" si="0"/>
        <v>0</v>
      </c>
      <c r="L31" s="554">
        <f t="shared" si="1"/>
        <v>0</v>
      </c>
      <c r="M31" s="66"/>
    </row>
    <row r="32" spans="2:13" ht="18">
      <c r="B32" s="77"/>
      <c r="C32" s="561" t="s">
        <v>216</v>
      </c>
      <c r="D32" s="559" t="s">
        <v>117</v>
      </c>
      <c r="E32" s="555"/>
      <c r="F32" s="555"/>
      <c r="G32" s="555"/>
      <c r="H32" s="555"/>
      <c r="I32" s="553"/>
      <c r="J32" s="553"/>
      <c r="K32" s="554">
        <f t="shared" si="0"/>
        <v>0</v>
      </c>
      <c r="L32" s="554">
        <f t="shared" si="1"/>
        <v>0</v>
      </c>
      <c r="M32" s="66"/>
    </row>
    <row r="33" spans="2:13" ht="18">
      <c r="B33" s="77"/>
      <c r="C33" s="561" t="s">
        <v>216</v>
      </c>
      <c r="D33" s="559" t="s">
        <v>1462</v>
      </c>
      <c r="E33" s="555"/>
      <c r="F33" s="555"/>
      <c r="G33" s="555"/>
      <c r="H33" s="555"/>
      <c r="I33" s="553"/>
      <c r="J33" s="554">
        <f>+'T4A'!E55</f>
        <v>0</v>
      </c>
      <c r="K33" s="554">
        <f t="shared" si="0"/>
        <v>0</v>
      </c>
      <c r="L33" s="554">
        <f t="shared" si="1"/>
        <v>0</v>
      </c>
      <c r="M33" s="66"/>
    </row>
    <row r="34" spans="2:13" ht="18">
      <c r="B34" s="77"/>
      <c r="C34" s="561" t="s">
        <v>216</v>
      </c>
      <c r="D34" s="559" t="s">
        <v>997</v>
      </c>
      <c r="E34" s="592" t="s">
        <v>803</v>
      </c>
      <c r="F34" s="592"/>
      <c r="G34" s="592"/>
      <c r="H34" s="592"/>
      <c r="I34" s="596"/>
      <c r="J34" s="554">
        <f>'T5007'!E28</f>
        <v>0</v>
      </c>
      <c r="K34" s="554">
        <f t="shared" si="0"/>
        <v>0</v>
      </c>
      <c r="L34" s="554">
        <f t="shared" si="1"/>
        <v>0</v>
      </c>
      <c r="M34" s="66"/>
    </row>
    <row r="35" spans="2:13" ht="18">
      <c r="B35" s="77"/>
      <c r="C35" s="561" t="s">
        <v>216</v>
      </c>
      <c r="D35" s="559" t="s">
        <v>1409</v>
      </c>
      <c r="E35" s="592" t="s">
        <v>803</v>
      </c>
      <c r="F35" s="592"/>
      <c r="G35" s="592"/>
      <c r="H35" s="592"/>
      <c r="I35" s="596"/>
      <c r="J35" s="554">
        <f>'T5007'!E29</f>
        <v>0</v>
      </c>
      <c r="K35" s="554">
        <f t="shared" si="0"/>
        <v>0</v>
      </c>
      <c r="L35" s="554">
        <f t="shared" si="1"/>
        <v>0</v>
      </c>
      <c r="M35" s="66"/>
    </row>
    <row r="36" spans="2:13" ht="18">
      <c r="B36" s="77"/>
      <c r="C36" s="561" t="s">
        <v>216</v>
      </c>
      <c r="D36" s="559" t="s">
        <v>118</v>
      </c>
      <c r="E36" s="555"/>
      <c r="F36" s="555"/>
      <c r="G36" s="555"/>
      <c r="H36" s="555"/>
      <c r="I36" s="553"/>
      <c r="J36" s="554">
        <f>+'T4A-OAS'!E34</f>
        <v>0</v>
      </c>
      <c r="K36" s="554">
        <f t="shared" si="0"/>
        <v>0</v>
      </c>
      <c r="L36" s="554">
        <f t="shared" si="1"/>
        <v>0</v>
      </c>
      <c r="M36" s="66"/>
    </row>
    <row r="37" spans="2:13" ht="18">
      <c r="B37" s="77"/>
      <c r="C37" s="561" t="s">
        <v>216</v>
      </c>
      <c r="D37" s="559" t="s">
        <v>39</v>
      </c>
      <c r="E37" s="555"/>
      <c r="F37" s="555"/>
      <c r="G37" s="555"/>
      <c r="H37" s="555"/>
      <c r="I37" s="553"/>
      <c r="J37" s="553"/>
      <c r="K37" s="554">
        <f t="shared" si="0"/>
        <v>0</v>
      </c>
      <c r="L37" s="554">
        <f t="shared" si="1"/>
        <v>0</v>
      </c>
      <c r="M37" s="66"/>
    </row>
    <row r="38" spans="2:13" ht="18">
      <c r="B38" s="77"/>
      <c r="C38" s="561" t="s">
        <v>216</v>
      </c>
      <c r="D38" s="559" t="s">
        <v>947</v>
      </c>
      <c r="E38" s="555"/>
      <c r="F38" s="555"/>
      <c r="G38" s="555"/>
      <c r="H38" s="555"/>
      <c r="I38" s="553"/>
      <c r="J38" s="554">
        <f>+'T4A'!E56</f>
        <v>0</v>
      </c>
      <c r="K38" s="554">
        <f t="shared" si="0"/>
        <v>0</v>
      </c>
      <c r="L38" s="554">
        <f t="shared" si="1"/>
        <v>0</v>
      </c>
      <c r="M38" s="66"/>
    </row>
    <row r="39" spans="2:13" ht="18">
      <c r="B39" s="77"/>
      <c r="C39" s="561" t="s">
        <v>216</v>
      </c>
      <c r="D39" s="559" t="s">
        <v>1639</v>
      </c>
      <c r="E39" s="555"/>
      <c r="F39" s="555"/>
      <c r="G39" s="555"/>
      <c r="H39" s="555"/>
      <c r="I39" s="553"/>
      <c r="J39" s="554">
        <f>+'T4F'!E30</f>
        <v>0</v>
      </c>
      <c r="K39" s="554">
        <f t="shared" si="0"/>
        <v>0</v>
      </c>
      <c r="L39" s="554">
        <f t="shared" si="1"/>
        <v>0</v>
      </c>
      <c r="M39" s="66"/>
    </row>
    <row r="40" spans="2:13" ht="18">
      <c r="B40" s="77"/>
      <c r="C40" s="561" t="s">
        <v>220</v>
      </c>
      <c r="D40" s="559" t="s">
        <v>637</v>
      </c>
      <c r="E40" s="555"/>
      <c r="F40" s="555"/>
      <c r="G40" s="555"/>
      <c r="H40" s="555"/>
      <c r="I40" s="554">
        <f>+'T4'!E59</f>
        <v>0</v>
      </c>
      <c r="J40" s="554">
        <f>+'T4A'!E57</f>
        <v>0</v>
      </c>
      <c r="K40" s="554">
        <f t="shared" si="0"/>
        <v>0</v>
      </c>
      <c r="L40" s="554">
        <f t="shared" si="1"/>
        <v>0</v>
      </c>
      <c r="M40" s="66"/>
    </row>
    <row r="41" spans="2:13" ht="18">
      <c r="B41" s="77"/>
      <c r="C41" s="561" t="s">
        <v>220</v>
      </c>
      <c r="D41" s="559" t="s">
        <v>519</v>
      </c>
      <c r="E41" s="555"/>
      <c r="F41" s="555"/>
      <c r="G41" s="555"/>
      <c r="H41" s="555"/>
      <c r="I41" s="554">
        <f>+'T4'!E60</f>
        <v>0</v>
      </c>
      <c r="J41" s="554">
        <f>+'T4A'!E58</f>
        <v>0</v>
      </c>
      <c r="K41" s="554">
        <f t="shared" si="0"/>
        <v>0</v>
      </c>
      <c r="L41" s="554">
        <f t="shared" si="1"/>
        <v>0</v>
      </c>
      <c r="M41" s="66"/>
    </row>
    <row r="42" spans="2:13" ht="18">
      <c r="B42" s="77"/>
      <c r="C42" s="561" t="s">
        <v>220</v>
      </c>
      <c r="D42" s="559" t="s">
        <v>634</v>
      </c>
      <c r="E42" s="555"/>
      <c r="F42" s="555"/>
      <c r="G42" s="555"/>
      <c r="H42" s="555"/>
      <c r="I42" s="553"/>
      <c r="J42" s="554">
        <f>+'T4'!E61</f>
        <v>0</v>
      </c>
      <c r="K42" s="554">
        <f t="shared" si="0"/>
        <v>0</v>
      </c>
      <c r="L42" s="554">
        <f t="shared" si="1"/>
        <v>0</v>
      </c>
      <c r="M42" s="66"/>
    </row>
    <row r="43" spans="2:13" ht="18">
      <c r="B43" s="77"/>
      <c r="C43" s="561" t="s">
        <v>220</v>
      </c>
      <c r="D43" s="559" t="s">
        <v>615</v>
      </c>
      <c r="E43" s="555"/>
      <c r="F43" s="555"/>
      <c r="G43" s="555"/>
      <c r="H43" s="555"/>
      <c r="I43" s="553"/>
      <c r="J43" s="553"/>
      <c r="K43" s="554">
        <f t="shared" si="0"/>
        <v>0</v>
      </c>
      <c r="L43" s="554">
        <f t="shared" si="1"/>
        <v>0</v>
      </c>
      <c r="M43" s="66"/>
    </row>
    <row r="44" spans="2:13" ht="18">
      <c r="B44" s="77"/>
      <c r="C44" s="561" t="s">
        <v>220</v>
      </c>
      <c r="D44" s="559" t="s">
        <v>121</v>
      </c>
      <c r="E44" s="555"/>
      <c r="F44" s="555"/>
      <c r="G44" s="555"/>
      <c r="H44" s="555"/>
      <c r="I44" s="553"/>
      <c r="J44" s="554">
        <f>+'T4PS'!E44</f>
        <v>0</v>
      </c>
      <c r="K44" s="554">
        <f t="shared" si="0"/>
        <v>0</v>
      </c>
      <c r="L44" s="554">
        <f t="shared" si="1"/>
        <v>0</v>
      </c>
      <c r="M44" s="66"/>
    </row>
    <row r="45" spans="2:13" ht="18">
      <c r="B45" s="77"/>
      <c r="C45" s="561" t="s">
        <v>220</v>
      </c>
      <c r="D45" s="559" t="s">
        <v>122</v>
      </c>
      <c r="E45" s="555"/>
      <c r="F45" s="555"/>
      <c r="G45" s="555"/>
      <c r="H45" s="554">
        <f>'T4RSP'!J60</f>
        <v>0</v>
      </c>
      <c r="I45" s="554">
        <f>+'T4A-OAS'!E35</f>
        <v>0</v>
      </c>
      <c r="J45" s="554">
        <f>+'T4E'!E44</f>
        <v>0</v>
      </c>
      <c r="K45" s="554">
        <f t="shared" si="0"/>
        <v>0</v>
      </c>
      <c r="L45" s="554">
        <f t="shared" si="1"/>
        <v>0</v>
      </c>
      <c r="M45" s="66"/>
    </row>
    <row r="46" spans="2:14" ht="18">
      <c r="B46" s="77"/>
      <c r="C46" s="561"/>
      <c r="D46" s="559"/>
      <c r="E46" s="555"/>
      <c r="F46" s="555"/>
      <c r="G46" s="555"/>
      <c r="H46" s="555"/>
      <c r="I46" s="553"/>
      <c r="J46" s="553"/>
      <c r="K46" s="554">
        <f t="shared" si="0"/>
        <v>0</v>
      </c>
      <c r="L46" s="554"/>
      <c r="M46" s="66"/>
      <c r="N46" s="597"/>
    </row>
    <row r="47" spans="2:13" ht="18">
      <c r="B47" s="77"/>
      <c r="C47" s="561" t="s">
        <v>220</v>
      </c>
      <c r="D47" s="559" t="s">
        <v>524</v>
      </c>
      <c r="E47" s="555"/>
      <c r="F47" s="555"/>
      <c r="G47" s="555"/>
      <c r="H47" s="555"/>
      <c r="I47" s="553"/>
      <c r="J47" s="554">
        <f>+'T4'!E62</f>
        <v>0</v>
      </c>
      <c r="K47" s="554">
        <f t="shared" si="0"/>
        <v>0</v>
      </c>
      <c r="L47" s="554">
        <f t="shared" si="1"/>
        <v>0</v>
      </c>
      <c r="M47" s="66"/>
    </row>
    <row r="48" spans="2:13" ht="18">
      <c r="B48" s="77"/>
      <c r="C48" s="561" t="s">
        <v>220</v>
      </c>
      <c r="D48" s="559" t="s">
        <v>527</v>
      </c>
      <c r="E48" s="555"/>
      <c r="F48" s="555"/>
      <c r="G48" s="555"/>
      <c r="H48" s="555"/>
      <c r="I48" s="553"/>
      <c r="J48" s="554">
        <f>+'T4'!E63</f>
        <v>0</v>
      </c>
      <c r="K48" s="554">
        <f t="shared" si="0"/>
        <v>0</v>
      </c>
      <c r="L48" s="554">
        <f t="shared" si="1"/>
        <v>0</v>
      </c>
      <c r="M48" s="66"/>
    </row>
    <row r="49" spans="2:13" ht="18">
      <c r="B49" s="77"/>
      <c r="C49" s="561" t="s">
        <v>220</v>
      </c>
      <c r="D49" s="559" t="s">
        <v>123</v>
      </c>
      <c r="E49" s="600">
        <f>IF(AND('T1 GEN-2-3-4'!K80&gt;55309,L36&gt;0),"See guide re income &amp; allowable deduction","")</f>
      </c>
      <c r="F49" s="599"/>
      <c r="G49" s="555"/>
      <c r="H49" s="555"/>
      <c r="I49" s="554">
        <f>+'T4A-OAS'!E36</f>
        <v>0</v>
      </c>
      <c r="J49" s="554">
        <f>+'T5007'!E30</f>
        <v>0</v>
      </c>
      <c r="K49" s="554">
        <f t="shared" si="0"/>
        <v>0</v>
      </c>
      <c r="L49" s="554">
        <f t="shared" si="1"/>
        <v>0</v>
      </c>
      <c r="M49" s="66"/>
    </row>
    <row r="50" spans="2:13" ht="18">
      <c r="B50" s="77"/>
      <c r="C50" s="561"/>
      <c r="D50" s="559"/>
      <c r="E50" s="555"/>
      <c r="F50" s="555"/>
      <c r="G50" s="555"/>
      <c r="H50" s="555"/>
      <c r="I50" s="553"/>
      <c r="J50" s="553"/>
      <c r="K50" s="554">
        <f t="shared" si="0"/>
        <v>0</v>
      </c>
      <c r="L50" s="554"/>
      <c r="M50" s="66"/>
    </row>
    <row r="51" spans="2:13" ht="18">
      <c r="B51" s="77"/>
      <c r="C51" s="561"/>
      <c r="D51" s="559"/>
      <c r="E51" s="555"/>
      <c r="F51" s="555"/>
      <c r="G51" s="555"/>
      <c r="H51" s="555"/>
      <c r="I51" s="553"/>
      <c r="J51" s="553"/>
      <c r="K51" s="554">
        <f t="shared" si="0"/>
        <v>0</v>
      </c>
      <c r="L51" s="554"/>
      <c r="M51" s="66"/>
    </row>
    <row r="52" spans="2:13" ht="18">
      <c r="B52" s="77"/>
      <c r="C52" s="561" t="s">
        <v>1417</v>
      </c>
      <c r="D52" s="682" t="s">
        <v>737</v>
      </c>
      <c r="E52" s="556"/>
      <c r="F52" s="556"/>
      <c r="G52" s="556"/>
      <c r="H52" s="556"/>
      <c r="I52" s="785"/>
      <c r="J52" s="554">
        <f>+'T4RSP'!J50</f>
        <v>0</v>
      </c>
      <c r="K52" s="554">
        <f t="shared" si="0"/>
        <v>0</v>
      </c>
      <c r="L52" s="554">
        <f t="shared" si="1"/>
        <v>0</v>
      </c>
      <c r="M52" s="66"/>
    </row>
    <row r="53" spans="2:14" ht="18">
      <c r="B53" s="77"/>
      <c r="C53" s="561"/>
      <c r="D53" s="559"/>
      <c r="E53" s="556"/>
      <c r="F53" s="556"/>
      <c r="G53" s="556"/>
      <c r="H53" s="556"/>
      <c r="I53" s="785"/>
      <c r="J53" s="785"/>
      <c r="K53" s="554">
        <f t="shared" si="0"/>
        <v>0</v>
      </c>
      <c r="L53" s="554"/>
      <c r="M53" s="66"/>
      <c r="N53" s="597"/>
    </row>
    <row r="54" spans="2:13" ht="18">
      <c r="B54" s="77"/>
      <c r="C54" s="561" t="s">
        <v>1451</v>
      </c>
      <c r="D54" s="559" t="s">
        <v>125</v>
      </c>
      <c r="E54" s="556"/>
      <c r="F54" s="556"/>
      <c r="G54" s="556"/>
      <c r="H54" s="556"/>
      <c r="I54" s="785"/>
      <c r="J54" s="554">
        <f>+'T4PS'!E45</f>
        <v>0</v>
      </c>
      <c r="K54" s="554">
        <f t="shared" si="0"/>
        <v>0</v>
      </c>
      <c r="L54" s="554">
        <f t="shared" si="1"/>
        <v>0</v>
      </c>
      <c r="M54" s="66"/>
    </row>
    <row r="55" spans="2:13" ht="18">
      <c r="B55" s="77"/>
      <c r="C55" s="561" t="s">
        <v>1451</v>
      </c>
      <c r="D55" s="559" t="s">
        <v>126</v>
      </c>
      <c r="E55" s="556"/>
      <c r="F55" s="556"/>
      <c r="G55" s="556"/>
      <c r="H55" s="556"/>
      <c r="I55" s="785"/>
      <c r="J55" s="554">
        <f>+'T4PS'!E46</f>
        <v>0</v>
      </c>
      <c r="K55" s="554">
        <f t="shared" si="0"/>
        <v>0</v>
      </c>
      <c r="L55" s="554">
        <f t="shared" si="1"/>
        <v>0</v>
      </c>
      <c r="M55" s="66"/>
    </row>
    <row r="56" spans="2:13" ht="18.75" thickBot="1">
      <c r="B56" s="77"/>
      <c r="C56" s="870" t="s">
        <v>1451</v>
      </c>
      <c r="D56" s="871" t="s">
        <v>127</v>
      </c>
      <c r="E56" s="872"/>
      <c r="F56" s="872"/>
      <c r="G56" s="872"/>
      <c r="H56" s="872"/>
      <c r="I56" s="873"/>
      <c r="J56" s="874">
        <f>+'T4PS'!E47</f>
        <v>0</v>
      </c>
      <c r="K56" s="874">
        <f t="shared" si="0"/>
        <v>0</v>
      </c>
      <c r="L56" s="874">
        <f t="shared" si="1"/>
        <v>0</v>
      </c>
      <c r="M56" s="66"/>
    </row>
    <row r="57" spans="2:13" ht="18">
      <c r="B57" s="77"/>
      <c r="C57" s="875" t="s">
        <v>1555</v>
      </c>
      <c r="D57" s="876" t="s">
        <v>521</v>
      </c>
      <c r="E57" s="877"/>
      <c r="F57" s="878"/>
      <c r="G57" s="920">
        <f>'T4A'!E60</f>
        <v>0</v>
      </c>
      <c r="H57" s="920">
        <f>+'T4A-OAS'!E37</f>
        <v>0</v>
      </c>
      <c r="I57" s="879">
        <f>+'T4E'!E47</f>
        <v>0</v>
      </c>
      <c r="J57" s="879">
        <f>+'T4F'!E31</f>
        <v>0</v>
      </c>
      <c r="K57" s="879">
        <f>SUM(E57:J58)</f>
        <v>0</v>
      </c>
      <c r="L57" s="880">
        <f t="shared" si="1"/>
        <v>0</v>
      </c>
      <c r="M57" s="66"/>
    </row>
    <row r="58" spans="2:13" ht="18.75" thickBot="1">
      <c r="B58" s="77"/>
      <c r="C58" s="881" t="s">
        <v>1555</v>
      </c>
      <c r="D58" s="882" t="s">
        <v>521</v>
      </c>
      <c r="E58" s="886"/>
      <c r="F58" s="886"/>
      <c r="G58" s="886"/>
      <c r="H58" s="921">
        <f>'T4RIF'!J55</f>
        <v>0</v>
      </c>
      <c r="I58" s="883">
        <f>'T4RSP'!J63</f>
        <v>0</v>
      </c>
      <c r="J58" s="883">
        <f>+'T4'!E64</f>
        <v>0</v>
      </c>
      <c r="K58" s="884"/>
      <c r="L58" s="885"/>
      <c r="M58" s="66"/>
    </row>
    <row r="59" spans="2:13" ht="18">
      <c r="B59" s="77"/>
      <c r="C59" s="560"/>
      <c r="D59" s="558"/>
      <c r="E59" s="596"/>
      <c r="F59" s="596"/>
      <c r="G59" s="596"/>
      <c r="H59" s="596"/>
      <c r="I59" s="596"/>
      <c r="J59" s="596"/>
      <c r="K59" s="554">
        <f t="shared" si="0"/>
        <v>0</v>
      </c>
      <c r="L59" s="554"/>
      <c r="M59" s="66"/>
    </row>
    <row r="60" spans="2:13" ht="18">
      <c r="B60" s="77"/>
      <c r="C60" s="561" t="s">
        <v>1555</v>
      </c>
      <c r="D60" s="559" t="s">
        <v>128</v>
      </c>
      <c r="E60" s="555"/>
      <c r="F60" s="555"/>
      <c r="G60" s="555"/>
      <c r="H60" s="555"/>
      <c r="I60" s="553"/>
      <c r="J60" s="553"/>
      <c r="K60" s="554">
        <f t="shared" si="0"/>
        <v>0</v>
      </c>
      <c r="L60" s="554">
        <f t="shared" si="1"/>
        <v>0</v>
      </c>
      <c r="M60" s="66"/>
    </row>
    <row r="61" spans="2:13" ht="18">
      <c r="B61" s="77"/>
      <c r="C61" s="561" t="s">
        <v>124</v>
      </c>
      <c r="D61" s="559" t="s">
        <v>129</v>
      </c>
      <c r="E61" s="555"/>
      <c r="F61" s="555"/>
      <c r="G61" s="555"/>
      <c r="H61" s="555"/>
      <c r="I61" s="553"/>
      <c r="J61" s="553"/>
      <c r="K61" s="554">
        <f t="shared" si="0"/>
        <v>0</v>
      </c>
      <c r="L61" s="554">
        <f t="shared" si="1"/>
        <v>0</v>
      </c>
      <c r="M61" s="66"/>
    </row>
    <row r="62" spans="2:13" ht="18">
      <c r="B62" s="77"/>
      <c r="C62" s="561" t="s">
        <v>124</v>
      </c>
      <c r="D62" s="559" t="s">
        <v>130</v>
      </c>
      <c r="E62" s="555"/>
      <c r="F62" s="555"/>
      <c r="G62" s="555"/>
      <c r="H62" s="555"/>
      <c r="I62" s="553"/>
      <c r="J62" s="553"/>
      <c r="K62" s="554">
        <f t="shared" si="0"/>
        <v>0</v>
      </c>
      <c r="L62" s="554">
        <f t="shared" si="1"/>
        <v>0</v>
      </c>
      <c r="M62" s="66"/>
    </row>
    <row r="63" spans="2:13" ht="18">
      <c r="B63" s="77"/>
      <c r="C63" s="561" t="s">
        <v>124</v>
      </c>
      <c r="D63" s="559" t="s">
        <v>119</v>
      </c>
      <c r="E63" s="555"/>
      <c r="F63" s="555"/>
      <c r="G63" s="555"/>
      <c r="H63" s="555"/>
      <c r="I63" s="553"/>
      <c r="J63" s="553"/>
      <c r="K63" s="554">
        <f t="shared" si="0"/>
        <v>0</v>
      </c>
      <c r="L63" s="554">
        <f t="shared" si="1"/>
        <v>0</v>
      </c>
      <c r="M63" s="66"/>
    </row>
    <row r="64" spans="2:13" ht="18">
      <c r="B64" s="77"/>
      <c r="C64" s="561" t="s">
        <v>124</v>
      </c>
      <c r="D64" s="559" t="s">
        <v>131</v>
      </c>
      <c r="E64" s="555"/>
      <c r="F64" s="555"/>
      <c r="G64" s="555"/>
      <c r="H64" s="555"/>
      <c r="I64" s="553"/>
      <c r="J64" s="554">
        <f>+'T4PS'!E48</f>
        <v>0</v>
      </c>
      <c r="K64" s="554">
        <f t="shared" si="0"/>
        <v>0</v>
      </c>
      <c r="L64" s="554">
        <f t="shared" si="1"/>
        <v>0</v>
      </c>
      <c r="M64" s="66"/>
    </row>
    <row r="65" spans="2:13" ht="18">
      <c r="B65" s="77"/>
      <c r="C65" s="561" t="s">
        <v>124</v>
      </c>
      <c r="D65" s="559" t="s">
        <v>120</v>
      </c>
      <c r="E65" s="555"/>
      <c r="F65" s="555"/>
      <c r="G65" s="555"/>
      <c r="H65" s="555"/>
      <c r="I65" s="553"/>
      <c r="J65" s="553"/>
      <c r="K65" s="554">
        <f t="shared" si="0"/>
        <v>0</v>
      </c>
      <c r="L65" s="554">
        <f t="shared" si="1"/>
        <v>0</v>
      </c>
      <c r="M65" s="66"/>
    </row>
    <row r="66" spans="2:13" ht="18">
      <c r="B66" s="77"/>
      <c r="C66" s="561" t="s">
        <v>132</v>
      </c>
      <c r="D66" s="559" t="s">
        <v>1416</v>
      </c>
      <c r="E66" s="555"/>
      <c r="F66" s="555"/>
      <c r="G66" s="555"/>
      <c r="H66" s="555"/>
      <c r="I66" s="553"/>
      <c r="J66" s="553"/>
      <c r="K66" s="554">
        <f t="shared" si="0"/>
        <v>0</v>
      </c>
      <c r="L66" s="554">
        <f t="shared" si="1"/>
        <v>0</v>
      </c>
      <c r="M66" s="66"/>
    </row>
    <row r="67" spans="2:13" ht="18">
      <c r="B67" s="77"/>
      <c r="C67" s="561" t="s">
        <v>133</v>
      </c>
      <c r="D67" s="559" t="s">
        <v>444</v>
      </c>
      <c r="E67" s="555"/>
      <c r="F67" s="555"/>
      <c r="G67" s="555"/>
      <c r="H67" s="555"/>
      <c r="I67" s="553"/>
      <c r="J67" s="554">
        <f>'T4RSP'!J65</f>
        <v>0</v>
      </c>
      <c r="K67" s="554">
        <f t="shared" si="0"/>
        <v>0</v>
      </c>
      <c r="L67" s="554">
        <f t="shared" si="1"/>
        <v>0</v>
      </c>
      <c r="M67" s="66"/>
    </row>
    <row r="68" spans="2:13" ht="18">
      <c r="B68" s="77"/>
      <c r="C68" s="561" t="s">
        <v>1452</v>
      </c>
      <c r="D68" s="559" t="s">
        <v>304</v>
      </c>
      <c r="E68" s="555"/>
      <c r="F68" s="555"/>
      <c r="G68" s="555"/>
      <c r="H68" s="555"/>
      <c r="I68" s="553"/>
      <c r="J68" s="554">
        <f>+'T4'!E65</f>
        <v>0</v>
      </c>
      <c r="K68" s="554">
        <f t="shared" si="0"/>
        <v>0</v>
      </c>
      <c r="L68" s="554">
        <f t="shared" si="1"/>
        <v>0</v>
      </c>
      <c r="M68" s="66"/>
    </row>
    <row r="69" spans="2:13" ht="18">
      <c r="B69" s="77"/>
      <c r="C69" s="561" t="s">
        <v>1452</v>
      </c>
      <c r="D69" s="559" t="s">
        <v>887</v>
      </c>
      <c r="E69" s="555"/>
      <c r="F69" s="555"/>
      <c r="G69" s="555"/>
      <c r="H69" s="555"/>
      <c r="I69" s="553"/>
      <c r="J69" s="554">
        <f>+'T4'!E66</f>
        <v>0</v>
      </c>
      <c r="K69" s="554">
        <f t="shared" si="0"/>
        <v>0</v>
      </c>
      <c r="L69" s="554">
        <f t="shared" si="1"/>
        <v>0</v>
      </c>
      <c r="M69" s="66"/>
    </row>
    <row r="70" spans="2:13" ht="18">
      <c r="B70" s="77"/>
      <c r="C70" s="561" t="s">
        <v>1556</v>
      </c>
      <c r="D70" s="559" t="s">
        <v>661</v>
      </c>
      <c r="E70" s="555"/>
      <c r="F70" s="555"/>
      <c r="G70" s="555"/>
      <c r="H70" s="555"/>
      <c r="I70" s="554">
        <f>+'T4'!E67</f>
        <v>0</v>
      </c>
      <c r="J70" s="554">
        <f>+'T4A'!E61</f>
        <v>0</v>
      </c>
      <c r="K70" s="554">
        <f t="shared" si="0"/>
        <v>0</v>
      </c>
      <c r="L70" s="554">
        <f t="shared" si="1"/>
        <v>0</v>
      </c>
      <c r="M70" s="66"/>
    </row>
    <row r="71" spans="2:13" ht="18">
      <c r="B71" s="77"/>
      <c r="C71" s="561" t="s">
        <v>1556</v>
      </c>
      <c r="D71" s="559" t="s">
        <v>134</v>
      </c>
      <c r="E71" s="555"/>
      <c r="F71" s="555"/>
      <c r="G71" s="555"/>
      <c r="H71" s="555"/>
      <c r="I71" s="553"/>
      <c r="J71" s="553"/>
      <c r="K71" s="554">
        <f t="shared" si="0"/>
        <v>0</v>
      </c>
      <c r="L71" s="554">
        <f t="shared" si="1"/>
        <v>0</v>
      </c>
      <c r="M71" s="66"/>
    </row>
    <row r="72" spans="2:13" ht="18">
      <c r="B72" s="77"/>
      <c r="C72" s="561" t="s">
        <v>1556</v>
      </c>
      <c r="D72" s="559" t="s">
        <v>135</v>
      </c>
      <c r="E72" s="555"/>
      <c r="F72" s="555"/>
      <c r="G72" s="555"/>
      <c r="H72" s="555"/>
      <c r="I72" s="553"/>
      <c r="J72" s="553"/>
      <c r="K72" s="554">
        <f t="shared" si="0"/>
        <v>0</v>
      </c>
      <c r="L72" s="554">
        <f t="shared" si="1"/>
        <v>0</v>
      </c>
      <c r="M72" s="66"/>
    </row>
    <row r="73" spans="2:13" ht="18">
      <c r="B73" s="77"/>
      <c r="C73" s="561" t="s">
        <v>1556</v>
      </c>
      <c r="D73" s="559" t="s">
        <v>136</v>
      </c>
      <c r="E73" s="555"/>
      <c r="F73" s="555"/>
      <c r="G73" s="555"/>
      <c r="H73" s="555"/>
      <c r="I73" s="553"/>
      <c r="J73" s="553"/>
      <c r="K73" s="554">
        <f t="shared" si="0"/>
        <v>0</v>
      </c>
      <c r="L73" s="554">
        <f t="shared" si="1"/>
        <v>0</v>
      </c>
      <c r="M73" s="66"/>
    </row>
    <row r="74" spans="2:13" ht="18">
      <c r="B74" s="77"/>
      <c r="C74" s="561" t="s">
        <v>137</v>
      </c>
      <c r="D74" s="559"/>
      <c r="E74" s="555"/>
      <c r="F74" s="555"/>
      <c r="G74" s="555"/>
      <c r="H74" s="555"/>
      <c r="I74" s="553"/>
      <c r="J74" s="553"/>
      <c r="K74" s="554">
        <f t="shared" si="0"/>
        <v>0</v>
      </c>
      <c r="L74" s="554">
        <f t="shared" si="1"/>
        <v>0</v>
      </c>
      <c r="M74" s="66"/>
    </row>
    <row r="75" spans="2:13" ht="18">
      <c r="B75" s="77"/>
      <c r="C75" s="561" t="s">
        <v>1419</v>
      </c>
      <c r="D75" s="559"/>
      <c r="E75" s="555"/>
      <c r="F75" s="555"/>
      <c r="G75" s="555"/>
      <c r="H75" s="555"/>
      <c r="I75" s="553"/>
      <c r="J75" s="554">
        <f>+'T4A'!E62</f>
        <v>0</v>
      </c>
      <c r="K75" s="554">
        <f t="shared" si="0"/>
        <v>0</v>
      </c>
      <c r="L75" s="554">
        <f t="shared" si="1"/>
        <v>0</v>
      </c>
      <c r="M75" s="66"/>
    </row>
    <row r="76" spans="2:13" ht="18">
      <c r="B76" s="77"/>
      <c r="C76" s="561" t="s">
        <v>1414</v>
      </c>
      <c r="D76" s="559" t="s">
        <v>640</v>
      </c>
      <c r="E76" s="555"/>
      <c r="F76" s="555"/>
      <c r="G76" s="555"/>
      <c r="H76" s="555"/>
      <c r="I76" s="553"/>
      <c r="J76" s="554">
        <f>+'T4'!E68</f>
        <v>0</v>
      </c>
      <c r="K76" s="554">
        <f t="shared" si="0"/>
        <v>0</v>
      </c>
      <c r="L76" s="554">
        <f t="shared" si="1"/>
        <v>0</v>
      </c>
      <c r="M76" s="66"/>
    </row>
    <row r="77" spans="2:13" ht="18">
      <c r="B77" s="77"/>
      <c r="C77" s="561" t="s">
        <v>1418</v>
      </c>
      <c r="D77" s="559"/>
      <c r="E77" s="555"/>
      <c r="F77" s="555"/>
      <c r="G77" s="555"/>
      <c r="H77" s="555"/>
      <c r="I77" s="553"/>
      <c r="J77" s="553"/>
      <c r="K77" s="554">
        <f t="shared" si="0"/>
        <v>0</v>
      </c>
      <c r="L77" s="554">
        <f t="shared" si="1"/>
        <v>0</v>
      </c>
      <c r="M77" s="66"/>
    </row>
    <row r="78" spans="2:13" ht="18">
      <c r="B78" s="77"/>
      <c r="C78" s="561" t="s">
        <v>834</v>
      </c>
      <c r="D78" s="559" t="s">
        <v>1944</v>
      </c>
      <c r="E78" s="592"/>
      <c r="F78" s="592"/>
      <c r="G78" s="592"/>
      <c r="H78" s="592"/>
      <c r="I78" s="596"/>
      <c r="J78" s="554">
        <f>+'T4'!E69</f>
        <v>0</v>
      </c>
      <c r="K78" s="554">
        <f t="shared" si="0"/>
        <v>0</v>
      </c>
      <c r="L78" s="554">
        <f t="shared" si="1"/>
        <v>0</v>
      </c>
      <c r="M78" s="66"/>
    </row>
    <row r="79" spans="2:13" ht="18">
      <c r="B79" s="77"/>
      <c r="C79" s="561" t="s">
        <v>834</v>
      </c>
      <c r="D79" s="559" t="s">
        <v>1309</v>
      </c>
      <c r="E79" s="592"/>
      <c r="F79" s="592"/>
      <c r="G79" s="592"/>
      <c r="H79" s="592"/>
      <c r="I79" s="596"/>
      <c r="J79" s="554">
        <f>'T4'!E70</f>
        <v>0</v>
      </c>
      <c r="K79" s="554">
        <f t="shared" si="0"/>
        <v>0</v>
      </c>
      <c r="L79" s="554">
        <f t="shared" si="1"/>
        <v>0</v>
      </c>
      <c r="M79" s="66"/>
    </row>
    <row r="80" spans="2:13" ht="18">
      <c r="B80" s="77"/>
      <c r="C80" s="561" t="s">
        <v>834</v>
      </c>
      <c r="D80" s="559" t="s">
        <v>1839</v>
      </c>
      <c r="E80" s="592"/>
      <c r="F80" s="592"/>
      <c r="G80" s="592"/>
      <c r="H80" s="592"/>
      <c r="I80" s="554">
        <f>+'T4'!E71</f>
        <v>0</v>
      </c>
      <c r="J80" s="554">
        <f>+'T4F'!E32</f>
        <v>0</v>
      </c>
      <c r="K80" s="554">
        <f t="shared" si="0"/>
        <v>0</v>
      </c>
      <c r="L80" s="554">
        <f t="shared" si="1"/>
        <v>0</v>
      </c>
      <c r="M80" s="66"/>
    </row>
    <row r="81" spans="2:13" ht="18">
      <c r="B81" s="77"/>
      <c r="C81" s="561" t="s">
        <v>834</v>
      </c>
      <c r="D81" s="559" t="s">
        <v>286</v>
      </c>
      <c r="E81" s="592"/>
      <c r="F81" s="592"/>
      <c r="G81" s="592"/>
      <c r="H81" s="592"/>
      <c r="I81" s="554">
        <f>'T4'!E72</f>
        <v>0</v>
      </c>
      <c r="J81" s="554">
        <f>+'T4F'!E33</f>
        <v>0</v>
      </c>
      <c r="K81" s="554">
        <f t="shared" si="0"/>
        <v>0</v>
      </c>
      <c r="L81" s="554">
        <f t="shared" si="1"/>
        <v>0</v>
      </c>
      <c r="M81" s="66"/>
    </row>
    <row r="82" spans="2:13" ht="18">
      <c r="B82" s="77"/>
      <c r="C82" s="561"/>
      <c r="D82" s="559"/>
      <c r="E82" s="555"/>
      <c r="F82" s="555"/>
      <c r="G82" s="555"/>
      <c r="H82" s="555"/>
      <c r="I82" s="553"/>
      <c r="J82" s="553"/>
      <c r="K82" s="554">
        <f t="shared" si="0"/>
        <v>0</v>
      </c>
      <c r="L82" s="554">
        <f t="shared" si="1"/>
        <v>0</v>
      </c>
      <c r="M82" s="66"/>
    </row>
    <row r="83" spans="2:13" ht="18">
      <c r="B83" s="77"/>
      <c r="C83" s="561" t="s">
        <v>1415</v>
      </c>
      <c r="D83" s="559"/>
      <c r="E83" s="555"/>
      <c r="F83" s="555"/>
      <c r="G83" s="555"/>
      <c r="H83" s="555"/>
      <c r="I83" s="553"/>
      <c r="J83" s="553"/>
      <c r="K83" s="554">
        <f t="shared" si="0"/>
        <v>0</v>
      </c>
      <c r="L83" s="554">
        <f t="shared" si="1"/>
        <v>0</v>
      </c>
      <c r="M83" s="66"/>
    </row>
    <row r="84" spans="2:13" ht="18">
      <c r="B84" s="77"/>
      <c r="C84" s="561" t="s">
        <v>905</v>
      </c>
      <c r="D84" s="559"/>
      <c r="E84" s="555"/>
      <c r="F84" s="555"/>
      <c r="G84" s="555"/>
      <c r="H84" s="555"/>
      <c r="I84" s="553"/>
      <c r="J84" s="553"/>
      <c r="K84" s="554">
        <f t="shared" si="0"/>
        <v>0</v>
      </c>
      <c r="L84" s="554">
        <f t="shared" si="1"/>
        <v>0</v>
      </c>
      <c r="M84" s="66"/>
    </row>
    <row r="85" spans="2:13" ht="18">
      <c r="B85" s="77"/>
      <c r="C85" s="561" t="s">
        <v>832</v>
      </c>
      <c r="D85" s="559" t="s">
        <v>431</v>
      </c>
      <c r="E85" s="555"/>
      <c r="F85" s="555"/>
      <c r="G85" s="555"/>
      <c r="H85" s="555"/>
      <c r="I85" s="553"/>
      <c r="J85" s="554">
        <f>+'T4F'!E34</f>
        <v>0</v>
      </c>
      <c r="K85" s="554">
        <f t="shared" si="0"/>
        <v>0</v>
      </c>
      <c r="L85" s="554">
        <f t="shared" si="1"/>
        <v>0</v>
      </c>
      <c r="M85" s="66"/>
    </row>
    <row r="86" spans="2:13" ht="18">
      <c r="B86" s="77"/>
      <c r="C86" s="561"/>
      <c r="D86" s="559"/>
      <c r="E86" s="555"/>
      <c r="F86" s="555"/>
      <c r="G86" s="555"/>
      <c r="H86" s="555"/>
      <c r="I86" s="553"/>
      <c r="J86" s="553"/>
      <c r="K86" s="554"/>
      <c r="L86" s="554"/>
      <c r="M86" s="66"/>
    </row>
    <row r="87" spans="2:13" ht="18">
      <c r="B87" s="77"/>
      <c r="C87" s="80"/>
      <c r="D87" s="77"/>
      <c r="E87" s="82"/>
      <c r="F87" s="79"/>
      <c r="G87" s="79"/>
      <c r="H87" s="84"/>
      <c r="I87" s="84"/>
      <c r="J87" s="84"/>
      <c r="K87" s="79"/>
      <c r="L87" s="83"/>
      <c r="M87" s="66"/>
    </row>
    <row r="88" spans="2:13" ht="18">
      <c r="B88" s="77"/>
      <c r="C88" s="593" t="s">
        <v>1509</v>
      </c>
      <c r="D88" s="77"/>
      <c r="E88" s="82"/>
      <c r="F88" s="79"/>
      <c r="G88" s="79"/>
      <c r="H88" s="84"/>
      <c r="I88" s="84"/>
      <c r="J88" s="84"/>
      <c r="K88" s="79"/>
      <c r="L88" s="83"/>
      <c r="M88" s="66"/>
    </row>
  </sheetData>
  <sheetProtection password="EC35" sheet="1" objects="1" scenarios="1"/>
  <printOptions horizontalCentered="1"/>
  <pageMargins left="0" right="0" top="0.5" bottom="0.25" header="0.5" footer="0.5"/>
  <pageSetup fitToHeight="2" fitToWidth="1" horizontalDpi="600" verticalDpi="600" orientation="landscape" scale="6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G26"/>
  <sheetViews>
    <sheetView showGridLines="0" showRowColHeaders="0" zoomScale="95" zoomScaleNormal="95" workbookViewId="0" topLeftCell="A1">
      <selection activeCell="B1" sqref="B1"/>
    </sheetView>
  </sheetViews>
  <sheetFormatPr defaultColWidth="7.10546875" defaultRowHeight="15"/>
  <cols>
    <col min="1" max="1" width="7.10546875" style="786" customWidth="1"/>
    <col min="2" max="2" width="11.5546875" style="786" customWidth="1"/>
    <col min="3" max="3" width="12.3359375" style="786" customWidth="1"/>
    <col min="4" max="4" width="35.3359375" style="786" customWidth="1"/>
    <col min="5" max="6" width="7.10546875" style="786" customWidth="1"/>
    <col min="7" max="7" width="3.88671875" style="786" hidden="1" customWidth="1"/>
    <col min="8" max="16384" width="7.10546875" style="786" customWidth="1"/>
  </cols>
  <sheetData>
    <row r="1" spans="1:7" ht="18">
      <c r="A1" s="798"/>
      <c r="B1" s="798"/>
      <c r="C1" s="798"/>
      <c r="D1" s="813" t="s">
        <v>1893</v>
      </c>
      <c r="E1" s="798"/>
      <c r="F1" s="798"/>
      <c r="G1" s="790" t="s">
        <v>1004</v>
      </c>
    </row>
    <row r="2" spans="1:6" ht="12.75">
      <c r="A2" s="798"/>
      <c r="B2" s="798"/>
      <c r="C2" s="798"/>
      <c r="D2" s="798"/>
      <c r="E2" s="798"/>
      <c r="F2" s="798"/>
    </row>
    <row r="3" spans="1:6" ht="13.5" customHeight="1">
      <c r="A3" s="799" t="s">
        <v>1894</v>
      </c>
      <c r="B3" s="798"/>
      <c r="C3" s="798"/>
      <c r="D3" s="798"/>
      <c r="E3" s="798"/>
      <c r="F3" s="798"/>
    </row>
    <row r="4" spans="1:6" ht="13.5" customHeight="1">
      <c r="A4" s="799" t="s">
        <v>1897</v>
      </c>
      <c r="B4" s="798"/>
      <c r="C4" s="798"/>
      <c r="D4" s="798"/>
      <c r="E4" s="798"/>
      <c r="F4" s="798"/>
    </row>
    <row r="5" spans="1:6" ht="13.5" customHeight="1">
      <c r="A5" s="799" t="s">
        <v>1921</v>
      </c>
      <c r="B5" s="798"/>
      <c r="C5" s="798"/>
      <c r="D5" s="798"/>
      <c r="E5" s="798"/>
      <c r="F5" s="798"/>
    </row>
    <row r="6" spans="1:6" ht="12.75">
      <c r="A6" s="798"/>
      <c r="B6" s="798"/>
      <c r="C6" s="798"/>
      <c r="D6" s="798"/>
      <c r="E6" s="798"/>
      <c r="F6" s="798"/>
    </row>
    <row r="7" spans="1:6" ht="12.75">
      <c r="A7" s="800"/>
      <c r="B7" s="801" t="s">
        <v>1044</v>
      </c>
      <c r="C7" s="802"/>
      <c r="D7" s="803" t="s">
        <v>1045</v>
      </c>
      <c r="E7" s="803" t="s">
        <v>1877</v>
      </c>
      <c r="F7" s="804" t="s">
        <v>1878</v>
      </c>
    </row>
    <row r="8" spans="1:6" ht="12.75">
      <c r="A8" s="805" t="s">
        <v>1048</v>
      </c>
      <c r="B8" s="806" t="s">
        <v>1046</v>
      </c>
      <c r="C8" s="806" t="s">
        <v>1047</v>
      </c>
      <c r="D8" s="807"/>
      <c r="E8" s="807"/>
      <c r="F8" s="808"/>
    </row>
    <row r="9" spans="1:6" ht="12.75">
      <c r="A9" s="798"/>
      <c r="B9" s="798"/>
      <c r="C9" s="798"/>
      <c r="D9" s="798"/>
      <c r="E9" s="798"/>
      <c r="F9" s="798"/>
    </row>
    <row r="10" spans="1:7" ht="12.75">
      <c r="A10" s="809">
        <v>305</v>
      </c>
      <c r="B10" s="799" t="s">
        <v>1417</v>
      </c>
      <c r="C10" s="799" t="s">
        <v>1049</v>
      </c>
      <c r="D10" s="799" t="s">
        <v>1895</v>
      </c>
      <c r="E10" s="798"/>
      <c r="F10" s="798"/>
      <c r="G10" s="797" t="b">
        <v>0</v>
      </c>
    </row>
    <row r="11" spans="1:6" ht="12.75">
      <c r="A11" s="809">
        <v>5816</v>
      </c>
      <c r="B11" s="799" t="s">
        <v>1890</v>
      </c>
      <c r="C11" s="799" t="s">
        <v>1892</v>
      </c>
      <c r="D11" s="799" t="s">
        <v>1896</v>
      </c>
      <c r="E11" s="810"/>
      <c r="F11" s="798"/>
    </row>
    <row r="12" spans="1:6" ht="12.75">
      <c r="A12" s="809"/>
      <c r="B12" s="799"/>
      <c r="C12" s="799"/>
      <c r="D12" s="799"/>
      <c r="E12" s="810"/>
      <c r="F12" s="798"/>
    </row>
    <row r="13" spans="1:7" ht="12.75">
      <c r="A13" s="809">
        <v>306</v>
      </c>
      <c r="B13" s="799" t="s">
        <v>1417</v>
      </c>
      <c r="C13" s="799" t="s">
        <v>1049</v>
      </c>
      <c r="D13" s="799" t="s">
        <v>1891</v>
      </c>
      <c r="E13" s="798"/>
      <c r="F13" s="798"/>
      <c r="G13" s="797" t="b">
        <v>0</v>
      </c>
    </row>
    <row r="14" spans="1:6" ht="12.75">
      <c r="A14" s="809">
        <v>5820</v>
      </c>
      <c r="B14" s="799" t="s">
        <v>1890</v>
      </c>
      <c r="C14" s="799" t="s">
        <v>1892</v>
      </c>
      <c r="D14" s="799"/>
      <c r="E14" s="810"/>
      <c r="F14" s="798"/>
    </row>
    <row r="15" spans="1:6" ht="12.75">
      <c r="A15" s="798"/>
      <c r="B15" s="798"/>
      <c r="C15" s="798"/>
      <c r="D15" s="798"/>
      <c r="E15" s="810"/>
      <c r="F15" s="798"/>
    </row>
    <row r="16" spans="1:7" ht="12.75">
      <c r="A16" s="809">
        <v>315</v>
      </c>
      <c r="B16" s="799" t="s">
        <v>1417</v>
      </c>
      <c r="C16" s="799" t="s">
        <v>1049</v>
      </c>
      <c r="D16" s="799" t="s">
        <v>646</v>
      </c>
      <c r="E16" s="798"/>
      <c r="F16" s="798"/>
      <c r="G16" s="797" t="b">
        <v>0</v>
      </c>
    </row>
    <row r="17" spans="1:6" ht="12.75">
      <c r="A17" s="809">
        <v>5840</v>
      </c>
      <c r="B17" s="799" t="s">
        <v>1890</v>
      </c>
      <c r="C17" s="799" t="s">
        <v>1892</v>
      </c>
      <c r="D17" s="799"/>
      <c r="E17" s="810"/>
      <c r="F17" s="798"/>
    </row>
    <row r="18" spans="1:6" ht="12.75">
      <c r="A18" s="798"/>
      <c r="B18" s="798"/>
      <c r="C18" s="798"/>
      <c r="D18" s="798"/>
      <c r="E18" s="810"/>
      <c r="F18" s="798"/>
    </row>
    <row r="19" spans="1:7" ht="12.75">
      <c r="A19" s="809">
        <v>316</v>
      </c>
      <c r="B19" s="799" t="s">
        <v>1417</v>
      </c>
      <c r="C19" s="799" t="s">
        <v>1049</v>
      </c>
      <c r="D19" s="799" t="s">
        <v>647</v>
      </c>
      <c r="E19" s="798"/>
      <c r="F19" s="798"/>
      <c r="G19" s="797" t="b">
        <v>0</v>
      </c>
    </row>
    <row r="20" spans="1:6" ht="12.75">
      <c r="A20" s="809">
        <v>5844</v>
      </c>
      <c r="B20" s="799" t="s">
        <v>1890</v>
      </c>
      <c r="C20" s="799" t="s">
        <v>1892</v>
      </c>
      <c r="D20" s="798"/>
      <c r="E20" s="798"/>
      <c r="F20" s="798"/>
    </row>
    <row r="21" spans="1:6" ht="12.75">
      <c r="A21" s="798"/>
      <c r="B21" s="798"/>
      <c r="C21" s="798"/>
      <c r="D21" s="798"/>
      <c r="E21" s="798"/>
      <c r="F21" s="798"/>
    </row>
    <row r="22" spans="1:7" ht="12.75">
      <c r="A22" s="809">
        <v>318</v>
      </c>
      <c r="B22" s="799" t="s">
        <v>1417</v>
      </c>
      <c r="C22" s="799" t="s">
        <v>1049</v>
      </c>
      <c r="D22" s="799" t="s">
        <v>1918</v>
      </c>
      <c r="E22" s="798"/>
      <c r="F22" s="798"/>
      <c r="G22" s="797" t="b">
        <v>0</v>
      </c>
    </row>
    <row r="23" spans="1:6" ht="12.75">
      <c r="A23" s="809">
        <v>5848</v>
      </c>
      <c r="B23" s="799" t="s">
        <v>1890</v>
      </c>
      <c r="C23" s="799" t="s">
        <v>1892</v>
      </c>
      <c r="D23" s="798"/>
      <c r="E23" s="798"/>
      <c r="F23" s="798"/>
    </row>
    <row r="24" spans="1:6" ht="12.75">
      <c r="A24" s="798"/>
      <c r="B24" s="798"/>
      <c r="C24" s="798"/>
      <c r="D24" s="798"/>
      <c r="E24" s="798"/>
      <c r="F24" s="798"/>
    </row>
    <row r="25" spans="1:6" ht="12.75">
      <c r="A25" s="787"/>
      <c r="B25" s="787"/>
      <c r="C25" s="787"/>
      <c r="D25" s="787"/>
      <c r="E25" s="787"/>
      <c r="F25" s="787"/>
    </row>
    <row r="26" spans="1:6" ht="12.75">
      <c r="A26" s="787"/>
      <c r="B26" s="787"/>
      <c r="C26" s="787"/>
      <c r="D26" s="787"/>
      <c r="E26" s="787"/>
      <c r="F26" s="787"/>
    </row>
  </sheetData>
  <sheetProtection password="EC35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AA64"/>
  <sheetViews>
    <sheetView showGridLines="0" showRowColHeaders="0" zoomScale="65" zoomScaleNormal="65" workbookViewId="0" topLeftCell="A1">
      <selection activeCell="B1" sqref="B1"/>
    </sheetView>
  </sheetViews>
  <sheetFormatPr defaultColWidth="8.88671875" defaultRowHeight="15"/>
  <cols>
    <col min="1" max="1" width="4.6640625" style="11" customWidth="1"/>
    <col min="2" max="2" width="1.33203125" style="11" customWidth="1"/>
    <col min="3" max="3" width="10.10546875" style="11" customWidth="1"/>
    <col min="4" max="4" width="3.88671875" style="11" customWidth="1"/>
    <col min="5" max="6" width="5.10546875" style="11" customWidth="1"/>
    <col min="7" max="7" width="9.21484375" style="11" customWidth="1"/>
    <col min="8" max="9" width="5.21484375" style="11" customWidth="1"/>
    <col min="10" max="10" width="8.77734375" style="11" customWidth="1"/>
    <col min="11" max="12" width="1.33203125" style="11" customWidth="1"/>
    <col min="13" max="13" width="1.4375" style="11" customWidth="1"/>
    <col min="14" max="14" width="1.88671875" style="11" customWidth="1"/>
    <col min="15" max="15" width="4.4453125" style="11" customWidth="1"/>
    <col min="16" max="16" width="10.77734375" style="11" customWidth="1"/>
    <col min="17" max="17" width="1.99609375" style="11" customWidth="1"/>
    <col min="18" max="18" width="4.4453125" style="11" customWidth="1"/>
    <col min="19" max="20" width="7.10546875" style="11" customWidth="1"/>
    <col min="21" max="21" width="1.99609375" style="11" customWidth="1"/>
    <col min="22" max="22" width="4.99609375" style="11" customWidth="1"/>
    <col min="23" max="23" width="1.88671875" style="11" customWidth="1"/>
    <col min="24" max="24" width="7.10546875" style="11" customWidth="1"/>
    <col min="25" max="25" width="1.33203125" style="11" customWidth="1"/>
    <col min="26" max="26" width="2.6640625" style="11" customWidth="1"/>
    <col min="27" max="16384" width="7.10546875" style="11" customWidth="1"/>
  </cols>
  <sheetData>
    <row r="1" ht="12.75"/>
    <row r="2" spans="1:26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2.75">
      <c r="A3" s="12"/>
      <c r="B3" s="10"/>
      <c r="C3" s="10"/>
      <c r="D3" s="10" t="s">
        <v>1955</v>
      </c>
      <c r="E3" s="10"/>
      <c r="F3" s="10"/>
      <c r="G3" s="10"/>
      <c r="H3" s="10" t="s">
        <v>1956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33.75">
      <c r="A4" s="10"/>
      <c r="B4" s="10"/>
      <c r="C4" s="10"/>
      <c r="D4" s="13" t="s">
        <v>1957</v>
      </c>
      <c r="E4" s="10"/>
      <c r="F4" s="10"/>
      <c r="G4" s="10"/>
      <c r="H4" s="13" t="s">
        <v>1958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4" t="s">
        <v>1368</v>
      </c>
      <c r="V4" s="931">
        <v>2001</v>
      </c>
      <c r="W4" s="931"/>
      <c r="X4" s="931"/>
      <c r="Y4" s="14"/>
      <c r="Z4" s="10"/>
    </row>
    <row r="5" spans="1:26" ht="27.75">
      <c r="A5" s="10"/>
      <c r="B5" s="10"/>
      <c r="C5" s="10"/>
      <c r="D5" s="10"/>
      <c r="E5" s="10"/>
      <c r="F5" s="10"/>
      <c r="G5" s="10"/>
      <c r="H5" s="10"/>
      <c r="I5" s="10"/>
      <c r="J5" s="10"/>
      <c r="K5" s="15" t="s">
        <v>1959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20.25">
      <c r="A6" s="10"/>
      <c r="B6" s="16" t="s">
        <v>1960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955" t="s">
        <v>455</v>
      </c>
      <c r="W6" s="956"/>
      <c r="X6" s="951">
        <v>8</v>
      </c>
      <c r="Y6" s="952"/>
      <c r="Z6" s="10"/>
    </row>
    <row r="7" spans="1:26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957"/>
      <c r="W7" s="958"/>
      <c r="X7" s="953"/>
      <c r="Y7" s="954"/>
      <c r="Z7" s="10"/>
    </row>
    <row r="8" spans="1:26" ht="16.5">
      <c r="A8" s="10"/>
      <c r="B8" s="17"/>
      <c r="C8" s="820" t="s">
        <v>414</v>
      </c>
      <c r="D8" s="18"/>
      <c r="E8" s="18"/>
      <c r="F8" s="18"/>
      <c r="G8" s="18"/>
      <c r="H8" s="18"/>
      <c r="I8" s="18"/>
      <c r="J8" s="18"/>
      <c r="K8" s="19"/>
      <c r="L8" s="10"/>
      <c r="M8" s="17"/>
      <c r="N8" s="18"/>
      <c r="O8" s="18"/>
      <c r="P8" s="18"/>
      <c r="Q8" s="18"/>
      <c r="R8" s="20" t="s">
        <v>415</v>
      </c>
      <c r="S8" s="18"/>
      <c r="T8" s="18"/>
      <c r="U8" s="18"/>
      <c r="V8" s="18"/>
      <c r="W8" s="18"/>
      <c r="X8" s="18"/>
      <c r="Y8" s="19"/>
      <c r="Z8" s="10"/>
    </row>
    <row r="9" spans="1:26" ht="12.75">
      <c r="A9" s="10"/>
      <c r="B9" s="21"/>
      <c r="C9" s="819" t="s">
        <v>593</v>
      </c>
      <c r="D9" s="22"/>
      <c r="E9" s="22"/>
      <c r="F9" s="22"/>
      <c r="G9" s="22"/>
      <c r="H9" s="22"/>
      <c r="I9" s="22"/>
      <c r="J9" s="22"/>
      <c r="K9" s="23"/>
      <c r="L9" s="10"/>
      <c r="M9" s="21"/>
      <c r="N9" s="114"/>
      <c r="O9" s="22"/>
      <c r="P9" s="22"/>
      <c r="Q9" s="22"/>
      <c r="R9" s="22"/>
      <c r="S9" s="22"/>
      <c r="T9" s="22"/>
      <c r="U9" s="22"/>
      <c r="V9" s="22"/>
      <c r="W9" s="22"/>
      <c r="X9" s="22"/>
      <c r="Y9" s="23"/>
      <c r="Z9" s="10"/>
    </row>
    <row r="10" spans="1:26" ht="17.25" customHeight="1">
      <c r="A10" s="10"/>
      <c r="B10" s="21"/>
      <c r="C10" s="22" t="s">
        <v>594</v>
      </c>
      <c r="D10" s="22"/>
      <c r="E10" s="22"/>
      <c r="F10" s="22"/>
      <c r="G10" s="22"/>
      <c r="H10" s="22"/>
      <c r="I10" s="22"/>
      <c r="J10" s="22"/>
      <c r="K10" s="23"/>
      <c r="L10" s="10"/>
      <c r="M10" s="21"/>
      <c r="N10" s="114" t="s">
        <v>622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  <c r="Z10" s="10"/>
    </row>
    <row r="11" spans="1:27" ht="22.5" customHeight="1">
      <c r="A11" s="10"/>
      <c r="B11" s="21"/>
      <c r="C11" s="24"/>
      <c r="D11" s="959"/>
      <c r="E11" s="959"/>
      <c r="F11" s="959"/>
      <c r="G11" s="959"/>
      <c r="H11" s="959"/>
      <c r="I11" s="959"/>
      <c r="J11" s="959"/>
      <c r="K11" s="23"/>
      <c r="L11" s="10"/>
      <c r="M11" s="21"/>
      <c r="N11" s="22"/>
      <c r="O11" s="22"/>
      <c r="P11" s="22"/>
      <c r="Q11" s="22"/>
      <c r="R11" s="22"/>
      <c r="S11" s="818" t="str">
        <f>IF(T11&gt;0,"","SIN # Required")</f>
        <v>SIN # Required</v>
      </c>
      <c r="T11" s="962"/>
      <c r="U11" s="962"/>
      <c r="V11" s="962"/>
      <c r="W11" s="962"/>
      <c r="X11" s="962"/>
      <c r="Y11" s="23"/>
      <c r="Z11" s="10"/>
      <c r="AA11" s="912"/>
    </row>
    <row r="12" spans="1:26" ht="12.75">
      <c r="A12" s="10"/>
      <c r="B12" s="21"/>
      <c r="C12" s="22" t="s">
        <v>751</v>
      </c>
      <c r="D12" s="22"/>
      <c r="E12" s="22"/>
      <c r="F12" s="22"/>
      <c r="G12" s="22"/>
      <c r="H12" s="22"/>
      <c r="I12" s="22"/>
      <c r="J12" s="22"/>
      <c r="K12" s="23"/>
      <c r="L12" s="10"/>
      <c r="M12" s="21"/>
      <c r="N12" s="22"/>
      <c r="O12" s="22"/>
      <c r="P12" s="22"/>
      <c r="Q12" s="22"/>
      <c r="R12" s="22"/>
      <c r="S12" s="22"/>
      <c r="T12" s="25" t="s">
        <v>595</v>
      </c>
      <c r="U12" s="961" t="s">
        <v>596</v>
      </c>
      <c r="V12" s="961"/>
      <c r="W12" s="960" t="s">
        <v>597</v>
      </c>
      <c r="X12" s="960"/>
      <c r="Y12" s="23"/>
      <c r="Z12" s="10"/>
    </row>
    <row r="13" spans="1:26" ht="21" customHeight="1">
      <c r="A13" s="10"/>
      <c r="B13" s="21"/>
      <c r="C13" s="26"/>
      <c r="D13" s="946"/>
      <c r="E13" s="946"/>
      <c r="F13" s="946"/>
      <c r="G13" s="946"/>
      <c r="H13" s="946"/>
      <c r="I13" s="946"/>
      <c r="J13" s="946"/>
      <c r="K13" s="23"/>
      <c r="L13" s="10"/>
      <c r="M13" s="21"/>
      <c r="N13" s="27" t="s">
        <v>1189</v>
      </c>
      <c r="O13" s="22"/>
      <c r="P13" s="22"/>
      <c r="Q13" s="22"/>
      <c r="R13" s="789">
        <f>2001-T13</f>
        <v>56</v>
      </c>
      <c r="S13" s="93">
        <f>IF(OR(T13&lt;1880,U13&lt;1,U13&gt;12,W13&lt;1,W13&gt;31),"Error in month or day","")</f>
      </c>
      <c r="T13" s="94">
        <v>1945</v>
      </c>
      <c r="U13" s="925">
        <v>4</v>
      </c>
      <c r="V13" s="926"/>
      <c r="W13" s="925">
        <v>4</v>
      </c>
      <c r="X13" s="926"/>
      <c r="Y13" s="23"/>
      <c r="Z13" s="10"/>
    </row>
    <row r="14" spans="1:26" ht="12.75">
      <c r="A14" s="10"/>
      <c r="B14" s="21"/>
      <c r="C14" s="22" t="s">
        <v>1190</v>
      </c>
      <c r="D14" s="22"/>
      <c r="E14" s="22"/>
      <c r="F14" s="22"/>
      <c r="G14" s="22"/>
      <c r="H14" s="22"/>
      <c r="I14" s="22"/>
      <c r="J14" s="22"/>
      <c r="K14" s="23"/>
      <c r="L14" s="10"/>
      <c r="M14" s="21"/>
      <c r="N14" s="22" t="s">
        <v>1191</v>
      </c>
      <c r="O14" s="22"/>
      <c r="P14" s="22"/>
      <c r="Q14" s="22"/>
      <c r="R14" s="22"/>
      <c r="S14" s="22"/>
      <c r="T14" s="22" t="s">
        <v>245</v>
      </c>
      <c r="U14" s="22"/>
      <c r="V14" s="10"/>
      <c r="W14" s="10"/>
      <c r="X14" s="22" t="s">
        <v>246</v>
      </c>
      <c r="Y14" s="23"/>
      <c r="Z14" s="10"/>
    </row>
    <row r="15" spans="1:26" ht="20.25" customHeight="1">
      <c r="A15" s="10"/>
      <c r="B15" s="21"/>
      <c r="C15" s="26"/>
      <c r="D15" s="946"/>
      <c r="E15" s="946"/>
      <c r="F15" s="946"/>
      <c r="G15" s="946"/>
      <c r="H15" s="946"/>
      <c r="I15" s="946"/>
      <c r="J15" s="946"/>
      <c r="K15" s="23"/>
      <c r="L15" s="10"/>
      <c r="M15" s="21"/>
      <c r="N15" s="28" t="s">
        <v>247</v>
      </c>
      <c r="O15" s="22"/>
      <c r="P15" s="22"/>
      <c r="Q15" s="22"/>
      <c r="R15" s="22"/>
      <c r="S15" s="22"/>
      <c r="T15" s="443" t="s">
        <v>53</v>
      </c>
      <c r="U15" s="22"/>
      <c r="V15" s="22"/>
      <c r="W15" s="29"/>
      <c r="X15" s="916" t="s">
        <v>545</v>
      </c>
      <c r="Y15" s="23"/>
      <c r="Z15" s="10"/>
    </row>
    <row r="16" spans="1:26" ht="12.75">
      <c r="A16" s="10"/>
      <c r="B16" s="21"/>
      <c r="C16" s="22" t="s">
        <v>248</v>
      </c>
      <c r="D16" s="22"/>
      <c r="E16" s="22"/>
      <c r="F16" s="22"/>
      <c r="G16" s="22"/>
      <c r="H16" s="22"/>
      <c r="I16" s="22"/>
      <c r="J16" s="22"/>
      <c r="K16" s="23"/>
      <c r="L16" s="10"/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3"/>
      <c r="Z16" s="10"/>
    </row>
    <row r="17" spans="1:26" ht="21" customHeight="1">
      <c r="A17" s="10"/>
      <c r="B17" s="21"/>
      <c r="C17" s="26"/>
      <c r="D17" s="946"/>
      <c r="E17" s="946"/>
      <c r="F17" s="946"/>
      <c r="G17" s="946"/>
      <c r="H17" s="946"/>
      <c r="I17" s="946"/>
      <c r="J17" s="946"/>
      <c r="K17" s="23"/>
      <c r="L17" s="10"/>
      <c r="M17" s="21"/>
      <c r="N17" s="27" t="s">
        <v>249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3"/>
      <c r="Z17" s="10"/>
    </row>
    <row r="18" spans="1:26" ht="12.75">
      <c r="A18" s="10"/>
      <c r="B18" s="21"/>
      <c r="C18" s="22" t="s">
        <v>250</v>
      </c>
      <c r="D18" s="22"/>
      <c r="E18" s="22"/>
      <c r="F18" s="22"/>
      <c r="G18" s="22" t="s">
        <v>251</v>
      </c>
      <c r="H18" s="22"/>
      <c r="I18" s="22" t="s">
        <v>252</v>
      </c>
      <c r="J18" s="22"/>
      <c r="K18" s="23"/>
      <c r="L18" s="10"/>
      <c r="M18" s="21"/>
      <c r="N18" s="28" t="s">
        <v>253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3"/>
      <c r="Z18" s="10"/>
    </row>
    <row r="19" spans="1:26" ht="20.25" customHeight="1">
      <c r="A19" s="10"/>
      <c r="B19" s="21"/>
      <c r="C19" s="947"/>
      <c r="D19" s="948"/>
      <c r="E19" s="450"/>
      <c r="F19" s="946"/>
      <c r="G19" s="922"/>
      <c r="H19" s="30"/>
      <c r="I19" s="946"/>
      <c r="J19" s="946"/>
      <c r="K19" s="23"/>
      <c r="L19" s="10"/>
      <c r="M19" s="21"/>
      <c r="N19" s="27">
        <v>1</v>
      </c>
      <c r="O19" s="916" t="s">
        <v>545</v>
      </c>
      <c r="P19" s="27" t="s">
        <v>254</v>
      </c>
      <c r="Q19" s="27">
        <v>2</v>
      </c>
      <c r="R19" s="443"/>
      <c r="S19" s="113" t="s">
        <v>1031</v>
      </c>
      <c r="T19" s="27"/>
      <c r="U19" s="27">
        <v>3</v>
      </c>
      <c r="V19" s="443"/>
      <c r="W19" s="27" t="s">
        <v>255</v>
      </c>
      <c r="X19" s="22"/>
      <c r="Y19" s="23"/>
      <c r="Z19" s="10"/>
    </row>
    <row r="20" spans="1:26" ht="20.25" customHeight="1">
      <c r="A20" s="10"/>
      <c r="B20" s="31"/>
      <c r="C20" s="24"/>
      <c r="D20" s="24"/>
      <c r="E20" s="24"/>
      <c r="F20" s="26"/>
      <c r="G20" s="24"/>
      <c r="H20" s="26"/>
      <c r="I20" s="24"/>
      <c r="J20" s="26"/>
      <c r="K20" s="32"/>
      <c r="L20" s="10"/>
      <c r="M20" s="31"/>
      <c r="N20" s="33">
        <v>4</v>
      </c>
      <c r="O20" s="443"/>
      <c r="P20" s="33" t="s">
        <v>256</v>
      </c>
      <c r="Q20" s="33">
        <v>5</v>
      </c>
      <c r="R20" s="916" t="s">
        <v>545</v>
      </c>
      <c r="S20" s="33" t="s">
        <v>257</v>
      </c>
      <c r="T20" s="33"/>
      <c r="U20" s="33">
        <v>6</v>
      </c>
      <c r="V20" s="443" t="s">
        <v>1922</v>
      </c>
      <c r="W20" s="33" t="s">
        <v>258</v>
      </c>
      <c r="X20" s="26"/>
      <c r="Y20" s="32"/>
      <c r="Z20" s="10"/>
    </row>
    <row r="21" spans="1:26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7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9"/>
      <c r="Z21" s="10"/>
    </row>
    <row r="22" spans="1:26" ht="16.5">
      <c r="A22" s="10"/>
      <c r="B22" s="17"/>
      <c r="C22" s="18"/>
      <c r="D22" s="34" t="s">
        <v>259</v>
      </c>
      <c r="E22" s="18"/>
      <c r="F22" s="18"/>
      <c r="G22" s="18"/>
      <c r="H22" s="18"/>
      <c r="I22" s="18"/>
      <c r="J22" s="18"/>
      <c r="K22" s="19"/>
      <c r="L22" s="10"/>
      <c r="M22" s="21"/>
      <c r="N22" s="22"/>
      <c r="O22" s="22"/>
      <c r="P22" s="22"/>
      <c r="Q22" s="22"/>
      <c r="R22" s="22"/>
      <c r="S22" s="35" t="s">
        <v>260</v>
      </c>
      <c r="T22" s="22"/>
      <c r="U22" s="22"/>
      <c r="V22" s="22"/>
      <c r="W22" s="22"/>
      <c r="X22" s="22"/>
      <c r="Y22" s="23"/>
      <c r="Z22" s="10"/>
    </row>
    <row r="23" spans="1:26" ht="16.5">
      <c r="A23" s="10"/>
      <c r="B23" s="21"/>
      <c r="C23" s="22"/>
      <c r="D23" s="22"/>
      <c r="E23" s="22"/>
      <c r="F23" s="22"/>
      <c r="G23" s="22"/>
      <c r="H23" s="22"/>
      <c r="I23" s="22"/>
      <c r="J23" s="22"/>
      <c r="K23" s="23"/>
      <c r="L23" s="10"/>
      <c r="M23" s="21"/>
      <c r="N23" s="36" t="s">
        <v>261</v>
      </c>
      <c r="O23" s="22"/>
      <c r="P23" s="22"/>
      <c r="Q23" s="22"/>
      <c r="R23" s="22"/>
      <c r="S23" s="37" t="s">
        <v>262</v>
      </c>
      <c r="T23" s="22"/>
      <c r="U23" s="22"/>
      <c r="V23" s="22"/>
      <c r="W23" s="22"/>
      <c r="X23" s="22"/>
      <c r="Y23" s="23"/>
      <c r="Z23" s="10"/>
    </row>
    <row r="24" spans="1:26" ht="12.75">
      <c r="A24" s="10"/>
      <c r="B24" s="21"/>
      <c r="C24" s="114" t="s">
        <v>1032</v>
      </c>
      <c r="D24" s="22"/>
      <c r="E24" s="22"/>
      <c r="F24" s="22"/>
      <c r="G24" s="22"/>
      <c r="H24" s="22"/>
      <c r="I24" s="22"/>
      <c r="J24" s="22"/>
      <c r="K24" s="23"/>
      <c r="L24" s="10"/>
      <c r="M24" s="21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3"/>
      <c r="Z24" s="10"/>
    </row>
    <row r="25" spans="1:26" ht="18" customHeight="1">
      <c r="A25" s="10"/>
      <c r="B25" s="21"/>
      <c r="C25" s="22" t="s">
        <v>1400</v>
      </c>
      <c r="D25" s="22"/>
      <c r="E25" s="22"/>
      <c r="F25" s="22"/>
      <c r="G25" s="22"/>
      <c r="H25" s="946"/>
      <c r="I25" s="946"/>
      <c r="J25" s="946"/>
      <c r="K25" s="23"/>
      <c r="L25" s="10"/>
      <c r="M25" s="21"/>
      <c r="N25" s="114" t="s">
        <v>623</v>
      </c>
      <c r="O25" s="22"/>
      <c r="P25" s="22"/>
      <c r="Q25" s="22"/>
      <c r="R25" s="22"/>
      <c r="S25" s="22"/>
      <c r="T25" s="923"/>
      <c r="U25" s="923"/>
      <c r="V25" s="923"/>
      <c r="W25" s="923"/>
      <c r="X25" s="923"/>
      <c r="Y25" s="23"/>
      <c r="Z25" s="10"/>
    </row>
    <row r="26" spans="1:26" ht="12.75" customHeight="1">
      <c r="A26" s="10"/>
      <c r="B26" s="21"/>
      <c r="C26" s="22"/>
      <c r="D26" s="22"/>
      <c r="E26" s="22"/>
      <c r="F26" s="22"/>
      <c r="G26" s="22"/>
      <c r="H26" s="22"/>
      <c r="I26" s="22"/>
      <c r="J26" s="22"/>
      <c r="K26" s="23"/>
      <c r="L26" s="10"/>
      <c r="M26" s="21"/>
      <c r="N26" s="114"/>
      <c r="O26" s="22"/>
      <c r="P26" s="22"/>
      <c r="Q26" s="22"/>
      <c r="R26" s="22"/>
      <c r="S26" s="22"/>
      <c r="T26" s="817"/>
      <c r="U26" s="817"/>
      <c r="V26" s="817"/>
      <c r="W26" s="817"/>
      <c r="X26" s="817"/>
      <c r="Y26" s="23"/>
      <c r="Z26" s="10"/>
    </row>
    <row r="27" spans="1:26" ht="12.75">
      <c r="A27" s="10"/>
      <c r="B27" s="21"/>
      <c r="C27" s="22" t="s">
        <v>989</v>
      </c>
      <c r="D27" s="22"/>
      <c r="E27" s="22"/>
      <c r="F27" s="22"/>
      <c r="G27" s="22"/>
      <c r="H27" s="22"/>
      <c r="I27" s="22"/>
      <c r="J27" s="22"/>
      <c r="K27" s="23"/>
      <c r="L27" s="10"/>
      <c r="M27" s="21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3"/>
      <c r="Z27" s="10"/>
    </row>
    <row r="28" spans="1:26" ht="18">
      <c r="A28" s="10"/>
      <c r="B28" s="21"/>
      <c r="C28" s="22" t="s">
        <v>1962</v>
      </c>
      <c r="D28" s="22"/>
      <c r="E28" s="22"/>
      <c r="F28" s="22"/>
      <c r="G28" s="22"/>
      <c r="H28" s="946"/>
      <c r="I28" s="946"/>
      <c r="J28" s="946"/>
      <c r="K28" s="23"/>
      <c r="L28" s="10"/>
      <c r="M28" s="21"/>
      <c r="N28" s="22" t="s">
        <v>1963</v>
      </c>
      <c r="O28" s="22"/>
      <c r="P28" s="22"/>
      <c r="Q28" s="22"/>
      <c r="R28" s="22"/>
      <c r="S28" s="824"/>
      <c r="T28" s="913"/>
      <c r="U28" s="913"/>
      <c r="V28" s="913"/>
      <c r="W28" s="913"/>
      <c r="X28" s="913"/>
      <c r="Y28" s="23"/>
      <c r="Z28" s="10"/>
    </row>
    <row r="29" spans="1:26" ht="12.75">
      <c r="A29" s="10"/>
      <c r="B29" s="21"/>
      <c r="C29" s="22" t="s">
        <v>1848</v>
      </c>
      <c r="D29" s="22"/>
      <c r="E29" s="22"/>
      <c r="F29" s="22"/>
      <c r="G29" s="22"/>
      <c r="H29" s="22"/>
      <c r="I29" s="22"/>
      <c r="J29" s="22"/>
      <c r="K29" s="23"/>
      <c r="L29" s="10"/>
      <c r="M29" s="21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3"/>
      <c r="Z29" s="10"/>
    </row>
    <row r="30" spans="1:26" ht="12.75">
      <c r="A30" s="10"/>
      <c r="B30" s="21"/>
      <c r="C30" s="22"/>
      <c r="D30" s="22"/>
      <c r="E30" s="22"/>
      <c r="F30" s="22"/>
      <c r="G30" s="22"/>
      <c r="H30" s="22"/>
      <c r="I30" s="22"/>
      <c r="J30" s="22"/>
      <c r="K30" s="23"/>
      <c r="L30" s="10"/>
      <c r="M30" s="21"/>
      <c r="N30" s="22" t="s">
        <v>1849</v>
      </c>
      <c r="O30" s="22"/>
      <c r="P30" s="22"/>
      <c r="Q30" s="22"/>
      <c r="R30" s="22"/>
      <c r="S30" s="22"/>
      <c r="T30" s="22"/>
      <c r="U30" s="949"/>
      <c r="V30" s="949"/>
      <c r="W30" s="949"/>
      <c r="X30" s="949"/>
      <c r="Y30" s="23"/>
      <c r="Z30" s="10"/>
    </row>
    <row r="31" spans="1:26" ht="12.75">
      <c r="A31" s="10"/>
      <c r="B31" s="21"/>
      <c r="C31" s="22" t="s">
        <v>40</v>
      </c>
      <c r="D31" s="22"/>
      <c r="E31" s="22"/>
      <c r="F31" s="22"/>
      <c r="G31" s="22"/>
      <c r="H31" s="22"/>
      <c r="I31" s="22"/>
      <c r="J31" s="22"/>
      <c r="K31" s="23"/>
      <c r="L31" s="10"/>
      <c r="M31" s="21"/>
      <c r="N31" s="22" t="s">
        <v>41</v>
      </c>
      <c r="O31" s="22"/>
      <c r="P31" s="22"/>
      <c r="Q31" s="22"/>
      <c r="R31" s="22"/>
      <c r="S31" s="22"/>
      <c r="T31" s="22"/>
      <c r="U31" s="950"/>
      <c r="V31" s="950"/>
      <c r="W31" s="950"/>
      <c r="X31" s="950"/>
      <c r="Y31" s="23"/>
      <c r="Z31" s="10"/>
    </row>
    <row r="32" spans="1:26" ht="12.75">
      <c r="A32" s="10"/>
      <c r="B32" s="21"/>
      <c r="C32" s="22" t="s">
        <v>42</v>
      </c>
      <c r="D32" s="22"/>
      <c r="E32" s="22"/>
      <c r="F32" s="22"/>
      <c r="G32" s="22"/>
      <c r="H32" s="22"/>
      <c r="I32" s="22"/>
      <c r="J32" s="22"/>
      <c r="K32" s="23"/>
      <c r="L32" s="10"/>
      <c r="M32" s="21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3"/>
      <c r="Z32" s="10"/>
    </row>
    <row r="33" spans="1:26" ht="18">
      <c r="A33" s="10"/>
      <c r="B33" s="21"/>
      <c r="C33" s="22" t="s">
        <v>43</v>
      </c>
      <c r="D33" s="22"/>
      <c r="E33" s="22"/>
      <c r="F33" s="22"/>
      <c r="G33" s="22"/>
      <c r="H33" s="946"/>
      <c r="I33" s="946"/>
      <c r="J33" s="946"/>
      <c r="K33" s="23"/>
      <c r="L33" s="10"/>
      <c r="M33" s="31"/>
      <c r="N33" s="26" t="s">
        <v>660</v>
      </c>
      <c r="O33" s="26"/>
      <c r="P33" s="26"/>
      <c r="Q33" s="26"/>
      <c r="R33" s="26"/>
      <c r="S33" s="26"/>
      <c r="T33" s="26"/>
      <c r="U33" s="26"/>
      <c r="V33" s="26"/>
      <c r="W33" s="38" t="s">
        <v>661</v>
      </c>
      <c r="X33" s="39"/>
      <c r="Y33" s="32"/>
      <c r="Z33" s="10"/>
    </row>
    <row r="34" spans="1:26" ht="12.75">
      <c r="A34" s="10"/>
      <c r="B34" s="21"/>
      <c r="C34" s="22"/>
      <c r="D34" s="22"/>
      <c r="E34" s="22"/>
      <c r="F34" s="22"/>
      <c r="G34" s="22"/>
      <c r="H34" s="22"/>
      <c r="I34" s="22"/>
      <c r="J34" s="22"/>
      <c r="K34" s="23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.75">
      <c r="A35" s="10"/>
      <c r="B35" s="21"/>
      <c r="C35" s="22" t="s">
        <v>662</v>
      </c>
      <c r="D35" s="22"/>
      <c r="E35" s="22"/>
      <c r="F35" s="22"/>
      <c r="G35" s="22"/>
      <c r="H35" s="22"/>
      <c r="I35" s="22"/>
      <c r="J35" s="22"/>
      <c r="K35" s="23"/>
      <c r="L35" s="10"/>
      <c r="M35" s="17"/>
      <c r="N35" s="18" t="s">
        <v>170</v>
      </c>
      <c r="O35" s="18"/>
      <c r="P35" s="18"/>
      <c r="Q35" s="18"/>
      <c r="R35" s="18"/>
      <c r="S35" s="18"/>
      <c r="T35" s="18" t="s">
        <v>595</v>
      </c>
      <c r="U35" s="945" t="s">
        <v>596</v>
      </c>
      <c r="V35" s="945"/>
      <c r="W35" s="945" t="s">
        <v>597</v>
      </c>
      <c r="X35" s="945"/>
      <c r="Y35" s="19"/>
      <c r="Z35" s="10"/>
    </row>
    <row r="36" spans="1:26" ht="21" customHeight="1">
      <c r="A36" s="10"/>
      <c r="B36" s="21"/>
      <c r="C36" s="22"/>
      <c r="D36" s="22"/>
      <c r="E36" s="22" t="s">
        <v>596</v>
      </c>
      <c r="F36" s="25" t="s">
        <v>597</v>
      </c>
      <c r="G36" s="22"/>
      <c r="H36" s="22" t="s">
        <v>596</v>
      </c>
      <c r="I36" s="25" t="s">
        <v>597</v>
      </c>
      <c r="J36" s="22"/>
      <c r="K36" s="23"/>
      <c r="L36" s="10"/>
      <c r="M36" s="21"/>
      <c r="N36" s="28" t="s">
        <v>171</v>
      </c>
      <c r="O36" s="22"/>
      <c r="P36" s="22"/>
      <c r="Q36" s="22"/>
      <c r="R36" s="22"/>
      <c r="S36" s="22"/>
      <c r="T36" s="94"/>
      <c r="U36" s="925"/>
      <c r="V36" s="926"/>
      <c r="W36" s="925"/>
      <c r="X36" s="926"/>
      <c r="Y36" s="23"/>
      <c r="Z36" s="10"/>
    </row>
    <row r="37" spans="1:26" ht="18">
      <c r="A37" s="10"/>
      <c r="B37" s="31"/>
      <c r="C37" s="26"/>
      <c r="D37" s="26" t="s">
        <v>172</v>
      </c>
      <c r="E37" s="40"/>
      <c r="F37" s="40"/>
      <c r="G37" s="26" t="s">
        <v>173</v>
      </c>
      <c r="H37" s="40"/>
      <c r="I37" s="40"/>
      <c r="J37" s="26"/>
      <c r="K37" s="32"/>
      <c r="L37" s="10"/>
      <c r="M37" s="31"/>
      <c r="N37" s="41" t="s">
        <v>174</v>
      </c>
      <c r="O37" s="42"/>
      <c r="P37" s="42"/>
      <c r="Q37" s="942"/>
      <c r="R37" s="943"/>
      <c r="S37" s="43"/>
      <c r="T37" s="44"/>
      <c r="U37" s="942"/>
      <c r="V37" s="943"/>
      <c r="W37" s="942"/>
      <c r="X37" s="924"/>
      <c r="Y37" s="943"/>
      <c r="Z37" s="10"/>
    </row>
    <row r="38" spans="1:26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>
      <c r="A40" s="10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9"/>
      <c r="Z40" s="10"/>
    </row>
    <row r="41" spans="1:26" ht="15.75">
      <c r="A41" s="10"/>
      <c r="B41" s="21"/>
      <c r="C41" s="22"/>
      <c r="D41" s="10"/>
      <c r="E41" s="22"/>
      <c r="F41" s="45" t="s">
        <v>1866</v>
      </c>
      <c r="G41" s="22"/>
      <c r="H41" s="10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3"/>
      <c r="Z41" s="10"/>
    </row>
    <row r="42" spans="1:26" ht="18">
      <c r="A42" s="10"/>
      <c r="B42" s="21"/>
      <c r="C42" s="22"/>
      <c r="D42" s="46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3"/>
      <c r="Z42" s="10"/>
    </row>
    <row r="43" spans="1:26" ht="15">
      <c r="A43" s="10"/>
      <c r="B43" s="21"/>
      <c r="C43" s="47" t="s">
        <v>1867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3"/>
      <c r="Z43" s="10"/>
    </row>
    <row r="44" spans="1:26" ht="18">
      <c r="A44" s="10"/>
      <c r="B44" s="21"/>
      <c r="C44" s="47" t="s">
        <v>1401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48" t="s">
        <v>1868</v>
      </c>
      <c r="U44" s="700" t="s">
        <v>53</v>
      </c>
      <c r="V44" s="48" t="s">
        <v>394</v>
      </c>
      <c r="W44" s="700"/>
      <c r="X44" s="49" t="s">
        <v>1869</v>
      </c>
      <c r="Y44" s="23"/>
      <c r="Z44" s="10"/>
    </row>
    <row r="45" spans="1:26" ht="15">
      <c r="A45" s="10"/>
      <c r="B45" s="31"/>
      <c r="C45" s="50" t="s">
        <v>440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32"/>
      <c r="Z45" s="10"/>
    </row>
    <row r="46" spans="1:26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>
      <c r="A48" s="10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9"/>
      <c r="Z48" s="10"/>
    </row>
    <row r="49" spans="1:26" ht="20.25">
      <c r="A49" s="10"/>
      <c r="B49" s="21"/>
      <c r="C49" s="51" t="s">
        <v>441</v>
      </c>
      <c r="D49" s="10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3"/>
      <c r="Z49" s="10"/>
    </row>
    <row r="50" spans="1:26" ht="12.75">
      <c r="A50" s="10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448"/>
      <c r="Y50" s="23"/>
      <c r="Z50" s="10"/>
    </row>
    <row r="51" spans="1:26" ht="18">
      <c r="A51" s="10"/>
      <c r="B51" s="21"/>
      <c r="C51" s="47" t="s">
        <v>1298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48" t="s">
        <v>1868</v>
      </c>
      <c r="U51" s="700" t="s">
        <v>53</v>
      </c>
      <c r="V51" s="48" t="s">
        <v>394</v>
      </c>
      <c r="W51" s="700"/>
      <c r="X51" s="49" t="s">
        <v>1869</v>
      </c>
      <c r="Y51" s="23"/>
      <c r="Z51" s="10"/>
    </row>
    <row r="52" spans="1:26" ht="12.75">
      <c r="A52" s="10"/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52"/>
      <c r="U52" s="18"/>
      <c r="V52" s="52"/>
      <c r="W52" s="18"/>
      <c r="X52" s="53"/>
      <c r="Y52" s="23"/>
      <c r="Z52" s="10"/>
    </row>
    <row r="53" spans="1:26" ht="15">
      <c r="A53" s="10"/>
      <c r="B53" s="31"/>
      <c r="C53" s="50" t="s">
        <v>1299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32"/>
      <c r="Z53" s="10"/>
    </row>
    <row r="54" spans="1:26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449"/>
      <c r="Y54" s="10"/>
      <c r="Z54" s="10"/>
    </row>
    <row r="55" spans="1:26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23.25">
      <c r="A56" s="10"/>
      <c r="B56" s="10"/>
      <c r="C56" s="54" t="s">
        <v>1300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23.25">
      <c r="A58" s="10"/>
      <c r="B58" s="10"/>
      <c r="C58" s="54" t="s">
        <v>1396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23.25">
      <c r="A59" s="10"/>
      <c r="B59" s="10"/>
      <c r="C59" s="54" t="s">
        <v>1397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>
      <c r="A61" s="10"/>
      <c r="B61" s="10"/>
      <c r="C61" s="55" t="s">
        <v>1398</v>
      </c>
      <c r="D61" s="934">
        <v>172</v>
      </c>
      <c r="E61" s="936"/>
      <c r="F61" s="56"/>
      <c r="G61" s="56"/>
      <c r="H61" s="944"/>
      <c r="I61" s="944"/>
      <c r="J61" s="56"/>
      <c r="K61" s="934">
        <v>171</v>
      </c>
      <c r="L61" s="935"/>
      <c r="M61" s="935"/>
      <c r="N61" s="935"/>
      <c r="O61" s="936"/>
      <c r="P61" s="944"/>
      <c r="Q61" s="944"/>
      <c r="R61" s="944"/>
      <c r="S61" s="944"/>
      <c r="T61" s="944"/>
      <c r="U61" s="932"/>
      <c r="V61" s="940"/>
      <c r="W61" s="941"/>
      <c r="X61" s="932"/>
      <c r="Y61" s="933"/>
      <c r="Z61" s="10"/>
    </row>
    <row r="62" spans="1:26" ht="12.75">
      <c r="A62" s="10"/>
      <c r="B62" s="10"/>
      <c r="C62" s="57" t="s">
        <v>1399</v>
      </c>
      <c r="D62" s="937"/>
      <c r="E62" s="939"/>
      <c r="F62" s="56"/>
      <c r="G62" s="56"/>
      <c r="H62" s="944"/>
      <c r="I62" s="944"/>
      <c r="J62" s="56"/>
      <c r="K62" s="937"/>
      <c r="L62" s="938"/>
      <c r="M62" s="938"/>
      <c r="N62" s="938"/>
      <c r="O62" s="939"/>
      <c r="P62" s="944"/>
      <c r="Q62" s="944"/>
      <c r="R62" s="944"/>
      <c r="S62" s="944"/>
      <c r="T62" s="944"/>
      <c r="U62" s="932"/>
      <c r="V62" s="940"/>
      <c r="W62" s="941"/>
      <c r="X62" s="932"/>
      <c r="Y62" s="933"/>
      <c r="Z62" s="10"/>
    </row>
    <row r="63" spans="1:26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>
      <c r="A64" s="95" t="s">
        <v>975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</sheetData>
  <sheetProtection password="EC35" sheet="1" objects="1" scenarios="1"/>
  <mergeCells count="39">
    <mergeCell ref="X6:Y7"/>
    <mergeCell ref="V6:W7"/>
    <mergeCell ref="D11:J11"/>
    <mergeCell ref="D13:J13"/>
    <mergeCell ref="W12:X12"/>
    <mergeCell ref="W13:X13"/>
    <mergeCell ref="U12:V12"/>
    <mergeCell ref="U13:V13"/>
    <mergeCell ref="T11:X11"/>
    <mergeCell ref="D15:J15"/>
    <mergeCell ref="D17:J17"/>
    <mergeCell ref="T25:X25"/>
    <mergeCell ref="U37:V37"/>
    <mergeCell ref="W37:Y37"/>
    <mergeCell ref="U36:V36"/>
    <mergeCell ref="W36:X36"/>
    <mergeCell ref="H33:J33"/>
    <mergeCell ref="H25:J25"/>
    <mergeCell ref="U30:X31"/>
    <mergeCell ref="U35:V35"/>
    <mergeCell ref="W35:X35"/>
    <mergeCell ref="I19:J19"/>
    <mergeCell ref="C19:D19"/>
    <mergeCell ref="F19:G19"/>
    <mergeCell ref="H28:J28"/>
    <mergeCell ref="S62:T62"/>
    <mergeCell ref="D61:E62"/>
    <mergeCell ref="H61:I61"/>
    <mergeCell ref="H62:I62"/>
    <mergeCell ref="V4:X4"/>
    <mergeCell ref="X61:Y61"/>
    <mergeCell ref="X62:Y62"/>
    <mergeCell ref="K61:O62"/>
    <mergeCell ref="U61:W61"/>
    <mergeCell ref="U62:W62"/>
    <mergeCell ref="Q37:R37"/>
    <mergeCell ref="P61:R61"/>
    <mergeCell ref="P62:R62"/>
    <mergeCell ref="S61:T61"/>
  </mergeCells>
  <dataValidations count="14">
    <dataValidation allowBlank="1" showInputMessage="1" showErrorMessage="1" promptTitle="WHY DO WE DISTRIBUTE MyTAX FREE?" prompt="&#10;This is our way of keeping the price of MyTAX as low as possible.  24 hours a day, 7 days a week everyone has instant access to the latest version from: http://www.peeltech.ca    &#10;&#10;Remember: distribution is FREE, but YOUR usage is NOT FREE!" sqref="F19:G19"/>
    <dataValidation allowBlank="1" showInputMessage="1" showErrorMessage="1" promptTitle="DO YOU KNOW THIS FACT?" prompt="Your mail in payment of the $10 MyTAX 2001 user fee is VITAL to the future of MyTAX.  Our ONLY source of revenue for making this product available comes DIRECTLY from you, our customer." sqref="C19:D19"/>
    <dataValidation allowBlank="1" showInputMessage="1" showErrorMessage="1" promptTitle="HOW DO YOU PAY FOR MyTAX 2001?" prompt="&#10;Mail your $10. cheque right NOW to:&#10;Peel Technologies Inc., 11025 Miller Road, Dutton, ON, N0L 1J0 &#10;&#10;Sincerely, &#10;Egbert Verbrugge  P.Eng., B.E.Sc., Ph.D." sqref="I19:J19"/>
    <dataValidation type="whole" operator="greaterThan" allowBlank="1" showInputMessage="1" showErrorMessage="1" errorTitle="SOCIAL INSURANCE NUMBER FORMAT" error="Enter a number without any  - or blanks&#10;Example:  012034056&#10;" sqref="T11:X11">
      <formula1>0</formula1>
    </dataValidation>
    <dataValidation type="whole" operator="greaterThan" allowBlank="1" showInputMessage="1" showErrorMessage="1" errorTitle="SOCIAL INSURANCE NUMBER FORMAT" error="Enter a number without any - or blanks&#10;Example: 012134567" sqref="T25:X25">
      <formula1>0</formula1>
    </dataValidation>
    <dataValidation type="whole" operator="greaterThan" allowBlank="1" showInputMessage="1" showErrorMessage="1" errorTitle="DATE ERROR" error="Year must be 1900 or later because of pc date limitation." sqref="T13">
      <formula1>1899</formula1>
    </dataValidation>
    <dataValidation type="whole" allowBlank="1" showInputMessage="1" showErrorMessage="1" errorTitle="DATE ERROR" error="Month must be between 1 and 12" sqref="U13:V13">
      <formula1>1</formula1>
      <formula2>12</formula2>
    </dataValidation>
    <dataValidation type="whole" allowBlank="1" showInputMessage="1" showErrorMessage="1" errorTitle="DATE ERROR" error="Day must be between 1 and 31" sqref="W13:X13">
      <formula1>1</formula1>
      <formula2>31</formula2>
    </dataValidation>
    <dataValidation type="whole" operator="greaterThan" allowBlank="1" showInputMessage="1" showErrorMessage="1" errorTitle="DATE FORMAT" error="Year must be 1900 or later because of pc date  function limitation" sqref="T36">
      <formula1>1899</formula1>
    </dataValidation>
    <dataValidation type="whole" allowBlank="1" showInputMessage="1" showErrorMessage="1" errorTitle="DATE FORMAT" error="Month must be between 1 and 12" sqref="U36:V36 H37 E37">
      <formula1>1</formula1>
      <formula2>12</formula2>
    </dataValidation>
    <dataValidation type="whole" allowBlank="1" showInputMessage="1" showErrorMessage="1" errorTitle="DATE FORMAT" error="Day must be between 1 and 31" sqref="W36:X36 F37 I37">
      <formula1>1</formula1>
      <formula2>31</formula2>
    </dataValidation>
    <dataValidation type="list" showInputMessage="1" showErrorMessage="1" sqref="T15">
      <formula1>"X,','"</formula1>
    </dataValidation>
    <dataValidation type="list" allowBlank="1" showInputMessage="1" showErrorMessage="1" sqref="X15">
      <formula1>"X,','"</formula1>
    </dataValidation>
    <dataValidation type="list" allowBlank="1" showInputMessage="1" showErrorMessage="1" sqref="O19 O20 R19 R20 V19 V20">
      <formula1>"X,'"</formula1>
    </dataValidation>
  </dataValidations>
  <printOptions/>
  <pageMargins left="0" right="0" top="0" bottom="0" header="0.5" footer="0.5"/>
  <pageSetup horizontalDpi="600" verticalDpi="600" orientation="portrait" scale="68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 transitionEvaluation="1"/>
  <dimension ref="A1:L167"/>
  <sheetViews>
    <sheetView showGridLines="0" showRowColHeaders="0" zoomScale="75" zoomScaleNormal="75" workbookViewId="0" topLeftCell="A1">
      <selection activeCell="E24" sqref="E24"/>
    </sheetView>
  </sheetViews>
  <sheetFormatPr defaultColWidth="9.77734375" defaultRowHeight="15"/>
  <cols>
    <col min="1" max="1" width="3.5546875" style="0" customWidth="1"/>
    <col min="2" max="2" width="32.4453125" style="0" customWidth="1"/>
    <col min="3" max="3" width="5.88671875" style="0" customWidth="1"/>
    <col min="4" max="4" width="4.77734375" style="0" customWidth="1"/>
    <col min="5" max="5" width="11.77734375" style="0" customWidth="1"/>
    <col min="6" max="6" width="4.77734375" style="0" customWidth="1"/>
    <col min="7" max="7" width="11.77734375" style="0" customWidth="1"/>
    <col min="8" max="8" width="4.77734375" style="0" customWidth="1"/>
    <col min="9" max="9" width="11.77734375" style="0" customWidth="1"/>
    <col min="10" max="10" width="4.77734375" style="0" customWidth="1"/>
    <col min="11" max="11" width="10.77734375" style="0" customWidth="1"/>
    <col min="12" max="12" width="3.21484375" style="0" customWidth="1"/>
  </cols>
  <sheetData>
    <row r="1" spans="2:12" ht="15.75">
      <c r="B1" s="769"/>
      <c r="C1" s="770"/>
      <c r="D1" s="770"/>
      <c r="E1" s="770"/>
      <c r="F1" s="770"/>
      <c r="G1" s="770"/>
      <c r="H1" s="770"/>
      <c r="I1" s="770"/>
      <c r="J1" s="771"/>
      <c r="K1" s="140" t="str">
        <f>'T1 GEN-1'!V6</f>
        <v>NS</v>
      </c>
      <c r="L1" s="173"/>
    </row>
    <row r="2" spans="2:12" ht="15.75">
      <c r="B2" s="769"/>
      <c r="C2" s="770"/>
      <c r="D2" s="770"/>
      <c r="E2" s="770"/>
      <c r="F2" s="770"/>
      <c r="G2" s="770"/>
      <c r="H2" s="770"/>
      <c r="I2" s="770"/>
      <c r="J2" s="771"/>
      <c r="K2" s="140"/>
      <c r="L2" s="173"/>
    </row>
    <row r="3" spans="2:12" ht="18">
      <c r="B3" s="769"/>
      <c r="C3" s="770"/>
      <c r="D3" s="770"/>
      <c r="E3" s="770"/>
      <c r="F3" s="770"/>
      <c r="G3" s="770"/>
      <c r="H3" s="770"/>
      <c r="I3" s="770"/>
      <c r="J3" s="771"/>
      <c r="K3" s="172">
        <v>2</v>
      </c>
      <c r="L3" s="173"/>
    </row>
    <row r="4" spans="2:12" ht="18">
      <c r="B4" s="180" t="s">
        <v>976</v>
      </c>
      <c r="C4" s="181"/>
      <c r="D4" s="182"/>
      <c r="E4" s="130"/>
      <c r="F4" s="183"/>
      <c r="G4" s="151"/>
      <c r="H4" s="130"/>
      <c r="I4" s="130"/>
      <c r="J4" s="183"/>
      <c r="K4" s="184"/>
      <c r="L4" s="173"/>
    </row>
    <row r="5" spans="2:12" ht="29.25" customHeight="1">
      <c r="B5" s="185" t="s">
        <v>977</v>
      </c>
      <c r="C5" s="186"/>
      <c r="D5" s="187"/>
      <c r="E5" s="186"/>
      <c r="F5" s="188"/>
      <c r="G5" s="153"/>
      <c r="H5" s="186"/>
      <c r="I5" s="186"/>
      <c r="J5" s="188"/>
      <c r="K5" s="189"/>
      <c r="L5" s="173"/>
    </row>
    <row r="6" spans="2:12" ht="20.25">
      <c r="B6" s="185" t="s">
        <v>978</v>
      </c>
      <c r="C6" s="186"/>
      <c r="D6" s="187"/>
      <c r="E6" s="186"/>
      <c r="F6" s="3">
        <v>266</v>
      </c>
      <c r="G6" s="155" t="s">
        <v>1316</v>
      </c>
      <c r="H6" s="915" t="s">
        <v>545</v>
      </c>
      <c r="I6" s="194" t="s">
        <v>1315</v>
      </c>
      <c r="J6" s="701" t="s">
        <v>53</v>
      </c>
      <c r="K6" s="195" t="s">
        <v>1869</v>
      </c>
      <c r="L6" s="173"/>
    </row>
    <row r="7" spans="2:12" ht="18">
      <c r="B7" s="185" t="s">
        <v>979</v>
      </c>
      <c r="C7" s="186"/>
      <c r="D7" s="187"/>
      <c r="E7" s="186"/>
      <c r="F7" s="188"/>
      <c r="G7" s="153"/>
      <c r="H7" s="186"/>
      <c r="I7" s="186"/>
      <c r="J7" s="188"/>
      <c r="K7" s="189"/>
      <c r="L7" s="173"/>
    </row>
    <row r="8" spans="2:12" ht="25.5" customHeight="1">
      <c r="B8" s="190" t="s">
        <v>1314</v>
      </c>
      <c r="C8" s="122"/>
      <c r="D8" s="191"/>
      <c r="E8" s="122"/>
      <c r="F8" s="192"/>
      <c r="G8" s="150"/>
      <c r="H8" s="122"/>
      <c r="I8" s="122"/>
      <c r="J8" s="192"/>
      <c r="K8" s="193"/>
      <c r="L8" s="173"/>
    </row>
    <row r="9" spans="2:12" ht="18">
      <c r="B9" s="149"/>
      <c r="C9" s="149"/>
      <c r="D9" s="178"/>
      <c r="E9" s="125"/>
      <c r="F9" s="175"/>
      <c r="G9" s="149"/>
      <c r="H9" s="125"/>
      <c r="I9" s="125"/>
      <c r="J9" s="175"/>
      <c r="K9" s="172"/>
      <c r="L9" s="173"/>
    </row>
    <row r="10" spans="2:12" ht="18">
      <c r="B10" s="149" t="s">
        <v>1317</v>
      </c>
      <c r="C10" s="149"/>
      <c r="D10" s="178"/>
      <c r="E10" s="125"/>
      <c r="F10" s="175"/>
      <c r="G10" s="149"/>
      <c r="H10" s="125"/>
      <c r="I10" s="125"/>
      <c r="J10" s="175"/>
      <c r="K10" s="172"/>
      <c r="L10" s="173"/>
    </row>
    <row r="11" spans="2:12" ht="15.75">
      <c r="B11" s="126"/>
      <c r="C11" s="126"/>
      <c r="D11" s="125"/>
      <c r="E11" s="157"/>
      <c r="F11" s="125"/>
      <c r="G11" s="149"/>
      <c r="H11" s="125"/>
      <c r="I11" s="125"/>
      <c r="J11" s="125"/>
      <c r="K11" s="149"/>
      <c r="L11" s="173"/>
    </row>
    <row r="12" spans="2:12" ht="20.25">
      <c r="B12" s="121" t="s">
        <v>688</v>
      </c>
      <c r="C12" s="121"/>
      <c r="D12" s="125"/>
      <c r="E12" s="157"/>
      <c r="F12" s="125"/>
      <c r="G12" s="125"/>
      <c r="H12" s="125"/>
      <c r="I12" s="125"/>
      <c r="J12" s="168"/>
      <c r="K12" s="170"/>
      <c r="L12" s="173"/>
    </row>
    <row r="13" spans="2:12" ht="24.75" customHeight="1">
      <c r="B13" s="122" t="s">
        <v>1318</v>
      </c>
      <c r="C13" s="122"/>
      <c r="D13" s="122"/>
      <c r="E13" s="122"/>
      <c r="F13" s="122"/>
      <c r="G13" s="122"/>
      <c r="H13" s="160">
        <v>101</v>
      </c>
      <c r="I13" s="165">
        <f>MISC!L21</f>
        <v>0</v>
      </c>
      <c r="J13" s="168"/>
      <c r="K13" s="149"/>
      <c r="L13" s="173"/>
    </row>
    <row r="14" spans="2:12" ht="24.75" customHeight="1">
      <c r="B14" s="123" t="s">
        <v>1978</v>
      </c>
      <c r="C14" s="123"/>
      <c r="D14" s="123"/>
      <c r="E14" s="123"/>
      <c r="F14" s="146">
        <v>102</v>
      </c>
      <c r="G14" s="161">
        <f>MISC!L22</f>
        <v>0</v>
      </c>
      <c r="H14" s="149"/>
      <c r="I14" s="149"/>
      <c r="J14" s="149"/>
      <c r="K14" s="149"/>
      <c r="L14" s="173"/>
    </row>
    <row r="15" spans="2:12" ht="15.75">
      <c r="B15" s="123" t="s">
        <v>1319</v>
      </c>
      <c r="C15" s="123"/>
      <c r="D15" s="123"/>
      <c r="E15" s="123"/>
      <c r="F15" s="148"/>
      <c r="G15" s="148"/>
      <c r="H15" s="160">
        <v>104</v>
      </c>
      <c r="I15" s="161">
        <f>MISC!L23</f>
        <v>0</v>
      </c>
      <c r="J15" s="149"/>
      <c r="K15" s="149"/>
      <c r="L15" s="173"/>
    </row>
    <row r="16" spans="2:12" ht="15.75">
      <c r="B16" s="123" t="s">
        <v>1979</v>
      </c>
      <c r="C16" s="123"/>
      <c r="D16" s="123"/>
      <c r="E16" s="123"/>
      <c r="F16" s="148"/>
      <c r="G16" s="148"/>
      <c r="H16" s="160">
        <v>113</v>
      </c>
      <c r="I16" s="161">
        <f>MISC!L24</f>
        <v>0</v>
      </c>
      <c r="J16" s="149"/>
      <c r="K16" s="149"/>
      <c r="L16" s="173"/>
    </row>
    <row r="17" spans="2:12" ht="15.75">
      <c r="B17" s="123" t="s">
        <v>1320</v>
      </c>
      <c r="C17" s="123"/>
      <c r="D17" s="123"/>
      <c r="E17" s="123"/>
      <c r="F17" s="148"/>
      <c r="G17" s="148"/>
      <c r="H17" s="160">
        <v>114</v>
      </c>
      <c r="I17" s="161">
        <f>MISC!L25</f>
        <v>0</v>
      </c>
      <c r="J17" s="149"/>
      <c r="K17" s="149"/>
      <c r="L17" s="173"/>
    </row>
    <row r="18" spans="2:12" ht="45">
      <c r="B18" s="124" t="s">
        <v>1321</v>
      </c>
      <c r="C18" s="124"/>
      <c r="D18" s="123"/>
      <c r="E18" s="123"/>
      <c r="F18" s="146">
        <v>152</v>
      </c>
      <c r="G18" s="161">
        <f>MISC!L37</f>
        <v>0</v>
      </c>
      <c r="H18" s="149"/>
      <c r="I18" s="149"/>
      <c r="J18" s="149"/>
      <c r="K18" s="149"/>
      <c r="L18" s="173"/>
    </row>
    <row r="19" spans="2:12" ht="15.75">
      <c r="B19" s="123" t="s">
        <v>1361</v>
      </c>
      <c r="C19" s="123"/>
      <c r="D19" s="123"/>
      <c r="E19" s="123"/>
      <c r="F19" s="148"/>
      <c r="G19" s="148"/>
      <c r="H19" s="160">
        <v>115</v>
      </c>
      <c r="I19" s="165">
        <f>MISC!L26</f>
        <v>0</v>
      </c>
      <c r="J19" s="149"/>
      <c r="K19" s="149"/>
      <c r="L19" s="173"/>
    </row>
    <row r="20" spans="2:12" ht="15.75">
      <c r="B20" s="123" t="s">
        <v>1980</v>
      </c>
      <c r="C20" s="123"/>
      <c r="D20" s="123"/>
      <c r="E20" s="123"/>
      <c r="F20" s="148"/>
      <c r="G20" s="148"/>
      <c r="H20" s="160">
        <v>119</v>
      </c>
      <c r="I20" s="165">
        <f>MISC!L27</f>
        <v>0</v>
      </c>
      <c r="J20" s="149"/>
      <c r="K20" s="149"/>
      <c r="L20" s="173"/>
    </row>
    <row r="21" spans="2:12" ht="15.75">
      <c r="B21" s="123" t="s">
        <v>1362</v>
      </c>
      <c r="C21" s="123"/>
      <c r="D21" s="123"/>
      <c r="E21" s="123"/>
      <c r="F21" s="148"/>
      <c r="G21" s="148"/>
      <c r="H21" s="160">
        <v>120</v>
      </c>
      <c r="I21" s="161">
        <f>Sch4!E10</f>
        <v>0</v>
      </c>
      <c r="J21" s="149"/>
      <c r="K21" s="149"/>
      <c r="L21" s="173"/>
    </row>
    <row r="22" spans="2:12" ht="15.75">
      <c r="B22" s="123" t="s">
        <v>396</v>
      </c>
      <c r="C22" s="123"/>
      <c r="D22" s="123"/>
      <c r="E22" s="123"/>
      <c r="F22" s="148"/>
      <c r="G22" s="148"/>
      <c r="H22" s="160">
        <v>121</v>
      </c>
      <c r="I22" s="162">
        <f>Sch4!E16</f>
        <v>0</v>
      </c>
      <c r="J22" s="149"/>
      <c r="K22" s="149"/>
      <c r="L22" s="173"/>
    </row>
    <row r="23" spans="2:12" ht="24" customHeight="1">
      <c r="B23" s="123" t="s">
        <v>1363</v>
      </c>
      <c r="C23" s="123"/>
      <c r="D23" s="123"/>
      <c r="E23" s="123"/>
      <c r="F23" s="148"/>
      <c r="G23" s="148"/>
      <c r="H23" s="160">
        <v>122</v>
      </c>
      <c r="I23" s="162">
        <f>Sch4!E20</f>
        <v>0</v>
      </c>
      <c r="J23" s="149"/>
      <c r="K23" s="149"/>
      <c r="L23" s="173"/>
    </row>
    <row r="24" spans="2:12" ht="23.25" customHeight="1">
      <c r="B24" s="123" t="s">
        <v>858</v>
      </c>
      <c r="C24" s="141" t="s">
        <v>605</v>
      </c>
      <c r="D24" s="146">
        <v>160</v>
      </c>
      <c r="E24" s="147"/>
      <c r="F24" s="148"/>
      <c r="G24" s="141" t="s">
        <v>2083</v>
      </c>
      <c r="H24" s="160">
        <v>126</v>
      </c>
      <c r="I24" s="147"/>
      <c r="J24" s="149"/>
      <c r="K24" s="149"/>
      <c r="L24" s="173"/>
    </row>
    <row r="25" spans="2:12" ht="15.75">
      <c r="B25" s="123" t="s">
        <v>857</v>
      </c>
      <c r="C25" s="123"/>
      <c r="D25" s="123"/>
      <c r="E25" s="123"/>
      <c r="F25" s="123"/>
      <c r="G25" s="123"/>
      <c r="H25" s="160">
        <v>127</v>
      </c>
      <c r="I25" s="423">
        <f>MAX(0,Sch3!I62)</f>
        <v>0</v>
      </c>
      <c r="J25" s="149"/>
      <c r="K25" s="149"/>
      <c r="L25" s="173"/>
    </row>
    <row r="26" spans="2:12" ht="23.25" customHeight="1">
      <c r="B26" s="123" t="s">
        <v>859</v>
      </c>
      <c r="C26" s="123" t="s">
        <v>508</v>
      </c>
      <c r="D26" s="146">
        <v>156</v>
      </c>
      <c r="E26" s="147"/>
      <c r="F26" s="123"/>
      <c r="G26" s="141" t="s">
        <v>2084</v>
      </c>
      <c r="H26" s="160">
        <v>128</v>
      </c>
      <c r="I26" s="147"/>
      <c r="J26" s="149"/>
      <c r="K26" s="149"/>
      <c r="L26" s="173"/>
    </row>
    <row r="27" spans="2:12" ht="15.75">
      <c r="B27" s="123" t="s">
        <v>2085</v>
      </c>
      <c r="C27" s="123"/>
      <c r="D27" s="123"/>
      <c r="E27" s="123"/>
      <c r="F27" s="123"/>
      <c r="G27" s="123"/>
      <c r="H27" s="160">
        <v>129</v>
      </c>
      <c r="I27" s="162">
        <f>MISC!L30</f>
        <v>0</v>
      </c>
      <c r="J27" s="149"/>
      <c r="K27" s="149"/>
      <c r="L27" s="173"/>
    </row>
    <row r="28" spans="2:12" ht="15.75">
      <c r="B28" s="123" t="s">
        <v>860</v>
      </c>
      <c r="C28" s="142" t="s">
        <v>861</v>
      </c>
      <c r="D28" s="967"/>
      <c r="E28" s="967"/>
      <c r="F28" s="967"/>
      <c r="G28" s="967"/>
      <c r="H28" s="160">
        <v>130</v>
      </c>
      <c r="I28" s="162">
        <f>MISC!L31</f>
        <v>0</v>
      </c>
      <c r="J28" s="149"/>
      <c r="K28" s="149"/>
      <c r="L28" s="173"/>
    </row>
    <row r="29" spans="2:12" ht="15.75">
      <c r="B29" s="123" t="s">
        <v>2086</v>
      </c>
      <c r="C29" s="123"/>
      <c r="D29" s="148"/>
      <c r="E29" s="148"/>
      <c r="F29" s="148"/>
      <c r="G29" s="148"/>
      <c r="H29" s="149"/>
      <c r="I29" s="149"/>
      <c r="J29" s="149"/>
      <c r="K29" s="149"/>
      <c r="L29" s="173"/>
    </row>
    <row r="30" spans="2:12" ht="15.75">
      <c r="B30" s="123" t="s">
        <v>862</v>
      </c>
      <c r="C30" s="141" t="s">
        <v>605</v>
      </c>
      <c r="D30" s="146">
        <v>162</v>
      </c>
      <c r="E30" s="147"/>
      <c r="F30" s="123"/>
      <c r="G30" s="141" t="s">
        <v>2083</v>
      </c>
      <c r="H30" s="160">
        <v>135</v>
      </c>
      <c r="I30" s="162">
        <f>MISC!L32</f>
        <v>0</v>
      </c>
      <c r="J30" s="149"/>
      <c r="K30" s="149"/>
      <c r="L30" s="173"/>
    </row>
    <row r="31" spans="2:12" ht="15.75">
      <c r="B31" s="123" t="s">
        <v>863</v>
      </c>
      <c r="C31" s="141" t="s">
        <v>605</v>
      </c>
      <c r="D31" s="146">
        <v>164</v>
      </c>
      <c r="E31" s="147"/>
      <c r="F31" s="123"/>
      <c r="G31" s="141" t="s">
        <v>2083</v>
      </c>
      <c r="H31" s="160">
        <v>137</v>
      </c>
      <c r="I31" s="147"/>
      <c r="J31" s="149"/>
      <c r="K31" s="149"/>
      <c r="L31" s="173"/>
    </row>
    <row r="32" spans="2:12" ht="15.75">
      <c r="B32" s="123" t="s">
        <v>864</v>
      </c>
      <c r="C32" s="141" t="s">
        <v>605</v>
      </c>
      <c r="D32" s="146">
        <v>166</v>
      </c>
      <c r="E32" s="162">
        <f>MISC!L38</f>
        <v>0</v>
      </c>
      <c r="F32" s="123"/>
      <c r="G32" s="141" t="s">
        <v>2083</v>
      </c>
      <c r="H32" s="160">
        <v>139</v>
      </c>
      <c r="I32" s="162">
        <f>MISC!L33</f>
        <v>0</v>
      </c>
      <c r="J32" s="149"/>
      <c r="K32" s="149"/>
      <c r="L32" s="173"/>
    </row>
    <row r="33" spans="2:12" ht="15.75">
      <c r="B33" s="123" t="s">
        <v>865</v>
      </c>
      <c r="C33" s="141" t="s">
        <v>605</v>
      </c>
      <c r="D33" s="146">
        <v>168</v>
      </c>
      <c r="E33" s="147"/>
      <c r="F33" s="123"/>
      <c r="G33" s="141" t="s">
        <v>2083</v>
      </c>
      <c r="H33" s="160">
        <v>141</v>
      </c>
      <c r="I33" s="147"/>
      <c r="J33" s="149"/>
      <c r="K33" s="149"/>
      <c r="L33" s="173"/>
    </row>
    <row r="34" spans="2:12" ht="15.75">
      <c r="B34" s="123" t="s">
        <v>866</v>
      </c>
      <c r="C34" s="141" t="s">
        <v>605</v>
      </c>
      <c r="D34" s="146">
        <v>170</v>
      </c>
      <c r="E34" s="162">
        <f>MISC!L39</f>
        <v>0</v>
      </c>
      <c r="F34" s="123"/>
      <c r="G34" s="141" t="s">
        <v>2083</v>
      </c>
      <c r="H34" s="160">
        <v>143</v>
      </c>
      <c r="I34" s="147"/>
      <c r="J34" s="149"/>
      <c r="K34" s="149"/>
      <c r="L34" s="173"/>
    </row>
    <row r="35" spans="2:12" ht="23.25" customHeight="1">
      <c r="B35" s="123" t="s">
        <v>2087</v>
      </c>
      <c r="C35" s="123"/>
      <c r="D35" s="123"/>
      <c r="E35" s="123"/>
      <c r="F35" s="146">
        <v>144</v>
      </c>
      <c r="G35" s="162">
        <f>MISC!L34</f>
        <v>0</v>
      </c>
      <c r="H35" s="125"/>
      <c r="I35" s="125"/>
      <c r="J35" s="149"/>
      <c r="K35" s="149"/>
      <c r="L35" s="173"/>
    </row>
    <row r="36" spans="2:12" ht="15.75">
      <c r="B36" s="123" t="s">
        <v>867</v>
      </c>
      <c r="C36" s="123"/>
      <c r="D36" s="123"/>
      <c r="E36" s="123"/>
      <c r="F36" s="146">
        <v>145</v>
      </c>
      <c r="G36" s="162">
        <f>MISC!L35</f>
        <v>0</v>
      </c>
      <c r="H36" s="125"/>
      <c r="I36" s="125"/>
      <c r="J36" s="149"/>
      <c r="K36" s="149"/>
      <c r="L36" s="173"/>
    </row>
    <row r="37" spans="2:12" ht="26.25" customHeight="1">
      <c r="B37" s="123" t="s">
        <v>766</v>
      </c>
      <c r="C37" s="123"/>
      <c r="D37" s="123"/>
      <c r="E37" s="123"/>
      <c r="F37" s="146">
        <v>146</v>
      </c>
      <c r="G37" s="162">
        <f>MISC!L36</f>
        <v>0</v>
      </c>
      <c r="H37" s="125"/>
      <c r="I37" s="125"/>
      <c r="J37" s="149"/>
      <c r="K37" s="149"/>
      <c r="L37" s="173"/>
    </row>
    <row r="38" spans="2:12" ht="15.75">
      <c r="B38" s="123"/>
      <c r="C38" s="123"/>
      <c r="D38" s="123"/>
      <c r="E38" s="141" t="s">
        <v>868</v>
      </c>
      <c r="F38" s="148"/>
      <c r="G38" s="162">
        <f>G35+G36+G37</f>
        <v>0</v>
      </c>
      <c r="H38" s="160">
        <v>147</v>
      </c>
      <c r="I38" s="163">
        <f>G38</f>
        <v>0</v>
      </c>
      <c r="J38" s="149"/>
      <c r="K38" s="149"/>
      <c r="L38" s="173"/>
    </row>
    <row r="39" spans="2:12" ht="15.75">
      <c r="B39" s="125"/>
      <c r="C39" s="125"/>
      <c r="D39" s="125"/>
      <c r="E39" s="125"/>
      <c r="F39" s="149"/>
      <c r="G39" s="126" t="s">
        <v>767</v>
      </c>
      <c r="H39" s="149"/>
      <c r="I39" s="149"/>
      <c r="J39" s="149"/>
      <c r="K39" s="149"/>
      <c r="L39" s="173"/>
    </row>
    <row r="40" spans="2:12" ht="15.75">
      <c r="B40" s="126"/>
      <c r="C40" s="126"/>
      <c r="D40" s="125"/>
      <c r="E40" s="126"/>
      <c r="F40" s="149"/>
      <c r="G40" s="126" t="s">
        <v>602</v>
      </c>
      <c r="H40" s="160">
        <v>150</v>
      </c>
      <c r="I40" s="163">
        <f>SUM(I13:I39)</f>
        <v>0</v>
      </c>
      <c r="J40" s="149"/>
      <c r="K40" s="149"/>
      <c r="L40" s="173"/>
    </row>
    <row r="41" spans="2:12" ht="15.75">
      <c r="B41" s="127"/>
      <c r="C41" s="126"/>
      <c r="D41" s="125"/>
      <c r="E41" s="126"/>
      <c r="F41" s="149"/>
      <c r="G41" s="126"/>
      <c r="H41" s="160"/>
      <c r="I41" s="149"/>
      <c r="J41" s="149"/>
      <c r="K41" s="149"/>
      <c r="L41" s="173"/>
    </row>
    <row r="42" spans="2:12" ht="15.75">
      <c r="B42" s="126"/>
      <c r="C42" s="760">
        <f>IF(K1&lt;&gt;"ON",IF(K1&lt;&gt;"BC",IF(K1&lt;&gt;"AB",IF(K1&lt;&gt;"NS",-1,5),4),3),2)</f>
        <v>5</v>
      </c>
      <c r="D42" s="761"/>
      <c r="E42" s="772" t="s">
        <v>1961</v>
      </c>
      <c r="F42" s="762" t="s">
        <v>453</v>
      </c>
      <c r="G42" s="762" t="s">
        <v>454</v>
      </c>
      <c r="H42" s="762" t="s">
        <v>455</v>
      </c>
      <c r="I42" s="149"/>
      <c r="J42" s="149"/>
      <c r="K42" s="149"/>
      <c r="L42" s="173"/>
    </row>
    <row r="43" spans="2:12" ht="15.75">
      <c r="B43" s="126"/>
      <c r="C43" s="764" t="s">
        <v>1688</v>
      </c>
      <c r="D43" s="761" t="s">
        <v>456</v>
      </c>
      <c r="E43" s="765" t="e">
        <f>#REF!</f>
        <v>#REF!</v>
      </c>
      <c r="F43" s="773" t="e">
        <f>#REF!</f>
        <v>#REF!</v>
      </c>
      <c r="G43" s="764" t="e">
        <f>#REF!</f>
        <v>#REF!</v>
      </c>
      <c r="H43" s="773">
        <f>NS428!J114</f>
        <v>0</v>
      </c>
      <c r="I43" s="149"/>
      <c r="J43" s="149"/>
      <c r="K43" s="149"/>
      <c r="L43" s="173"/>
    </row>
    <row r="44" spans="2:12" ht="15.75">
      <c r="B44" s="127"/>
      <c r="C44" s="764"/>
      <c r="D44" s="761" t="s">
        <v>457</v>
      </c>
      <c r="E44" s="765" t="e">
        <f>#REF!</f>
        <v>#REF!</v>
      </c>
      <c r="F44" s="773" t="e">
        <f>#REF!</f>
        <v>#REF!</v>
      </c>
      <c r="G44" s="764" t="e">
        <f>#REF!</f>
        <v>#REF!</v>
      </c>
      <c r="H44" s="773">
        <f>NS479!I57</f>
        <v>0</v>
      </c>
      <c r="I44" s="149"/>
      <c r="J44" s="149"/>
      <c r="K44" s="149"/>
      <c r="L44" s="173"/>
    </row>
    <row r="45" spans="2:12" ht="15.75">
      <c r="B45" s="126"/>
      <c r="C45" s="763"/>
      <c r="D45" s="765" t="s">
        <v>1019</v>
      </c>
      <c r="E45" s="774" t="e">
        <f>#REF!+#REF!+#REF!+#REF!+#REF!+#REF!+#REF!+#REF!+#REF!+#REF!</f>
        <v>#REF!</v>
      </c>
      <c r="F45" s="775" t="e">
        <f>#REF!+#REF!+#REF!+#REF!+#REF!+#REF!+#REF!+#REF!+#REF!+#REF!+#REF!+#REF!+#REF!+#REF!+#REF!</f>
        <v>#REF!</v>
      </c>
      <c r="G45" s="763" t="e">
        <f>#REF!+#REF!+#REF!+#REF!+#REF!</f>
        <v>#REF!</v>
      </c>
      <c r="H45" s="773">
        <f>'NS WRK'!I16+'NS WRK'!I21+'NS WRK'!G33+'NS WRK'!G43+'NS WRK'!G48+'NS WRK'!G72+'NS WRK'!G85+'NS WRK'!I94+'NS WRK'!I102</f>
        <v>9065</v>
      </c>
      <c r="I45" s="149"/>
      <c r="J45" s="149"/>
      <c r="K45" s="149"/>
      <c r="L45" s="173"/>
    </row>
    <row r="46" spans="2:12" ht="15.75">
      <c r="B46" s="126"/>
      <c r="C46" s="763"/>
      <c r="D46" s="765" t="s">
        <v>1022</v>
      </c>
      <c r="E46" s="776" t="e">
        <f>#REF!+#REF!+#REF!</f>
        <v>#REF!</v>
      </c>
      <c r="F46" s="775" t="e">
        <f>#REF!</f>
        <v>#REF!</v>
      </c>
      <c r="G46" s="763" t="e">
        <f>#REF!</f>
        <v>#REF!</v>
      </c>
      <c r="H46" s="773">
        <f>NS479!I57</f>
        <v>0</v>
      </c>
      <c r="I46" s="149"/>
      <c r="J46" s="149"/>
      <c r="K46" s="149"/>
      <c r="L46" s="173"/>
    </row>
    <row r="47" spans="2:12" ht="15.75">
      <c r="B47" s="128"/>
      <c r="C47" s="763"/>
      <c r="D47" s="765" t="s">
        <v>1020</v>
      </c>
      <c r="E47" s="774" t="e">
        <f>#REF!</f>
        <v>#REF!</v>
      </c>
      <c r="F47" s="775" t="e">
        <f>#REF!</f>
        <v>#REF!</v>
      </c>
      <c r="G47" s="763" t="e">
        <f>#REF!</f>
        <v>#REF!</v>
      </c>
      <c r="H47" s="773">
        <f>'NS(S2)'!J30</f>
        <v>0</v>
      </c>
      <c r="I47" s="149"/>
      <c r="J47" s="149"/>
      <c r="K47" s="149"/>
      <c r="L47" s="173"/>
    </row>
    <row r="48" spans="2:12" ht="18">
      <c r="B48" s="126"/>
      <c r="C48" s="763"/>
      <c r="D48" s="765" t="s">
        <v>1021</v>
      </c>
      <c r="E48" s="774" t="e">
        <f>#REF!</f>
        <v>#REF!</v>
      </c>
      <c r="F48" s="775" t="e">
        <f>#REF!</f>
        <v>#REF!</v>
      </c>
      <c r="G48" s="763" t="e">
        <f>#REF!</f>
        <v>#REF!</v>
      </c>
      <c r="H48" s="773">
        <f>'NS(S11)'!I37</f>
        <v>0</v>
      </c>
      <c r="I48" s="149"/>
      <c r="J48" s="149"/>
      <c r="K48" s="171" t="s">
        <v>303</v>
      </c>
      <c r="L48" s="173"/>
    </row>
    <row r="49" spans="2:12" ht="20.25">
      <c r="B49" s="129" t="s">
        <v>869</v>
      </c>
      <c r="C49" s="126"/>
      <c r="D49" s="125"/>
      <c r="E49" s="126"/>
      <c r="F49" s="149"/>
      <c r="G49" s="126"/>
      <c r="H49" s="160"/>
      <c r="I49" s="149"/>
      <c r="J49" s="149"/>
      <c r="K49" s="149"/>
      <c r="L49" s="173"/>
    </row>
    <row r="50" spans="2:12" ht="20.25">
      <c r="B50" s="129" t="s">
        <v>870</v>
      </c>
      <c r="C50" s="126"/>
      <c r="D50" s="125"/>
      <c r="E50" s="126"/>
      <c r="F50" s="149"/>
      <c r="G50" s="126"/>
      <c r="H50" s="160"/>
      <c r="I50" s="149"/>
      <c r="J50" s="149"/>
      <c r="K50" s="149"/>
      <c r="L50" s="173"/>
    </row>
    <row r="51" spans="2:12" ht="15.75">
      <c r="B51" s="126"/>
      <c r="C51" s="126"/>
      <c r="D51" s="125"/>
      <c r="E51" s="126"/>
      <c r="F51" s="149"/>
      <c r="G51" s="126"/>
      <c r="H51" s="160"/>
      <c r="I51" s="149"/>
      <c r="J51" s="149"/>
      <c r="K51" s="149"/>
      <c r="L51" s="173"/>
    </row>
    <row r="52" spans="2:12" ht="12.75" customHeight="1">
      <c r="B52" s="126"/>
      <c r="C52" s="126"/>
      <c r="D52" s="125"/>
      <c r="E52" s="126"/>
      <c r="F52" s="149"/>
      <c r="G52" s="126"/>
      <c r="H52" s="160"/>
      <c r="I52" s="149"/>
      <c r="J52" s="149"/>
      <c r="K52" s="149"/>
      <c r="L52" s="173"/>
    </row>
    <row r="53" spans="2:12" ht="20.25" customHeight="1">
      <c r="B53" s="121" t="s">
        <v>603</v>
      </c>
      <c r="C53" s="137"/>
      <c r="D53" s="149"/>
      <c r="E53" s="149"/>
      <c r="F53" s="149"/>
      <c r="G53" s="149"/>
      <c r="H53" s="149"/>
      <c r="I53" s="149"/>
      <c r="J53" s="149"/>
      <c r="K53" s="149"/>
      <c r="L53" s="173"/>
    </row>
    <row r="54" spans="2:12" ht="15.75" customHeight="1">
      <c r="B54" s="121"/>
      <c r="C54" s="137"/>
      <c r="D54" s="149"/>
      <c r="E54" s="149"/>
      <c r="F54" s="149"/>
      <c r="G54" s="149"/>
      <c r="H54" s="149"/>
      <c r="I54" s="149"/>
      <c r="J54" s="149"/>
      <c r="K54" s="149"/>
      <c r="L54" s="173"/>
    </row>
    <row r="55" spans="2:12" ht="15.75" customHeight="1">
      <c r="B55" s="122" t="s">
        <v>871</v>
      </c>
      <c r="C55" s="122"/>
      <c r="D55" s="150"/>
      <c r="E55" s="150"/>
      <c r="F55" s="150"/>
      <c r="G55" s="150"/>
      <c r="H55" s="150"/>
      <c r="I55" s="150"/>
      <c r="J55" s="169" t="s">
        <v>872</v>
      </c>
      <c r="K55" s="163">
        <f>I40</f>
        <v>0</v>
      </c>
      <c r="L55" s="173"/>
    </row>
    <row r="56" spans="2:12" ht="15.75" customHeight="1">
      <c r="B56" s="125"/>
      <c r="C56" s="125"/>
      <c r="D56" s="149"/>
      <c r="E56" s="149"/>
      <c r="F56" s="149"/>
      <c r="G56" s="149"/>
      <c r="H56" s="149"/>
      <c r="I56" s="149"/>
      <c r="J56" s="149"/>
      <c r="K56" s="149"/>
      <c r="L56" s="173"/>
    </row>
    <row r="57" spans="2:12" ht="15.75" customHeight="1">
      <c r="B57" s="125" t="s">
        <v>873</v>
      </c>
      <c r="C57" s="125"/>
      <c r="D57" s="149"/>
      <c r="E57" s="149"/>
      <c r="F57" s="149"/>
      <c r="G57" s="149"/>
      <c r="H57" s="149"/>
      <c r="I57" s="149"/>
      <c r="J57" s="149"/>
      <c r="K57" s="149"/>
      <c r="L57" s="173"/>
    </row>
    <row r="58" spans="2:12" ht="15.75">
      <c r="B58" s="125" t="s">
        <v>907</v>
      </c>
      <c r="C58" s="125"/>
      <c r="D58" s="149"/>
      <c r="E58" s="149"/>
      <c r="F58" s="160">
        <v>206</v>
      </c>
      <c r="G58" s="163">
        <f>MISC!L40</f>
        <v>0</v>
      </c>
      <c r="H58" s="149"/>
      <c r="I58" s="149"/>
      <c r="J58" s="149"/>
      <c r="K58" s="149"/>
      <c r="L58" s="173"/>
    </row>
    <row r="59" spans="2:12" ht="19.5" customHeight="1">
      <c r="B59" s="127"/>
      <c r="C59" s="125"/>
      <c r="D59" s="149"/>
      <c r="E59" s="149"/>
      <c r="F59" s="160"/>
      <c r="G59" s="149"/>
      <c r="H59" s="149"/>
      <c r="I59" s="149"/>
      <c r="J59" s="149"/>
      <c r="K59" s="149"/>
      <c r="L59" s="173"/>
    </row>
    <row r="60" spans="2:12" ht="15.75">
      <c r="B60" s="122" t="s">
        <v>919</v>
      </c>
      <c r="C60" s="122"/>
      <c r="D60" s="150"/>
      <c r="E60" s="150"/>
      <c r="F60" s="150"/>
      <c r="G60" s="150"/>
      <c r="H60" s="160">
        <v>207</v>
      </c>
      <c r="I60" s="163">
        <f>MISC!L41</f>
        <v>0</v>
      </c>
      <c r="J60" s="149"/>
      <c r="K60" s="149"/>
      <c r="L60" s="173"/>
    </row>
    <row r="61" spans="2:12" ht="15.75">
      <c r="B61" s="123" t="s">
        <v>604</v>
      </c>
      <c r="C61" s="123"/>
      <c r="D61" s="148"/>
      <c r="E61" s="148"/>
      <c r="F61" s="148"/>
      <c r="G61" s="148"/>
      <c r="H61" s="160">
        <v>208</v>
      </c>
      <c r="I61" s="162">
        <f>IF((Sch7!E14=0),Sch7!I41,Sch7!E14)</f>
        <v>0</v>
      </c>
      <c r="J61" s="149"/>
      <c r="K61" s="149"/>
      <c r="L61" s="173"/>
    </row>
    <row r="62" spans="2:12" ht="15.75">
      <c r="B62" s="123" t="s">
        <v>874</v>
      </c>
      <c r="C62" s="123"/>
      <c r="D62" s="148"/>
      <c r="E62" s="148"/>
      <c r="F62" s="148"/>
      <c r="G62" s="141" t="s">
        <v>875</v>
      </c>
      <c r="H62" s="160">
        <v>209</v>
      </c>
      <c r="I62" s="147"/>
      <c r="J62" s="149"/>
      <c r="K62" s="149"/>
      <c r="L62" s="173"/>
    </row>
    <row r="63" spans="2:12" ht="15.75" customHeight="1">
      <c r="B63" s="130"/>
      <c r="C63" s="130"/>
      <c r="D63" s="151"/>
      <c r="E63" s="149"/>
      <c r="F63" s="149"/>
      <c r="G63" s="149"/>
      <c r="H63" s="160"/>
      <c r="I63" s="149"/>
      <c r="J63" s="149"/>
      <c r="K63" s="149"/>
      <c r="L63" s="173"/>
    </row>
    <row r="64" spans="2:12" ht="15.75">
      <c r="B64" s="122" t="s">
        <v>920</v>
      </c>
      <c r="C64" s="122"/>
      <c r="D64" s="150"/>
      <c r="E64" s="150"/>
      <c r="F64" s="150"/>
      <c r="G64" s="150"/>
      <c r="H64" s="160">
        <v>212</v>
      </c>
      <c r="I64" s="163">
        <f>MISC!L42</f>
        <v>0</v>
      </c>
      <c r="J64" s="149"/>
      <c r="K64" s="149"/>
      <c r="L64" s="173"/>
    </row>
    <row r="65" spans="2:12" ht="15.75">
      <c r="B65" s="123" t="s">
        <v>876</v>
      </c>
      <c r="C65" s="123"/>
      <c r="D65" s="148"/>
      <c r="E65" s="148"/>
      <c r="F65" s="148"/>
      <c r="G65" s="148"/>
      <c r="H65" s="160">
        <v>214</v>
      </c>
      <c r="I65" s="509">
        <f>MAXA('T778'!N63,'T778'!N106,'T778'!N133)</f>
        <v>0</v>
      </c>
      <c r="J65" s="149"/>
      <c r="K65" s="149"/>
      <c r="L65" s="173"/>
    </row>
    <row r="66" spans="2:12" ht="15.75">
      <c r="B66" s="123" t="s">
        <v>430</v>
      </c>
      <c r="C66" s="123"/>
      <c r="D66" s="148"/>
      <c r="E66" s="148"/>
      <c r="F66" s="148"/>
      <c r="G66" s="148"/>
      <c r="H66" s="160">
        <v>215</v>
      </c>
      <c r="I66" s="470"/>
      <c r="J66" s="149"/>
      <c r="K66" s="149"/>
      <c r="L66" s="173"/>
    </row>
    <row r="67" spans="2:12" ht="10.5" customHeight="1">
      <c r="B67" s="130"/>
      <c r="C67" s="130"/>
      <c r="D67" s="151"/>
      <c r="E67" s="151"/>
      <c r="F67" s="151"/>
      <c r="G67" s="151"/>
      <c r="H67" s="160"/>
      <c r="I67" s="471"/>
      <c r="J67" s="149"/>
      <c r="K67" s="149"/>
      <c r="L67" s="173"/>
    </row>
    <row r="68" spans="2:12" ht="15.75">
      <c r="B68" s="122" t="s">
        <v>880</v>
      </c>
      <c r="C68" s="143" t="s">
        <v>605</v>
      </c>
      <c r="D68" s="152">
        <v>228</v>
      </c>
      <c r="E68" s="158"/>
      <c r="F68" s="150"/>
      <c r="G68" s="164" t="s">
        <v>961</v>
      </c>
      <c r="H68" s="160">
        <v>217</v>
      </c>
      <c r="I68" s="158"/>
      <c r="J68" s="149"/>
      <c r="K68" s="149"/>
      <c r="L68" s="173"/>
    </row>
    <row r="69" spans="2:12" ht="15.75">
      <c r="B69" s="123" t="s">
        <v>881</v>
      </c>
      <c r="C69" s="123"/>
      <c r="D69" s="148"/>
      <c r="E69" s="148"/>
      <c r="F69" s="148"/>
      <c r="G69" s="148"/>
      <c r="H69" s="160">
        <v>219</v>
      </c>
      <c r="I69" s="147"/>
      <c r="J69" s="149"/>
      <c r="K69" s="149"/>
      <c r="L69" s="173"/>
    </row>
    <row r="70" spans="2:12" ht="15.75">
      <c r="B70" s="130"/>
      <c r="C70" s="130"/>
      <c r="D70" s="151"/>
      <c r="E70" s="151"/>
      <c r="F70" s="151"/>
      <c r="G70" s="151"/>
      <c r="H70" s="160"/>
      <c r="I70" s="151"/>
      <c r="J70" s="149"/>
      <c r="K70" s="149"/>
      <c r="L70" s="173"/>
    </row>
    <row r="71" spans="2:12" ht="15.75">
      <c r="B71" s="122" t="s">
        <v>882</v>
      </c>
      <c r="C71" s="143" t="s">
        <v>508</v>
      </c>
      <c r="D71" s="152">
        <v>230</v>
      </c>
      <c r="E71" s="158"/>
      <c r="F71" s="150"/>
      <c r="G71" s="164" t="s">
        <v>961</v>
      </c>
      <c r="H71" s="160">
        <v>220</v>
      </c>
      <c r="I71" s="158"/>
      <c r="J71" s="149"/>
      <c r="K71" s="149"/>
      <c r="L71" s="173"/>
    </row>
    <row r="72" spans="2:12" ht="15.75">
      <c r="B72" s="123" t="s">
        <v>883</v>
      </c>
      <c r="C72" s="123"/>
      <c r="D72" s="148"/>
      <c r="E72" s="148"/>
      <c r="F72" s="148"/>
      <c r="G72" s="148"/>
      <c r="H72" s="160">
        <v>221</v>
      </c>
      <c r="I72" s="162">
        <f>Sch4!E24</f>
        <v>0</v>
      </c>
      <c r="J72" s="149"/>
      <c r="K72" s="149"/>
      <c r="L72" s="173"/>
    </row>
    <row r="73" spans="2:12" ht="15.75">
      <c r="B73" s="131" t="s">
        <v>1561</v>
      </c>
      <c r="C73" s="130"/>
      <c r="D73" s="151"/>
      <c r="E73" s="151"/>
      <c r="F73" s="151"/>
      <c r="G73" s="151"/>
      <c r="H73" s="160"/>
      <c r="I73" s="149"/>
      <c r="J73" s="149"/>
      <c r="K73" s="149"/>
      <c r="L73" s="173"/>
    </row>
    <row r="74" spans="2:12" ht="15.75">
      <c r="B74" s="132" t="s">
        <v>1562</v>
      </c>
      <c r="C74" s="122"/>
      <c r="D74" s="150"/>
      <c r="E74" s="150"/>
      <c r="F74" s="150"/>
      <c r="G74" s="150"/>
      <c r="H74" s="160">
        <v>222</v>
      </c>
      <c r="I74" s="166">
        <f>Sch8!I29</f>
        <v>0</v>
      </c>
      <c r="J74" s="149"/>
      <c r="K74" s="149"/>
      <c r="L74" s="173"/>
    </row>
    <row r="75" spans="2:12" ht="15.75">
      <c r="B75" s="123" t="s">
        <v>986</v>
      </c>
      <c r="C75" s="123"/>
      <c r="D75" s="148"/>
      <c r="E75" s="148"/>
      <c r="F75" s="148"/>
      <c r="G75" s="148"/>
      <c r="H75" s="160">
        <v>224</v>
      </c>
      <c r="I75" s="162">
        <f>MISC!L43</f>
        <v>0</v>
      </c>
      <c r="J75" s="149"/>
      <c r="K75" s="149"/>
      <c r="L75" s="173"/>
    </row>
    <row r="76" spans="2:12" ht="15.75">
      <c r="B76" s="123" t="s">
        <v>1563</v>
      </c>
      <c r="C76" s="123"/>
      <c r="D76" s="148"/>
      <c r="E76" s="148"/>
      <c r="F76" s="148"/>
      <c r="G76" s="148"/>
      <c r="H76" s="160">
        <v>229</v>
      </c>
      <c r="I76" s="162">
        <f>MISC!L44</f>
        <v>0</v>
      </c>
      <c r="J76" s="149"/>
      <c r="K76" s="149"/>
      <c r="L76" s="173"/>
    </row>
    <row r="77" spans="2:12" ht="15.75">
      <c r="B77" s="123" t="s">
        <v>1564</v>
      </c>
      <c r="C77" s="123"/>
      <c r="D77" s="148"/>
      <c r="E77" s="148"/>
      <c r="F77" s="148"/>
      <c r="G77" s="148"/>
      <c r="H77" s="160">
        <v>231</v>
      </c>
      <c r="I77" s="147"/>
      <c r="J77" s="149"/>
      <c r="K77" s="149"/>
      <c r="L77" s="173"/>
    </row>
    <row r="78" spans="2:12" ht="15.75">
      <c r="B78" s="123" t="s">
        <v>1565</v>
      </c>
      <c r="C78" s="144" t="s">
        <v>1987</v>
      </c>
      <c r="D78" s="967"/>
      <c r="E78" s="967"/>
      <c r="F78" s="967"/>
      <c r="G78" s="967"/>
      <c r="H78" s="160">
        <v>232</v>
      </c>
      <c r="I78" s="162">
        <f>MISC!L45</f>
        <v>0</v>
      </c>
      <c r="J78" s="149"/>
      <c r="K78" s="149"/>
      <c r="L78" s="173"/>
    </row>
    <row r="79" spans="2:12" ht="15.75">
      <c r="B79" s="123"/>
      <c r="C79" s="123"/>
      <c r="D79" s="148"/>
      <c r="E79" s="148"/>
      <c r="F79" s="148"/>
      <c r="G79" s="141" t="s">
        <v>987</v>
      </c>
      <c r="H79" s="160">
        <v>233</v>
      </c>
      <c r="I79" s="162">
        <f>SUM(I60:I78)</f>
        <v>0</v>
      </c>
      <c r="J79" s="149"/>
      <c r="K79" s="163">
        <f>I79</f>
        <v>0</v>
      </c>
      <c r="L79" s="173"/>
    </row>
    <row r="80" spans="2:12" ht="15.75">
      <c r="B80" s="133"/>
      <c r="C80" s="141"/>
      <c r="D80" s="141" t="s">
        <v>1566</v>
      </c>
      <c r="E80" s="148"/>
      <c r="F80" s="148"/>
      <c r="G80" s="148"/>
      <c r="H80" s="149"/>
      <c r="I80" s="126" t="s">
        <v>988</v>
      </c>
      <c r="J80" s="160">
        <v>234</v>
      </c>
      <c r="K80" s="162">
        <f>IF(I40&gt;K79,(+I40-K79),0)</f>
        <v>0</v>
      </c>
      <c r="L80" s="173"/>
    </row>
    <row r="81" spans="2:12" ht="15.75">
      <c r="B81" s="130"/>
      <c r="C81" s="130"/>
      <c r="D81" s="151"/>
      <c r="E81" s="151"/>
      <c r="F81" s="151"/>
      <c r="G81" s="151"/>
      <c r="H81" s="149"/>
      <c r="I81" s="149"/>
      <c r="J81" s="149"/>
      <c r="K81" s="149"/>
      <c r="L81" s="173"/>
    </row>
    <row r="82" spans="2:12" ht="15.75">
      <c r="B82" s="122" t="s">
        <v>1219</v>
      </c>
      <c r="C82" s="122"/>
      <c r="D82" s="150"/>
      <c r="E82" s="150"/>
      <c r="F82" s="150"/>
      <c r="G82" s="150"/>
      <c r="H82" s="150"/>
      <c r="I82" s="150"/>
      <c r="J82" s="160">
        <v>235</v>
      </c>
      <c r="K82" s="163">
        <f>+'FED WRK'!G52</f>
        <v>0</v>
      </c>
      <c r="L82" s="173"/>
    </row>
    <row r="83" spans="2:12" ht="15.75">
      <c r="B83" s="134" t="s">
        <v>1594</v>
      </c>
      <c r="C83" s="125"/>
      <c r="D83" s="149"/>
      <c r="E83" s="149"/>
      <c r="F83" s="149"/>
      <c r="G83" s="149"/>
      <c r="H83" s="149"/>
      <c r="I83" s="126"/>
      <c r="J83" s="149"/>
      <c r="K83" s="149"/>
      <c r="L83" s="173"/>
    </row>
    <row r="84" spans="2:12" ht="15.75">
      <c r="B84" s="125"/>
      <c r="C84" s="125"/>
      <c r="D84" s="149"/>
      <c r="E84" s="126"/>
      <c r="F84" s="149"/>
      <c r="G84" s="149"/>
      <c r="H84" s="149"/>
      <c r="I84" s="126" t="s">
        <v>1351</v>
      </c>
      <c r="J84" s="160">
        <v>236</v>
      </c>
      <c r="K84" s="163">
        <f>IF(K80&gt;K82,(+K80-K82),0)</f>
        <v>0</v>
      </c>
      <c r="L84" s="173"/>
    </row>
    <row r="85" spans="2:12" ht="18">
      <c r="B85" s="125"/>
      <c r="C85" s="125"/>
      <c r="D85" s="149"/>
      <c r="E85" s="149"/>
      <c r="F85" s="149"/>
      <c r="G85" s="149"/>
      <c r="H85" s="149"/>
      <c r="I85" s="149"/>
      <c r="J85" s="137"/>
      <c r="K85" s="137"/>
      <c r="L85" s="173"/>
    </row>
    <row r="86" spans="2:12" ht="20.25">
      <c r="B86" s="121" t="s">
        <v>1352</v>
      </c>
      <c r="C86" s="137"/>
      <c r="D86" s="149"/>
      <c r="E86" s="149"/>
      <c r="F86" s="149"/>
      <c r="G86" s="149"/>
      <c r="H86" s="149"/>
      <c r="I86" s="149"/>
      <c r="J86" s="137"/>
      <c r="K86" s="137"/>
      <c r="L86" s="173"/>
    </row>
    <row r="87" spans="2:12" ht="9.75" customHeight="1">
      <c r="B87" s="135"/>
      <c r="C87" s="135"/>
      <c r="D87" s="153"/>
      <c r="E87" s="153"/>
      <c r="F87" s="153"/>
      <c r="G87" s="153"/>
      <c r="H87" s="149"/>
      <c r="I87" s="149"/>
      <c r="J87" s="137"/>
      <c r="K87" s="137"/>
      <c r="L87" s="173"/>
    </row>
    <row r="88" spans="2:12" ht="18">
      <c r="B88" s="122" t="s">
        <v>1353</v>
      </c>
      <c r="C88" s="122"/>
      <c r="D88" s="150"/>
      <c r="E88" s="150"/>
      <c r="F88" s="150"/>
      <c r="G88" s="150"/>
      <c r="H88" s="160">
        <v>248</v>
      </c>
      <c r="I88" s="163">
        <f>MISC!L47</f>
        <v>0</v>
      </c>
      <c r="J88" s="137"/>
      <c r="K88" s="137"/>
      <c r="L88" s="173"/>
    </row>
    <row r="89" spans="2:12" ht="18">
      <c r="B89" s="123" t="s">
        <v>1595</v>
      </c>
      <c r="C89" s="123"/>
      <c r="D89" s="148"/>
      <c r="E89" s="148"/>
      <c r="F89" s="148"/>
      <c r="G89" s="148"/>
      <c r="H89" s="160">
        <v>249</v>
      </c>
      <c r="I89" s="162">
        <f>MISC!L48</f>
        <v>0</v>
      </c>
      <c r="J89" s="137"/>
      <c r="K89" s="137"/>
      <c r="L89" s="173"/>
    </row>
    <row r="90" spans="2:12" ht="18">
      <c r="B90" s="136" t="s">
        <v>1354</v>
      </c>
      <c r="C90" s="123"/>
      <c r="D90" s="148"/>
      <c r="E90" s="148"/>
      <c r="F90" s="148"/>
      <c r="G90" s="148"/>
      <c r="H90" s="160">
        <v>250</v>
      </c>
      <c r="I90" s="162">
        <f>MISC!L49</f>
        <v>0</v>
      </c>
      <c r="J90" s="137"/>
      <c r="K90" s="137"/>
      <c r="L90" s="173"/>
    </row>
    <row r="91" spans="2:12" ht="18">
      <c r="B91" s="123" t="s">
        <v>1355</v>
      </c>
      <c r="C91" s="123"/>
      <c r="D91" s="148"/>
      <c r="E91" s="148"/>
      <c r="F91" s="148"/>
      <c r="G91" s="148"/>
      <c r="H91" s="160">
        <v>251</v>
      </c>
      <c r="I91" s="147"/>
      <c r="J91" s="137"/>
      <c r="K91" s="137"/>
      <c r="L91" s="173"/>
    </row>
    <row r="92" spans="2:12" ht="18">
      <c r="B92" s="123" t="s">
        <v>1356</v>
      </c>
      <c r="C92" s="123"/>
      <c r="D92" s="148"/>
      <c r="E92" s="148"/>
      <c r="F92" s="148"/>
      <c r="G92" s="148"/>
      <c r="H92" s="160">
        <v>252</v>
      </c>
      <c r="I92" s="147"/>
      <c r="J92" s="137"/>
      <c r="K92" s="137"/>
      <c r="L92" s="173"/>
    </row>
    <row r="93" spans="2:12" ht="18">
      <c r="B93" s="123" t="s">
        <v>1596</v>
      </c>
      <c r="C93" s="123"/>
      <c r="D93" s="148"/>
      <c r="E93" s="148"/>
      <c r="F93" s="148"/>
      <c r="G93" s="148"/>
      <c r="H93" s="160">
        <v>253</v>
      </c>
      <c r="I93" s="147"/>
      <c r="J93" s="137"/>
      <c r="K93" s="137"/>
      <c r="L93" s="173"/>
    </row>
    <row r="94" spans="2:12" ht="18">
      <c r="B94" s="123" t="s">
        <v>1597</v>
      </c>
      <c r="C94" s="123"/>
      <c r="D94" s="148"/>
      <c r="E94" s="148"/>
      <c r="F94" s="148"/>
      <c r="G94" s="148"/>
      <c r="H94" s="160">
        <v>254</v>
      </c>
      <c r="I94" s="147"/>
      <c r="J94" s="137"/>
      <c r="K94" s="137"/>
      <c r="L94" s="173"/>
    </row>
    <row r="95" spans="2:12" ht="18">
      <c r="B95" s="123" t="s">
        <v>1598</v>
      </c>
      <c r="C95" s="123"/>
      <c r="D95" s="148"/>
      <c r="E95" s="148"/>
      <c r="F95" s="148"/>
      <c r="G95" s="148"/>
      <c r="H95" s="160">
        <v>255</v>
      </c>
      <c r="I95" s="147"/>
      <c r="J95" s="137"/>
      <c r="K95" s="137"/>
      <c r="L95" s="173"/>
    </row>
    <row r="96" spans="2:12" ht="18">
      <c r="B96" s="123" t="s">
        <v>1599</v>
      </c>
      <c r="C96" s="144" t="s">
        <v>1987</v>
      </c>
      <c r="D96" s="967"/>
      <c r="E96" s="967"/>
      <c r="F96" s="967"/>
      <c r="G96" s="967"/>
      <c r="H96" s="160">
        <v>256</v>
      </c>
      <c r="I96" s="147"/>
      <c r="J96" s="137"/>
      <c r="K96" s="137"/>
      <c r="L96" s="173"/>
    </row>
    <row r="97" spans="2:12" ht="18">
      <c r="B97" s="123"/>
      <c r="C97" s="123"/>
      <c r="D97" s="148"/>
      <c r="E97" s="148"/>
      <c r="F97" s="141"/>
      <c r="G97" s="141" t="s">
        <v>1357</v>
      </c>
      <c r="H97" s="160">
        <v>257</v>
      </c>
      <c r="I97" s="162">
        <f>SUM(I88:I96)</f>
        <v>0</v>
      </c>
      <c r="J97" s="137"/>
      <c r="K97" s="163">
        <f>I97</f>
        <v>0</v>
      </c>
      <c r="L97" s="173"/>
    </row>
    <row r="98" spans="2:12" ht="15.75">
      <c r="B98" s="125"/>
      <c r="C98" s="125"/>
      <c r="D98" s="149"/>
      <c r="E98" s="140"/>
      <c r="F98" s="149"/>
      <c r="G98" s="140"/>
      <c r="H98" s="125"/>
      <c r="I98" s="126" t="s">
        <v>1600</v>
      </c>
      <c r="J98" s="140"/>
      <c r="K98" s="140"/>
      <c r="L98" s="173"/>
    </row>
    <row r="99" spans="2:12" ht="15.75">
      <c r="B99" s="125"/>
      <c r="C99" s="125"/>
      <c r="D99" s="149"/>
      <c r="E99" s="149"/>
      <c r="F99" s="149"/>
      <c r="G99" s="149"/>
      <c r="H99" s="149"/>
      <c r="I99" s="126" t="s">
        <v>629</v>
      </c>
      <c r="J99" s="160">
        <v>260</v>
      </c>
      <c r="K99" s="163">
        <f>MAXA(0,(K84-K97))</f>
        <v>0</v>
      </c>
      <c r="L99" s="173"/>
    </row>
    <row r="100" spans="2:12" ht="18">
      <c r="B100" s="125"/>
      <c r="C100" s="125"/>
      <c r="D100" s="149"/>
      <c r="E100" s="149"/>
      <c r="F100" s="149"/>
      <c r="G100" s="149"/>
      <c r="H100" s="149"/>
      <c r="I100" s="126"/>
      <c r="J100" s="160"/>
      <c r="K100" s="137"/>
      <c r="L100" s="173"/>
    </row>
    <row r="101" spans="2:12" ht="18">
      <c r="B101" s="137" t="s">
        <v>1601</v>
      </c>
      <c r="C101" s="125"/>
      <c r="D101" s="149"/>
      <c r="E101" s="149"/>
      <c r="F101" s="149"/>
      <c r="G101" s="149"/>
      <c r="H101" s="149"/>
      <c r="I101" s="126"/>
      <c r="J101" s="160"/>
      <c r="K101" s="137"/>
      <c r="L101" s="173"/>
    </row>
    <row r="102" spans="2:12" ht="18">
      <c r="B102" s="125"/>
      <c r="C102" s="125"/>
      <c r="D102" s="149"/>
      <c r="E102" s="149"/>
      <c r="F102" s="149"/>
      <c r="G102" s="149"/>
      <c r="H102" s="149"/>
      <c r="I102" s="126"/>
      <c r="J102" s="160"/>
      <c r="K102" s="137"/>
      <c r="L102" s="173"/>
    </row>
    <row r="103" spans="2:12" ht="18">
      <c r="B103" s="137" t="s">
        <v>966</v>
      </c>
      <c r="C103" s="125"/>
      <c r="D103" s="149"/>
      <c r="E103" s="149"/>
      <c r="F103" s="149"/>
      <c r="G103" s="149"/>
      <c r="H103" s="149"/>
      <c r="I103" s="126"/>
      <c r="J103" s="160"/>
      <c r="K103" s="137"/>
      <c r="L103" s="173"/>
    </row>
    <row r="104" spans="1:12" ht="15">
      <c r="A104" s="96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</row>
    <row r="105" spans="2:12" ht="6.75" customHeight="1">
      <c r="B105" s="125"/>
      <c r="C105" s="137"/>
      <c r="D105" s="137"/>
      <c r="E105" s="149"/>
      <c r="F105" s="137"/>
      <c r="G105" s="137"/>
      <c r="H105" s="137"/>
      <c r="I105" s="137"/>
      <c r="J105" s="137"/>
      <c r="K105" s="137"/>
      <c r="L105" s="173"/>
    </row>
    <row r="106" spans="2:12" ht="20.25">
      <c r="B106" s="121" t="s">
        <v>376</v>
      </c>
      <c r="C106" s="125"/>
      <c r="D106" s="137"/>
      <c r="E106" s="137"/>
      <c r="F106" s="137"/>
      <c r="G106" s="137"/>
      <c r="H106" s="137"/>
      <c r="I106" s="137"/>
      <c r="J106" s="137"/>
      <c r="K106" s="172">
        <v>4</v>
      </c>
      <c r="L106" s="173"/>
    </row>
    <row r="107" spans="2:12" ht="21" customHeight="1">
      <c r="B107" s="122" t="s">
        <v>395</v>
      </c>
      <c r="C107" s="122"/>
      <c r="D107" s="154"/>
      <c r="E107" s="154"/>
      <c r="F107" s="154"/>
      <c r="G107" s="154"/>
      <c r="H107" s="154"/>
      <c r="I107" s="154"/>
      <c r="J107" s="160">
        <v>420</v>
      </c>
      <c r="K107" s="163">
        <f>Sch1!J82</f>
        <v>0</v>
      </c>
      <c r="L107" s="173"/>
    </row>
    <row r="108" spans="2:12" ht="15.75">
      <c r="B108" s="123" t="s">
        <v>1237</v>
      </c>
      <c r="C108" s="123"/>
      <c r="D108" s="141"/>
      <c r="E108" s="141"/>
      <c r="F108" s="141"/>
      <c r="G108" s="141"/>
      <c r="H108" s="141"/>
      <c r="I108" s="141"/>
      <c r="J108" s="160">
        <v>421</v>
      </c>
      <c r="K108" s="162">
        <f>Sch8!I26</f>
        <v>0</v>
      </c>
      <c r="L108" s="173"/>
    </row>
    <row r="109" spans="2:12" ht="15.75">
      <c r="B109" s="123" t="s">
        <v>378</v>
      </c>
      <c r="C109" s="139"/>
      <c r="D109" s="141"/>
      <c r="E109" s="133"/>
      <c r="F109" s="141"/>
      <c r="G109" s="141"/>
      <c r="H109" s="143"/>
      <c r="I109" s="143"/>
      <c r="J109" s="160">
        <v>422</v>
      </c>
      <c r="K109" s="162">
        <f>K82</f>
        <v>0</v>
      </c>
      <c r="L109" s="173"/>
    </row>
    <row r="110" spans="2:12" ht="9" customHeight="1">
      <c r="B110" s="130"/>
      <c r="C110" s="145"/>
      <c r="D110" s="155"/>
      <c r="E110" s="159"/>
      <c r="F110" s="155"/>
      <c r="G110" s="155"/>
      <c r="H110" s="155"/>
      <c r="I110" s="155"/>
      <c r="J110" s="160"/>
      <c r="K110" s="137"/>
      <c r="L110" s="173"/>
    </row>
    <row r="111" spans="2:12" ht="18">
      <c r="B111" s="138" t="s">
        <v>1238</v>
      </c>
      <c r="C111" s="122"/>
      <c r="D111" s="143"/>
      <c r="E111" s="143"/>
      <c r="F111" s="143"/>
      <c r="G111" s="143"/>
      <c r="H111" s="143"/>
      <c r="I111" s="154"/>
      <c r="J111" s="160" t="s">
        <v>1239</v>
      </c>
      <c r="K111" s="166">
        <f>VLOOKUP("L428",D43:H44,C42,FALSE)</f>
        <v>0</v>
      </c>
      <c r="L111" s="173"/>
    </row>
    <row r="112" spans="2:12" ht="15.75">
      <c r="B112" s="125"/>
      <c r="C112" s="125"/>
      <c r="D112" s="126"/>
      <c r="E112" s="126"/>
      <c r="F112" s="126"/>
      <c r="G112" s="126"/>
      <c r="H112" s="126"/>
      <c r="I112" s="126" t="s">
        <v>379</v>
      </c>
      <c r="J112" s="160"/>
      <c r="K112" s="126"/>
      <c r="L112" s="173"/>
    </row>
    <row r="113" spans="2:12" ht="15.75">
      <c r="B113" s="125"/>
      <c r="C113" s="125"/>
      <c r="D113" s="126"/>
      <c r="E113" s="126"/>
      <c r="F113" s="126"/>
      <c r="G113" s="126"/>
      <c r="H113" s="126"/>
      <c r="I113" s="126" t="s">
        <v>380</v>
      </c>
      <c r="J113" s="160">
        <v>435</v>
      </c>
      <c r="K113" s="163">
        <f>SUM(K107:K111)</f>
        <v>0</v>
      </c>
      <c r="L113" s="173"/>
    </row>
    <row r="114" spans="2:12" ht="7.5" customHeight="1">
      <c r="B114" s="125"/>
      <c r="C114" s="125"/>
      <c r="D114" s="126"/>
      <c r="E114" s="126"/>
      <c r="F114" s="126"/>
      <c r="G114" s="126"/>
      <c r="H114" s="126"/>
      <c r="I114" s="126"/>
      <c r="J114" s="160"/>
      <c r="K114" s="126"/>
      <c r="L114" s="173"/>
    </row>
    <row r="115" spans="2:12" ht="15.75">
      <c r="B115" s="122" t="s">
        <v>1554</v>
      </c>
      <c r="C115" s="122"/>
      <c r="D115" s="143"/>
      <c r="E115" s="143"/>
      <c r="F115" s="143"/>
      <c r="G115" s="143"/>
      <c r="H115" s="160">
        <v>437</v>
      </c>
      <c r="I115" s="163">
        <f>MISC!L57</f>
        <v>0</v>
      </c>
      <c r="J115" s="126"/>
      <c r="K115" s="126"/>
      <c r="L115" s="173"/>
    </row>
    <row r="116" spans="2:12" ht="15.75">
      <c r="B116" s="123" t="s">
        <v>1241</v>
      </c>
      <c r="C116" s="123"/>
      <c r="D116" s="141"/>
      <c r="E116" s="141"/>
      <c r="F116" s="141"/>
      <c r="G116" s="141"/>
      <c r="H116" s="160">
        <v>440</v>
      </c>
      <c r="I116" s="147"/>
      <c r="J116" s="126"/>
      <c r="K116" s="126"/>
      <c r="L116" s="173"/>
    </row>
    <row r="117" spans="2:12" ht="15.75">
      <c r="B117" s="123" t="s">
        <v>610</v>
      </c>
      <c r="C117" s="123"/>
      <c r="D117" s="141"/>
      <c r="E117" s="141"/>
      <c r="F117" s="141"/>
      <c r="G117" s="141"/>
      <c r="H117" s="160">
        <v>448</v>
      </c>
      <c r="I117" s="163">
        <f>'T2204'!I23</f>
        <v>0</v>
      </c>
      <c r="J117" s="126"/>
      <c r="K117" s="126"/>
      <c r="L117" s="173"/>
    </row>
    <row r="118" spans="2:12" ht="15.75">
      <c r="B118" s="123" t="s">
        <v>179</v>
      </c>
      <c r="C118" s="123"/>
      <c r="D118" s="141"/>
      <c r="E118" s="141"/>
      <c r="F118" s="141"/>
      <c r="G118" s="141"/>
      <c r="H118" s="160">
        <v>450</v>
      </c>
      <c r="I118" s="163">
        <f>'T2204'!I57</f>
        <v>0</v>
      </c>
      <c r="J118" s="126"/>
      <c r="K118" s="126"/>
      <c r="L118" s="173"/>
    </row>
    <row r="119" spans="2:12" ht="15.75">
      <c r="B119" s="123" t="s">
        <v>180</v>
      </c>
      <c r="C119" s="123"/>
      <c r="D119" s="141"/>
      <c r="E119" s="141"/>
      <c r="F119" s="141"/>
      <c r="G119" s="141"/>
      <c r="H119" s="160">
        <v>452</v>
      </c>
      <c r="I119" s="162">
        <f>'FED WRK'!P105</f>
        <v>0</v>
      </c>
      <c r="J119" s="127"/>
      <c r="K119" s="126"/>
      <c r="L119" s="173"/>
    </row>
    <row r="120" spans="2:12" ht="15.75">
      <c r="B120" s="123" t="s">
        <v>181</v>
      </c>
      <c r="C120" s="123"/>
      <c r="D120" s="141"/>
      <c r="E120" s="141"/>
      <c r="F120" s="141"/>
      <c r="G120" s="141"/>
      <c r="H120" s="160">
        <v>454</v>
      </c>
      <c r="I120" s="147"/>
      <c r="J120" s="126"/>
      <c r="K120" s="126"/>
      <c r="L120" s="173"/>
    </row>
    <row r="121" spans="2:12" ht="15.75">
      <c r="B121" s="123" t="s">
        <v>381</v>
      </c>
      <c r="C121" s="123"/>
      <c r="D121" s="141"/>
      <c r="E121" s="141"/>
      <c r="F121" s="141"/>
      <c r="G121" s="141"/>
      <c r="H121" s="160">
        <v>456</v>
      </c>
      <c r="I121" s="162">
        <f>MISC!L60</f>
        <v>0</v>
      </c>
      <c r="J121" s="126"/>
      <c r="K121" s="126"/>
      <c r="L121" s="173"/>
    </row>
    <row r="122" spans="2:12" ht="15.75">
      <c r="B122" s="130"/>
      <c r="C122" s="130"/>
      <c r="D122" s="156"/>
      <c r="E122" s="156"/>
      <c r="F122" s="156"/>
      <c r="G122" s="156"/>
      <c r="H122" s="160"/>
      <c r="I122" s="147"/>
      <c r="J122" s="126"/>
      <c r="K122" s="126"/>
      <c r="L122" s="173"/>
    </row>
    <row r="123" spans="2:12" ht="15" customHeight="1">
      <c r="B123" s="122" t="s">
        <v>1744</v>
      </c>
      <c r="C123" s="122"/>
      <c r="D123" s="143"/>
      <c r="E123" s="143"/>
      <c r="F123" s="143"/>
      <c r="G123" s="143"/>
      <c r="H123" s="160">
        <v>457</v>
      </c>
      <c r="I123" s="147"/>
      <c r="J123" s="126"/>
      <c r="K123" s="126"/>
      <c r="L123" s="173"/>
    </row>
    <row r="124" spans="2:12" ht="15.75">
      <c r="B124" s="123" t="s">
        <v>1745</v>
      </c>
      <c r="C124" s="139"/>
      <c r="D124" s="141"/>
      <c r="E124" s="141"/>
      <c r="F124" s="141"/>
      <c r="G124" s="141"/>
      <c r="H124" s="160">
        <v>476</v>
      </c>
      <c r="I124" s="147"/>
      <c r="J124" s="126"/>
      <c r="K124" s="126"/>
      <c r="L124" s="173"/>
    </row>
    <row r="125" spans="2:12" ht="24.75" customHeight="1">
      <c r="B125" s="139" t="s">
        <v>1240</v>
      </c>
      <c r="C125" s="123"/>
      <c r="D125" s="141"/>
      <c r="E125" s="141"/>
      <c r="F125" s="141"/>
      <c r="G125" s="141"/>
      <c r="H125" s="160">
        <v>479</v>
      </c>
      <c r="I125" s="163">
        <f>VLOOKUP("L479",D43:H44,C42,FALSE)</f>
        <v>0</v>
      </c>
      <c r="J125" s="126"/>
      <c r="K125" s="126"/>
      <c r="L125" s="173"/>
    </row>
    <row r="126" spans="2:12" ht="15.75">
      <c r="B126" s="125"/>
      <c r="C126" s="125"/>
      <c r="D126" s="126"/>
      <c r="E126" s="126"/>
      <c r="F126" s="126"/>
      <c r="G126" s="126" t="s">
        <v>382</v>
      </c>
      <c r="H126" s="149"/>
      <c r="I126" s="126"/>
      <c r="J126" s="126"/>
      <c r="K126" s="126"/>
      <c r="L126" s="173"/>
    </row>
    <row r="127" spans="2:12" ht="15.75">
      <c r="B127" s="125"/>
      <c r="C127" s="125"/>
      <c r="D127" s="126"/>
      <c r="E127" s="126"/>
      <c r="F127" s="126"/>
      <c r="G127" s="126" t="s">
        <v>383</v>
      </c>
      <c r="H127" s="160">
        <v>482</v>
      </c>
      <c r="I127" s="163">
        <f>SUM(I115:I125)</f>
        <v>0</v>
      </c>
      <c r="J127" s="126"/>
      <c r="K127" s="163">
        <f>I127</f>
        <v>0</v>
      </c>
      <c r="L127" s="173"/>
    </row>
    <row r="128" spans="2:12" ht="19.5" customHeight="1">
      <c r="B128" s="125"/>
      <c r="C128" s="125"/>
      <c r="D128" s="126"/>
      <c r="E128" s="126"/>
      <c r="F128" s="126"/>
      <c r="G128" s="143"/>
      <c r="H128" s="150"/>
      <c r="I128" s="143" t="s">
        <v>384</v>
      </c>
      <c r="J128" s="126"/>
      <c r="K128" s="162">
        <f>K113-K127</f>
        <v>0</v>
      </c>
      <c r="L128" s="173"/>
    </row>
    <row r="129" spans="2:12" ht="22.5" customHeight="1">
      <c r="B129" s="125"/>
      <c r="C129" s="125"/>
      <c r="D129" s="126"/>
      <c r="E129" s="126"/>
      <c r="F129" s="126" t="s">
        <v>811</v>
      </c>
      <c r="G129" s="126"/>
      <c r="H129" s="126"/>
      <c r="I129" s="149"/>
      <c r="J129" s="126"/>
      <c r="K129" s="126" t="s">
        <v>812</v>
      </c>
      <c r="L129" s="173"/>
    </row>
    <row r="130" spans="2:12" ht="15">
      <c r="B130" s="125"/>
      <c r="C130" s="125"/>
      <c r="D130" s="126"/>
      <c r="E130" s="126"/>
      <c r="F130" s="126"/>
      <c r="G130" s="126"/>
      <c r="H130" s="126"/>
      <c r="I130" s="126"/>
      <c r="J130" s="126"/>
      <c r="K130" s="126" t="s">
        <v>385</v>
      </c>
      <c r="L130" s="173"/>
    </row>
    <row r="131" spans="2:12" ht="24.75" customHeight="1">
      <c r="B131" s="125"/>
      <c r="C131" s="125"/>
      <c r="D131" s="125"/>
      <c r="E131" s="125"/>
      <c r="F131" s="125"/>
      <c r="G131" s="157" t="s">
        <v>386</v>
      </c>
      <c r="H131" s="126"/>
      <c r="I131" s="149"/>
      <c r="J131" s="126"/>
      <c r="K131" s="125"/>
      <c r="L131" s="173"/>
    </row>
    <row r="132" spans="2:12" ht="4.5" customHeight="1">
      <c r="B132" s="125"/>
      <c r="C132" s="125"/>
      <c r="D132" s="125"/>
      <c r="E132" s="125"/>
      <c r="F132" s="125"/>
      <c r="G132" s="157"/>
      <c r="H132" s="126"/>
      <c r="I132" s="149"/>
      <c r="J132" s="126"/>
      <c r="K132" s="125"/>
      <c r="L132" s="173"/>
    </row>
    <row r="133" spans="2:12" ht="15.75">
      <c r="B133" s="140" t="s">
        <v>182</v>
      </c>
      <c r="C133" s="969">
        <f>IF(K128&lt;(-2),-K128,0)</f>
        <v>0</v>
      </c>
      <c r="D133" s="970"/>
      <c r="E133" s="970"/>
      <c r="F133" s="125"/>
      <c r="G133" s="125"/>
      <c r="H133" s="126"/>
      <c r="I133" s="140" t="s">
        <v>387</v>
      </c>
      <c r="J133" s="160">
        <v>485</v>
      </c>
      <c r="K133" s="163">
        <f>IF(MAXA($K$128,0)&gt;2,MAXA($K$128,0),0)</f>
        <v>0</v>
      </c>
      <c r="L133" s="173"/>
    </row>
    <row r="134" spans="2:12" ht="5.25" customHeight="1">
      <c r="B134" s="126"/>
      <c r="C134" s="125"/>
      <c r="D134" s="125"/>
      <c r="E134" s="125"/>
      <c r="F134" s="125"/>
      <c r="G134" s="125"/>
      <c r="H134" s="126"/>
      <c r="I134" s="140"/>
      <c r="J134" s="149"/>
      <c r="K134" s="140"/>
      <c r="L134" s="173"/>
    </row>
    <row r="135" spans="2:12" ht="15" customHeight="1">
      <c r="B135" s="125"/>
      <c r="C135" s="125"/>
      <c r="D135" s="125"/>
      <c r="E135" s="125"/>
      <c r="F135" s="125"/>
      <c r="G135" s="125"/>
      <c r="H135" s="126"/>
      <c r="I135" s="140" t="s">
        <v>388</v>
      </c>
      <c r="J135" s="160">
        <v>486</v>
      </c>
      <c r="K135" s="158"/>
      <c r="L135" s="173"/>
    </row>
    <row r="136" spans="2:12" ht="22.5" customHeight="1">
      <c r="B136" s="125"/>
      <c r="C136" s="125"/>
      <c r="D136" s="125"/>
      <c r="E136" s="125"/>
      <c r="F136" s="125"/>
      <c r="G136" s="125"/>
      <c r="H136" s="126"/>
      <c r="I136" s="140"/>
      <c r="J136" s="160"/>
      <c r="K136" s="126" t="s">
        <v>1898</v>
      </c>
      <c r="L136" s="173"/>
    </row>
    <row r="137" spans="2:12" ht="7.5" customHeight="1">
      <c r="B137" s="125"/>
      <c r="C137" s="125"/>
      <c r="D137" s="125"/>
      <c r="E137" s="125"/>
      <c r="F137" s="125"/>
      <c r="G137" s="125"/>
      <c r="H137" s="126"/>
      <c r="I137" s="140"/>
      <c r="J137" s="160"/>
      <c r="K137" s="140"/>
      <c r="L137" s="173"/>
    </row>
    <row r="138" spans="2:12" ht="15.75">
      <c r="B138" s="125"/>
      <c r="C138" s="149" t="s">
        <v>813</v>
      </c>
      <c r="D138" s="125"/>
      <c r="E138" s="125"/>
      <c r="F138" s="125"/>
      <c r="G138" s="125"/>
      <c r="H138" s="126"/>
      <c r="I138" s="149"/>
      <c r="J138" s="140"/>
      <c r="K138" s="140"/>
      <c r="L138" s="173"/>
    </row>
    <row r="139" spans="2:12" ht="21" customHeight="1">
      <c r="B139" s="125"/>
      <c r="C139" s="149" t="s">
        <v>949</v>
      </c>
      <c r="D139" s="125"/>
      <c r="E139" s="125"/>
      <c r="F139" s="125"/>
      <c r="G139" s="127"/>
      <c r="H139" s="126"/>
      <c r="I139" s="140"/>
      <c r="J139" s="140"/>
      <c r="K139" s="126"/>
      <c r="L139" s="173"/>
    </row>
    <row r="140" spans="2:12" ht="15">
      <c r="B140" s="125"/>
      <c r="C140" s="125" t="s">
        <v>814</v>
      </c>
      <c r="D140" s="125"/>
      <c r="E140" s="125"/>
      <c r="F140" s="125"/>
      <c r="G140" s="127"/>
      <c r="H140" s="125"/>
      <c r="I140" s="125"/>
      <c r="J140" s="125"/>
      <c r="K140" s="126"/>
      <c r="L140" s="173"/>
    </row>
    <row r="141" spans="2:12" ht="21.75" customHeight="1">
      <c r="B141" s="125"/>
      <c r="C141" s="149" t="s">
        <v>1017</v>
      </c>
      <c r="D141" s="125"/>
      <c r="E141" s="125"/>
      <c r="F141" s="125"/>
      <c r="G141" s="125"/>
      <c r="H141" s="125"/>
      <c r="I141" s="125"/>
      <c r="J141" s="125"/>
      <c r="K141" s="125" t="s">
        <v>389</v>
      </c>
      <c r="L141" s="173"/>
    </row>
    <row r="142" spans="2:12" ht="15">
      <c r="B142" s="125"/>
      <c r="C142" s="125" t="s">
        <v>1226</v>
      </c>
      <c r="D142" s="125"/>
      <c r="E142" s="125"/>
      <c r="F142" s="125"/>
      <c r="G142" s="125"/>
      <c r="H142" s="125"/>
      <c r="I142" s="125"/>
      <c r="J142" s="125"/>
      <c r="K142" s="125"/>
      <c r="L142" s="173"/>
    </row>
    <row r="143" spans="2:12" ht="21.75" customHeight="1">
      <c r="B143" s="125"/>
      <c r="C143" s="149" t="s">
        <v>1018</v>
      </c>
      <c r="D143" s="125"/>
      <c r="E143" s="125"/>
      <c r="F143" s="125"/>
      <c r="G143" s="125"/>
      <c r="H143" s="125"/>
      <c r="I143" s="125"/>
      <c r="J143" s="125"/>
      <c r="K143" s="125"/>
      <c r="L143" s="173"/>
    </row>
    <row r="144" spans="2:12" ht="15">
      <c r="B144" s="125"/>
      <c r="C144" s="125" t="s">
        <v>1227</v>
      </c>
      <c r="D144" s="125"/>
      <c r="E144" s="125"/>
      <c r="F144" s="125"/>
      <c r="G144" s="125"/>
      <c r="H144" s="125"/>
      <c r="I144" s="125"/>
      <c r="J144" s="125"/>
      <c r="K144" s="125"/>
      <c r="L144" s="173"/>
    </row>
    <row r="145" spans="2:12" ht="24" customHeight="1">
      <c r="B145" s="125"/>
      <c r="C145" s="157" t="s">
        <v>1228</v>
      </c>
      <c r="D145" s="157"/>
      <c r="E145" s="157" t="s">
        <v>1230</v>
      </c>
      <c r="F145" s="125"/>
      <c r="G145" s="125"/>
      <c r="H145" s="125"/>
      <c r="I145" s="125"/>
      <c r="J145" s="125"/>
      <c r="K145" s="125"/>
      <c r="L145" s="173"/>
    </row>
    <row r="146" spans="2:12" ht="15">
      <c r="B146" s="125"/>
      <c r="C146" s="157" t="s">
        <v>1229</v>
      </c>
      <c r="D146" s="157"/>
      <c r="E146" s="157" t="s">
        <v>1229</v>
      </c>
      <c r="F146" s="125"/>
      <c r="G146" s="974" t="s">
        <v>1552</v>
      </c>
      <c r="H146" s="974"/>
      <c r="I146" s="125"/>
      <c r="J146" s="157" t="s">
        <v>1231</v>
      </c>
      <c r="K146" s="125"/>
      <c r="L146" s="173"/>
    </row>
    <row r="147" spans="2:12" ht="21" customHeight="1">
      <c r="B147" s="140" t="s">
        <v>1040</v>
      </c>
      <c r="C147" s="100" t="s">
        <v>545</v>
      </c>
      <c r="D147" s="205" t="s">
        <v>1039</v>
      </c>
      <c r="E147" s="101" t="s">
        <v>545</v>
      </c>
      <c r="F147" s="205" t="s">
        <v>1232</v>
      </c>
      <c r="G147" s="975" t="s">
        <v>545</v>
      </c>
      <c r="H147" s="975"/>
      <c r="I147" s="206">
        <v>463</v>
      </c>
      <c r="J147" s="102"/>
      <c r="K147" s="125"/>
      <c r="L147" s="173"/>
    </row>
    <row r="148" spans="2:12" ht="15">
      <c r="B148" s="125"/>
      <c r="C148" s="196" t="s">
        <v>161</v>
      </c>
      <c r="D148" s="197"/>
      <c r="E148" s="196" t="s">
        <v>1041</v>
      </c>
      <c r="F148" s="197"/>
      <c r="G148" s="968" t="s">
        <v>1042</v>
      </c>
      <c r="H148" s="968"/>
      <c r="I148" s="173"/>
      <c r="J148" s="125"/>
      <c r="K148" s="125"/>
      <c r="L148" s="173"/>
    </row>
    <row r="149" spans="2:12" ht="8.25" customHeight="1">
      <c r="B149" s="125"/>
      <c r="C149" s="173"/>
      <c r="D149" s="125"/>
      <c r="E149" s="125"/>
      <c r="F149" s="125"/>
      <c r="G149" s="125"/>
      <c r="H149" s="125"/>
      <c r="I149" s="125"/>
      <c r="J149" s="125"/>
      <c r="K149" s="125"/>
      <c r="L149" s="173"/>
    </row>
    <row r="150" spans="2:12" ht="6.75" customHeight="1">
      <c r="B150" s="125"/>
      <c r="C150" s="173"/>
      <c r="D150" s="125"/>
      <c r="E150" s="125"/>
      <c r="F150" s="125"/>
      <c r="G150" s="125"/>
      <c r="H150" s="125"/>
      <c r="I150" s="125"/>
      <c r="J150" s="125"/>
      <c r="K150" s="125"/>
      <c r="L150" s="173"/>
    </row>
    <row r="151" spans="2:12" ht="15.75">
      <c r="B151" s="917"/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</row>
    <row r="152" spans="2:12" ht="15.75">
      <c r="B152" s="200"/>
      <c r="C152" s="200"/>
      <c r="D152" s="200"/>
      <c r="E152" s="200"/>
      <c r="F152" s="200"/>
      <c r="G152" s="200"/>
      <c r="H152" s="200"/>
      <c r="I152" s="200"/>
      <c r="J152" s="200"/>
      <c r="K152" s="918"/>
      <c r="L152" s="208"/>
    </row>
    <row r="153" spans="2:12" ht="15.75">
      <c r="B153" s="200"/>
      <c r="C153" s="200"/>
      <c r="D153" s="200"/>
      <c r="E153" s="200"/>
      <c r="F153" s="200"/>
      <c r="G153" s="200"/>
      <c r="H153" s="200"/>
      <c r="I153" s="200"/>
      <c r="J153" s="200"/>
      <c r="K153" s="200"/>
      <c r="L153" s="917"/>
    </row>
    <row r="154" spans="2:12" ht="15.75">
      <c r="B154" s="200"/>
      <c r="C154" s="200"/>
      <c r="D154" s="200"/>
      <c r="E154" s="200"/>
      <c r="F154" s="200"/>
      <c r="G154" s="200"/>
      <c r="H154" s="200"/>
      <c r="I154" s="200"/>
      <c r="J154" s="208"/>
      <c r="K154" s="919"/>
      <c r="L154" s="208"/>
    </row>
    <row r="155" spans="2:12" ht="15.75">
      <c r="B155" s="200"/>
      <c r="C155" s="200"/>
      <c r="D155" s="200"/>
      <c r="E155" s="200"/>
      <c r="F155" s="200"/>
      <c r="G155" s="200"/>
      <c r="H155" s="200"/>
      <c r="I155" s="200"/>
      <c r="J155" s="208"/>
      <c r="K155" s="918"/>
      <c r="L155" s="208"/>
    </row>
    <row r="156" spans="2:12" ht="15"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</row>
    <row r="157" spans="2:12" ht="15.75">
      <c r="B157" s="204" t="s">
        <v>1539</v>
      </c>
      <c r="C157" s="198"/>
      <c r="D157" s="198"/>
      <c r="E157" s="198"/>
      <c r="F157" s="198"/>
      <c r="G157" s="103" t="s">
        <v>1545</v>
      </c>
      <c r="H157" s="209" t="s">
        <v>1550</v>
      </c>
      <c r="I157" s="963"/>
      <c r="J157" s="963"/>
      <c r="K157" s="963"/>
      <c r="L157" s="964"/>
    </row>
    <row r="158" spans="2:12" ht="15">
      <c r="B158" s="199" t="s">
        <v>1540</v>
      </c>
      <c r="C158" s="200"/>
      <c r="D158" s="200"/>
      <c r="E158" s="200"/>
      <c r="F158" s="200"/>
      <c r="G158" s="104" t="s">
        <v>1546</v>
      </c>
      <c r="H158" s="209" t="s">
        <v>760</v>
      </c>
      <c r="I158" s="203"/>
      <c r="J158" s="203"/>
      <c r="K158" s="203"/>
      <c r="L158" s="210"/>
    </row>
    <row r="159" spans="2:12" ht="15">
      <c r="B159" s="697"/>
      <c r="C159" s="698"/>
      <c r="D159" s="698"/>
      <c r="E159" s="698"/>
      <c r="F159" s="200"/>
      <c r="G159" s="104" t="s">
        <v>1547</v>
      </c>
      <c r="H159" s="965"/>
      <c r="I159" s="965"/>
      <c r="J159" s="965"/>
      <c r="K159" s="965"/>
      <c r="L159" s="966"/>
    </row>
    <row r="160" spans="2:12" ht="15.75">
      <c r="B160" s="972" t="s">
        <v>1541</v>
      </c>
      <c r="C160" s="973"/>
      <c r="D160" s="973"/>
      <c r="E160" s="973"/>
      <c r="F160" s="200"/>
      <c r="G160" s="104" t="s">
        <v>1548</v>
      </c>
      <c r="H160" s="965"/>
      <c r="I160" s="965"/>
      <c r="J160" s="965"/>
      <c r="K160" s="965"/>
      <c r="L160" s="966"/>
    </row>
    <row r="161" spans="2:12" ht="15">
      <c r="B161" s="199"/>
      <c r="C161" s="211" t="s">
        <v>1542</v>
      </c>
      <c r="D161" s="200"/>
      <c r="E161" s="200"/>
      <c r="F161" s="200"/>
      <c r="G161" s="104" t="s">
        <v>1549</v>
      </c>
      <c r="H161" s="965"/>
      <c r="I161" s="965"/>
      <c r="J161" s="965"/>
      <c r="K161" s="965"/>
      <c r="L161" s="966"/>
    </row>
    <row r="162" spans="2:12" ht="15">
      <c r="B162" s="422" t="s">
        <v>1553</v>
      </c>
      <c r="C162" s="201" t="s">
        <v>1543</v>
      </c>
      <c r="D162" s="971"/>
      <c r="E162" s="971"/>
      <c r="F162" s="201"/>
      <c r="G162" s="105"/>
      <c r="H162" s="201" t="s">
        <v>609</v>
      </c>
      <c r="I162" s="201"/>
      <c r="J162" s="965"/>
      <c r="K162" s="965"/>
      <c r="L162" s="966"/>
    </row>
    <row r="163" spans="2:12" ht="15"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</row>
    <row r="164" spans="2:12" ht="20.25" customHeight="1">
      <c r="B164" s="693" t="s">
        <v>1544</v>
      </c>
      <c r="C164" s="212"/>
      <c r="D164" s="683"/>
      <c r="E164" s="683"/>
      <c r="F164" s="692"/>
      <c r="G164" s="683"/>
      <c r="H164" s="683"/>
      <c r="I164" s="695"/>
      <c r="J164" s="694"/>
      <c r="K164" s="683"/>
      <c r="L164" s="689"/>
    </row>
    <row r="165" spans="2:12" ht="15" customHeight="1">
      <c r="B165" s="686" t="s">
        <v>158</v>
      </c>
      <c r="C165" s="213"/>
      <c r="D165" s="683"/>
      <c r="E165" s="683"/>
      <c r="F165" s="684"/>
      <c r="G165" s="683"/>
      <c r="H165" s="683"/>
      <c r="I165" s="696"/>
      <c r="J165" s="694"/>
      <c r="K165" s="683"/>
      <c r="L165" s="685"/>
    </row>
    <row r="166" spans="2:12" ht="4.5" customHeight="1">
      <c r="B166" s="778"/>
      <c r="C166" s="214"/>
      <c r="D166" s="687"/>
      <c r="E166" s="688"/>
      <c r="F166" s="688"/>
      <c r="G166" s="688"/>
      <c r="H166" s="688"/>
      <c r="I166" s="688"/>
      <c r="J166" s="688"/>
      <c r="K166" s="688"/>
      <c r="L166" s="777"/>
    </row>
    <row r="167" spans="2:12" ht="15">
      <c r="B167" s="173"/>
      <c r="C167" s="690"/>
      <c r="D167" s="173"/>
      <c r="E167" s="173"/>
      <c r="F167" s="173"/>
      <c r="G167" s="173"/>
      <c r="H167" s="173"/>
      <c r="I167" s="173"/>
      <c r="J167" s="173"/>
      <c r="K167" s="691" t="s">
        <v>1551</v>
      </c>
      <c r="L167" s="173"/>
    </row>
  </sheetData>
  <sheetProtection password="EC35" sheet="1" objects="1" scenarios="1"/>
  <mergeCells count="14">
    <mergeCell ref="D28:G28"/>
    <mergeCell ref="D78:G78"/>
    <mergeCell ref="D96:G96"/>
    <mergeCell ref="J162:L162"/>
    <mergeCell ref="G148:H148"/>
    <mergeCell ref="C133:E133"/>
    <mergeCell ref="D162:E162"/>
    <mergeCell ref="B160:E160"/>
    <mergeCell ref="G146:H146"/>
    <mergeCell ref="G147:H147"/>
    <mergeCell ref="I157:L157"/>
    <mergeCell ref="H159:L159"/>
    <mergeCell ref="H160:L160"/>
    <mergeCell ref="H161:L161"/>
  </mergeCells>
  <dataValidations count="1">
    <dataValidation type="list" allowBlank="1" showInputMessage="1" showErrorMessage="1" sqref="J6 H6">
      <formula1>"X,'"</formula1>
    </dataValidation>
  </dataValidations>
  <printOptions horizontalCentered="1"/>
  <pageMargins left="0" right="0" top="0" bottom="0" header="0.511811023622047" footer="0.2"/>
  <pageSetup fitToHeight="0" horizontalDpi="600" verticalDpi="600" orientation="portrait" scale="72" r:id="rId4"/>
  <headerFooter alignWithMargins="0">
    <oddFooter>&amp;L5006-R</oddFooter>
  </headerFooter>
  <rowBreaks count="3" manualBreakCount="3">
    <brk id="46" max="11" man="1"/>
    <brk id="104" max="11" man="1"/>
    <brk id="168" max="1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 transitionEvaluation="1"/>
  <dimension ref="A1:R612"/>
  <sheetViews>
    <sheetView showGridLines="0" showRowColHeaders="0" zoomScale="60" zoomScaleNormal="60" workbookViewId="0" topLeftCell="A56">
      <selection activeCell="B1" sqref="B1"/>
    </sheetView>
  </sheetViews>
  <sheetFormatPr defaultColWidth="9.77734375" defaultRowHeight="15"/>
  <cols>
    <col min="1" max="1" width="4.21484375" style="6" customWidth="1"/>
    <col min="2" max="2" width="23.77734375" style="768" customWidth="1"/>
    <col min="3" max="3" width="1.77734375" style="0" customWidth="1"/>
    <col min="4" max="4" width="12.77734375" style="0" customWidth="1"/>
    <col min="5" max="5" width="3.77734375" style="0" customWidth="1"/>
    <col min="6" max="6" width="1.77734375" style="0" customWidth="1"/>
    <col min="7" max="7" width="12.77734375" style="0" customWidth="1"/>
    <col min="8" max="8" width="3.77734375" style="0" customWidth="1"/>
    <col min="9" max="9" width="2.21484375" style="0" customWidth="1"/>
    <col min="10" max="10" width="24.77734375" style="0" customWidth="1"/>
    <col min="11" max="11" width="1.77734375" style="0" customWidth="1"/>
    <col min="12" max="12" width="11.77734375" style="0" customWidth="1"/>
    <col min="13" max="13" width="3.77734375" style="0" customWidth="1"/>
    <col min="14" max="14" width="7.77734375" style="0" customWidth="1"/>
    <col min="15" max="15" width="1.77734375" style="0" customWidth="1"/>
    <col min="16" max="16" width="12.77734375" style="0" customWidth="1"/>
    <col min="17" max="17" width="3.77734375" style="0" customWidth="1"/>
    <col min="18" max="18" width="3.10546875" style="0" customWidth="1"/>
  </cols>
  <sheetData>
    <row r="1" spans="2:18" ht="20.25">
      <c r="B1" s="221" t="s">
        <v>390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2:18" ht="26.25">
      <c r="B2" s="222"/>
      <c r="C2" s="125"/>
      <c r="D2" s="125"/>
      <c r="E2" s="125"/>
      <c r="F2" s="125"/>
      <c r="G2" s="238" t="s">
        <v>391</v>
      </c>
      <c r="H2" s="125"/>
      <c r="I2" s="125"/>
      <c r="J2" s="125"/>
      <c r="K2" s="125"/>
      <c r="L2" s="125"/>
      <c r="M2" s="125"/>
      <c r="N2" s="125"/>
      <c r="O2" s="250"/>
      <c r="P2" s="250"/>
      <c r="Q2" s="125"/>
      <c r="R2" s="125"/>
    </row>
    <row r="3" spans="2:18" ht="13.5" customHeight="1">
      <c r="B3" s="222"/>
      <c r="C3" s="125"/>
      <c r="D3" s="234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2:18" ht="23.25">
      <c r="B4" s="222" t="s">
        <v>1404</v>
      </c>
      <c r="C4" s="125"/>
      <c r="D4" s="234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2:18" ht="18">
      <c r="B5" s="222" t="s">
        <v>1405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</row>
    <row r="6" spans="2:18" ht="18">
      <c r="B6" s="222" t="s">
        <v>1729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</row>
    <row r="7" spans="2:18" ht="18">
      <c r="B7" s="222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</row>
    <row r="8" spans="2:18" ht="20.25">
      <c r="B8" s="223" t="s">
        <v>151</v>
      </c>
      <c r="C8" s="130"/>
      <c r="D8" s="130"/>
      <c r="E8" s="130"/>
      <c r="F8" s="130"/>
      <c r="G8" s="130"/>
      <c r="H8" s="239"/>
      <c r="I8" s="125"/>
      <c r="J8" s="223" t="s">
        <v>1730</v>
      </c>
      <c r="K8" s="130"/>
      <c r="L8" s="130"/>
      <c r="M8" s="130"/>
      <c r="N8" s="130"/>
      <c r="O8" s="130"/>
      <c r="P8" s="130"/>
      <c r="Q8" s="239"/>
      <c r="R8" s="125"/>
    </row>
    <row r="9" spans="2:18" ht="18">
      <c r="B9" s="224"/>
      <c r="C9" s="186"/>
      <c r="D9" s="186"/>
      <c r="E9" s="186"/>
      <c r="F9" s="186"/>
      <c r="G9" s="186"/>
      <c r="H9" s="240"/>
      <c r="I9" s="125"/>
      <c r="J9" s="224"/>
      <c r="K9" s="186"/>
      <c r="L9" s="186"/>
      <c r="M9" s="186"/>
      <c r="N9" s="186"/>
      <c r="O9" s="186"/>
      <c r="P9" s="186"/>
      <c r="Q9" s="240"/>
      <c r="R9" s="125"/>
    </row>
    <row r="10" spans="2:18" ht="18">
      <c r="B10" s="224" t="s">
        <v>152</v>
      </c>
      <c r="C10" s="186"/>
      <c r="D10" s="186"/>
      <c r="E10" s="186"/>
      <c r="F10" s="186"/>
      <c r="G10" s="186"/>
      <c r="H10" s="240"/>
      <c r="I10" s="125"/>
      <c r="J10" s="225" t="s">
        <v>1731</v>
      </c>
      <c r="K10" s="122"/>
      <c r="L10" s="122"/>
      <c r="M10" s="122"/>
      <c r="N10" s="122"/>
      <c r="O10" s="186"/>
      <c r="P10" s="217">
        <v>3619</v>
      </c>
      <c r="Q10" s="241">
        <v>1</v>
      </c>
      <c r="R10" s="125"/>
    </row>
    <row r="11" spans="2:18" ht="18">
      <c r="B11" s="224" t="s">
        <v>1732</v>
      </c>
      <c r="C11" s="186"/>
      <c r="D11" s="186"/>
      <c r="E11" s="186"/>
      <c r="F11" s="186"/>
      <c r="G11" s="186"/>
      <c r="H11" s="240"/>
      <c r="I11" s="125"/>
      <c r="J11" s="224" t="s">
        <v>1733</v>
      </c>
      <c r="K11" s="186"/>
      <c r="L11" s="186"/>
      <c r="M11" s="186"/>
      <c r="N11" s="186"/>
      <c r="O11" s="186"/>
      <c r="P11" s="186"/>
      <c r="Q11" s="240"/>
      <c r="R11" s="125"/>
    </row>
    <row r="12" spans="2:18" ht="18">
      <c r="B12" s="224"/>
      <c r="C12" s="186"/>
      <c r="D12" s="186"/>
      <c r="E12" s="186"/>
      <c r="F12" s="186"/>
      <c r="G12" s="186"/>
      <c r="H12" s="240"/>
      <c r="I12" s="125"/>
      <c r="J12" s="225" t="s">
        <v>1391</v>
      </c>
      <c r="K12" s="186"/>
      <c r="L12" s="217">
        <f>+'T1 GEN-2-3-4'!K84</f>
        <v>0</v>
      </c>
      <c r="M12" s="236">
        <v>2</v>
      </c>
      <c r="N12" s="186"/>
      <c r="O12" s="186"/>
      <c r="P12" s="186"/>
      <c r="Q12" s="240"/>
      <c r="R12" s="125"/>
    </row>
    <row r="13" spans="2:18" ht="18">
      <c r="B13" s="224" t="s">
        <v>1392</v>
      </c>
      <c r="C13" s="186"/>
      <c r="D13" s="186"/>
      <c r="E13" s="186"/>
      <c r="F13" s="186"/>
      <c r="G13" s="186"/>
      <c r="H13" s="240"/>
      <c r="I13" s="125"/>
      <c r="J13" s="225" t="s">
        <v>1393</v>
      </c>
      <c r="K13" s="186"/>
      <c r="L13" s="218">
        <v>26941</v>
      </c>
      <c r="M13" s="236">
        <v>3</v>
      </c>
      <c r="N13" s="186"/>
      <c r="O13" s="186"/>
      <c r="P13" s="186"/>
      <c r="Q13" s="240"/>
      <c r="R13" s="125"/>
    </row>
    <row r="14" spans="2:18" ht="18">
      <c r="B14" s="225" t="s">
        <v>1952</v>
      </c>
      <c r="C14" s="122"/>
      <c r="D14" s="122"/>
      <c r="E14" s="122"/>
      <c r="F14" s="186"/>
      <c r="G14" s="217">
        <f>+'T1 GEN-2-3-4'!K113-'T1 GEN-2-3-4'!K108</f>
        <v>0</v>
      </c>
      <c r="H14" s="241">
        <v>1</v>
      </c>
      <c r="I14" s="125"/>
      <c r="J14" s="224" t="s">
        <v>1394</v>
      </c>
      <c r="K14" s="186"/>
      <c r="L14" s="186"/>
      <c r="M14" s="236"/>
      <c r="N14" s="186"/>
      <c r="O14" s="186"/>
      <c r="P14" s="186"/>
      <c r="Q14" s="240"/>
      <c r="R14" s="125"/>
    </row>
    <row r="15" spans="2:18" ht="18">
      <c r="B15" s="226" t="s">
        <v>1343</v>
      </c>
      <c r="C15" s="186"/>
      <c r="D15" s="186"/>
      <c r="E15" s="186"/>
      <c r="F15" s="186"/>
      <c r="G15" s="186"/>
      <c r="H15" s="240"/>
      <c r="I15" s="125"/>
      <c r="J15" s="225" t="s">
        <v>1344</v>
      </c>
      <c r="K15" s="186"/>
      <c r="L15" s="217">
        <f>+MAXA(0,(L12-L13))</f>
        <v>0</v>
      </c>
      <c r="M15" s="236">
        <v>4</v>
      </c>
      <c r="N15" s="186"/>
      <c r="O15" s="186"/>
      <c r="P15" s="186"/>
      <c r="Q15" s="240"/>
      <c r="R15" s="125"/>
    </row>
    <row r="16" spans="2:18" ht="18">
      <c r="B16" s="225" t="s">
        <v>1345</v>
      </c>
      <c r="C16" s="186"/>
      <c r="D16" s="217">
        <f>+'T1 GEN-2-3-4'!I127</f>
        <v>0</v>
      </c>
      <c r="E16" s="236">
        <v>2</v>
      </c>
      <c r="F16" s="186"/>
      <c r="G16" s="186"/>
      <c r="H16" s="240"/>
      <c r="I16" s="125"/>
      <c r="J16" s="225" t="s">
        <v>1346</v>
      </c>
      <c r="K16" s="122"/>
      <c r="L16" s="122"/>
      <c r="M16" s="122"/>
      <c r="N16" s="122"/>
      <c r="O16" s="186"/>
      <c r="P16" s="217">
        <f>+L15*0.15</f>
        <v>0</v>
      </c>
      <c r="Q16" s="241">
        <v>5</v>
      </c>
      <c r="R16" s="125"/>
    </row>
    <row r="17" spans="2:18" ht="18">
      <c r="B17" s="226" t="s">
        <v>1347</v>
      </c>
      <c r="C17" s="186"/>
      <c r="D17" s="186"/>
      <c r="E17" s="186"/>
      <c r="F17" s="186"/>
      <c r="G17" s="186"/>
      <c r="H17" s="240"/>
      <c r="I17" s="125"/>
      <c r="J17" s="224" t="s">
        <v>1349</v>
      </c>
      <c r="K17" s="186"/>
      <c r="L17" s="186"/>
      <c r="M17" s="186"/>
      <c r="N17" s="186"/>
      <c r="O17" s="186"/>
      <c r="P17" s="186"/>
      <c r="Q17" s="240"/>
      <c r="R17" s="125"/>
    </row>
    <row r="18" spans="2:18" ht="18">
      <c r="B18" s="224" t="s">
        <v>1348</v>
      </c>
      <c r="C18" s="186"/>
      <c r="D18" s="186"/>
      <c r="E18" s="186"/>
      <c r="F18" s="186"/>
      <c r="G18" s="186"/>
      <c r="H18" s="240"/>
      <c r="I18" s="125"/>
      <c r="J18" s="225" t="s">
        <v>1569</v>
      </c>
      <c r="K18" s="186"/>
      <c r="L18" s="186"/>
      <c r="M18" s="186"/>
      <c r="N18" s="186"/>
      <c r="O18" s="186"/>
      <c r="P18" s="186"/>
      <c r="Q18" s="240"/>
      <c r="R18" s="125"/>
    </row>
    <row r="19" spans="2:18" ht="18">
      <c r="B19" s="225" t="s">
        <v>189</v>
      </c>
      <c r="C19" s="186"/>
      <c r="D19" s="217">
        <f>+'T1 GEN-2-3-4'!I117+'T1 GEN-2-3-4'!I118+'T1 GEN-2-3-4'!I123+'T1 GEN-2-3-4'!I124</f>
        <v>0</v>
      </c>
      <c r="E19" s="236">
        <v>3</v>
      </c>
      <c r="F19" s="186"/>
      <c r="G19" s="186"/>
      <c r="H19" s="240"/>
      <c r="I19" s="125"/>
      <c r="J19" s="225" t="s">
        <v>1774</v>
      </c>
      <c r="K19" s="122"/>
      <c r="L19" s="122"/>
      <c r="M19" s="122"/>
      <c r="N19" s="122"/>
      <c r="O19" s="186"/>
      <c r="P19" s="217">
        <f>+MAXA(0,(P10-P16))</f>
        <v>3619</v>
      </c>
      <c r="Q19" s="241">
        <v>6</v>
      </c>
      <c r="R19" s="125"/>
    </row>
    <row r="20" spans="2:18" ht="18">
      <c r="B20" s="227" t="s">
        <v>1394</v>
      </c>
      <c r="C20" s="186"/>
      <c r="D20" s="218">
        <f>+D16-D19</f>
        <v>0</v>
      </c>
      <c r="E20" s="186"/>
      <c r="F20" s="186"/>
      <c r="G20" s="217">
        <f>+D20</f>
        <v>0</v>
      </c>
      <c r="H20" s="241">
        <v>4</v>
      </c>
      <c r="I20" s="125"/>
      <c r="J20" s="225"/>
      <c r="K20" s="122"/>
      <c r="L20" s="122"/>
      <c r="M20" s="122"/>
      <c r="N20" s="122"/>
      <c r="O20" s="122"/>
      <c r="P20" s="122"/>
      <c r="Q20" s="245"/>
      <c r="R20" s="125"/>
    </row>
    <row r="21" spans="2:18" ht="18">
      <c r="B21" s="227" t="s">
        <v>190</v>
      </c>
      <c r="C21" s="122"/>
      <c r="D21" s="122"/>
      <c r="E21" s="122"/>
      <c r="F21" s="186"/>
      <c r="G21" s="218">
        <f>+G14-G20</f>
        <v>0</v>
      </c>
      <c r="H21" s="241">
        <v>5</v>
      </c>
      <c r="I21" s="125"/>
      <c r="J21" s="176"/>
      <c r="K21" s="125"/>
      <c r="L21" s="125"/>
      <c r="M21" s="125"/>
      <c r="N21" s="125"/>
      <c r="O21" s="125"/>
      <c r="P21" s="125"/>
      <c r="Q21" s="125"/>
      <c r="R21" s="125"/>
    </row>
    <row r="22" spans="2:18" ht="20.25">
      <c r="B22" s="224"/>
      <c r="C22" s="186"/>
      <c r="D22" s="186"/>
      <c r="E22" s="186"/>
      <c r="F22" s="186"/>
      <c r="G22" s="186"/>
      <c r="H22" s="241"/>
      <c r="I22" s="125"/>
      <c r="J22" s="223" t="s">
        <v>1948</v>
      </c>
      <c r="K22" s="130"/>
      <c r="L22" s="130"/>
      <c r="M22" s="130"/>
      <c r="N22" s="130"/>
      <c r="O22" s="130"/>
      <c r="P22" s="130"/>
      <c r="Q22" s="239"/>
      <c r="R22" s="125"/>
    </row>
    <row r="23" spans="2:18" ht="18">
      <c r="B23" s="228" t="s">
        <v>153</v>
      </c>
      <c r="C23" s="186"/>
      <c r="D23" s="186"/>
      <c r="E23" s="186"/>
      <c r="F23" s="186"/>
      <c r="G23" s="186"/>
      <c r="H23" s="241"/>
      <c r="I23" s="125"/>
      <c r="J23" s="224" t="s">
        <v>1949</v>
      </c>
      <c r="K23" s="186"/>
      <c r="L23" s="186"/>
      <c r="M23" s="186"/>
      <c r="N23" s="186"/>
      <c r="O23" s="186"/>
      <c r="P23" s="186"/>
      <c r="Q23" s="240"/>
      <c r="R23" s="125"/>
    </row>
    <row r="24" spans="2:18" ht="16.5">
      <c r="B24" s="228" t="s">
        <v>1297</v>
      </c>
      <c r="C24" s="186"/>
      <c r="D24" s="186"/>
      <c r="E24" s="186"/>
      <c r="F24" s="186"/>
      <c r="G24" s="186"/>
      <c r="H24" s="241"/>
      <c r="I24" s="125"/>
      <c r="J24" s="185"/>
      <c r="K24" s="186"/>
      <c r="L24" s="186"/>
      <c r="M24" s="186"/>
      <c r="N24" s="186"/>
      <c r="O24" s="186"/>
      <c r="P24" s="186"/>
      <c r="Q24" s="240"/>
      <c r="R24" s="125"/>
    </row>
    <row r="25" spans="2:18" ht="18">
      <c r="B25" s="229" t="s">
        <v>1322</v>
      </c>
      <c r="C25" s="122"/>
      <c r="D25" s="122"/>
      <c r="E25" s="122"/>
      <c r="F25" s="122"/>
      <c r="G25" s="122"/>
      <c r="H25" s="242"/>
      <c r="I25" s="125"/>
      <c r="J25" s="225" t="s">
        <v>191</v>
      </c>
      <c r="K25" s="122"/>
      <c r="L25" s="122"/>
      <c r="M25" s="122"/>
      <c r="N25" s="122"/>
      <c r="O25" s="186"/>
      <c r="P25" s="217">
        <v>6923</v>
      </c>
      <c r="Q25" s="241">
        <v>1</v>
      </c>
      <c r="R25" s="125"/>
    </row>
    <row r="26" spans="2:18" ht="18">
      <c r="B26" s="230"/>
      <c r="C26" s="125"/>
      <c r="D26" s="125"/>
      <c r="E26" s="125"/>
      <c r="F26" s="125"/>
      <c r="G26" s="125"/>
      <c r="H26" s="243"/>
      <c r="I26" s="125"/>
      <c r="J26" s="225" t="s">
        <v>192</v>
      </c>
      <c r="K26" s="122"/>
      <c r="L26" s="122"/>
      <c r="M26" s="122"/>
      <c r="N26" s="122"/>
      <c r="O26" s="186"/>
      <c r="P26" s="219"/>
      <c r="Q26" s="241">
        <v>2</v>
      </c>
      <c r="R26" s="125"/>
    </row>
    <row r="27" spans="2:18" ht="18">
      <c r="B27" s="222"/>
      <c r="C27" s="125"/>
      <c r="D27" s="125"/>
      <c r="E27" s="125"/>
      <c r="F27" s="125"/>
      <c r="G27" s="125"/>
      <c r="H27" s="243"/>
      <c r="I27" s="125"/>
      <c r="J27" s="225" t="s">
        <v>1570</v>
      </c>
      <c r="K27" s="122"/>
      <c r="L27" s="122"/>
      <c r="M27" s="122"/>
      <c r="N27" s="122"/>
      <c r="O27" s="186"/>
      <c r="P27" s="218">
        <f>MAXA(0,P25-P26)</f>
        <v>6923</v>
      </c>
      <c r="Q27" s="241" t="s">
        <v>303</v>
      </c>
      <c r="R27" s="125"/>
    </row>
    <row r="28" spans="2:18" ht="20.25">
      <c r="B28" s="223" t="s">
        <v>193</v>
      </c>
      <c r="C28" s="130"/>
      <c r="D28" s="130"/>
      <c r="E28" s="130"/>
      <c r="F28" s="130"/>
      <c r="G28" s="130"/>
      <c r="H28" s="244"/>
      <c r="I28" s="125"/>
      <c r="J28" s="226" t="s">
        <v>1325</v>
      </c>
      <c r="K28" s="130"/>
      <c r="L28" s="130"/>
      <c r="M28" s="130"/>
      <c r="N28" s="130"/>
      <c r="O28" s="186"/>
      <c r="P28" s="186"/>
      <c r="Q28" s="240"/>
      <c r="R28" s="125"/>
    </row>
    <row r="29" spans="2:18" ht="18">
      <c r="B29" s="224"/>
      <c r="C29" s="186"/>
      <c r="D29" s="186"/>
      <c r="E29" s="186"/>
      <c r="F29" s="186"/>
      <c r="G29" s="186"/>
      <c r="H29" s="241"/>
      <c r="I29" s="125"/>
      <c r="J29" s="224" t="s">
        <v>1326</v>
      </c>
      <c r="K29" s="186"/>
      <c r="L29" s="186"/>
      <c r="M29" s="186"/>
      <c r="N29" s="186"/>
      <c r="O29" s="186"/>
      <c r="P29" s="217">
        <f>MINA(6293,+P27)</f>
        <v>6293</v>
      </c>
      <c r="Q29" s="240"/>
      <c r="R29" s="125"/>
    </row>
    <row r="30" spans="2:18" ht="18">
      <c r="B30" s="225" t="s">
        <v>194</v>
      </c>
      <c r="C30" s="122"/>
      <c r="D30" s="122"/>
      <c r="E30" s="122"/>
      <c r="F30" s="186"/>
      <c r="G30" s="217">
        <f>+'T1 GEN-2-3-4'!I16</f>
        <v>0</v>
      </c>
      <c r="H30" s="241">
        <v>1</v>
      </c>
      <c r="I30" s="125"/>
      <c r="J30" s="224"/>
      <c r="K30" s="186"/>
      <c r="L30" s="186"/>
      <c r="M30" s="186"/>
      <c r="N30" s="186"/>
      <c r="O30" s="186"/>
      <c r="P30" s="186"/>
      <c r="Q30" s="240"/>
      <c r="R30" s="125"/>
    </row>
    <row r="31" spans="2:18" ht="18">
      <c r="B31" s="227" t="s">
        <v>196</v>
      </c>
      <c r="C31" s="122"/>
      <c r="D31" s="122"/>
      <c r="E31" s="122"/>
      <c r="F31" s="186"/>
      <c r="G31" s="218">
        <f>+'T1 GEN-2-3-4'!G37</f>
        <v>0</v>
      </c>
      <c r="H31" s="241">
        <v>2</v>
      </c>
      <c r="I31" s="125"/>
      <c r="J31" s="224" t="s">
        <v>195</v>
      </c>
      <c r="K31" s="122"/>
      <c r="L31" s="186"/>
      <c r="M31" s="186"/>
      <c r="N31" s="186"/>
      <c r="O31" s="186"/>
      <c r="P31" s="186"/>
      <c r="Q31" s="240"/>
      <c r="R31" s="125"/>
    </row>
    <row r="32" spans="2:18" ht="18">
      <c r="B32" s="227" t="s">
        <v>197</v>
      </c>
      <c r="C32" s="122"/>
      <c r="D32" s="122"/>
      <c r="E32" s="122"/>
      <c r="F32" s="186"/>
      <c r="G32" s="218">
        <f>+G30+G31</f>
        <v>0</v>
      </c>
      <c r="H32" s="241">
        <v>3</v>
      </c>
      <c r="I32" s="125"/>
      <c r="J32" s="9" t="s">
        <v>1888</v>
      </c>
      <c r="K32" s="7"/>
      <c r="L32" s="7"/>
      <c r="M32" s="7"/>
      <c r="N32" s="7"/>
      <c r="O32" s="8"/>
      <c r="P32" s="7"/>
      <c r="Q32" s="440"/>
      <c r="R32" s="125"/>
    </row>
    <row r="33" spans="2:18" ht="18">
      <c r="B33" s="226" t="s">
        <v>1953</v>
      </c>
      <c r="C33" s="186"/>
      <c r="D33" s="186"/>
      <c r="E33" s="186"/>
      <c r="F33" s="186"/>
      <c r="G33" s="186"/>
      <c r="H33" s="241"/>
      <c r="I33" s="125"/>
      <c r="J33" s="61" t="s">
        <v>1883</v>
      </c>
      <c r="K33" s="61"/>
      <c r="L33" s="61"/>
      <c r="M33" s="61"/>
      <c r="N33" s="61"/>
      <c r="O33" s="61"/>
      <c r="P33" s="439"/>
      <c r="Q33" s="441"/>
      <c r="R33" s="125"/>
    </row>
    <row r="34" spans="2:18" ht="18">
      <c r="B34" s="225" t="s">
        <v>1954</v>
      </c>
      <c r="C34" s="122"/>
      <c r="D34" s="122"/>
      <c r="E34" s="122"/>
      <c r="F34" s="186"/>
      <c r="G34" s="766">
        <f>'T4A-OAS'!E35</f>
        <v>0</v>
      </c>
      <c r="H34" s="241">
        <v>4</v>
      </c>
      <c r="I34" s="125"/>
      <c r="J34" s="176"/>
      <c r="K34" s="176"/>
      <c r="L34" s="176"/>
      <c r="M34" s="176"/>
      <c r="N34" s="176"/>
      <c r="O34" s="176"/>
      <c r="P34" s="176"/>
      <c r="Q34" s="176"/>
      <c r="R34" s="125"/>
    </row>
    <row r="35" spans="2:18" ht="20.25">
      <c r="B35" s="227" t="s">
        <v>199</v>
      </c>
      <c r="C35" s="122"/>
      <c r="D35" s="122"/>
      <c r="E35" s="122"/>
      <c r="F35" s="186"/>
      <c r="G35" s="218">
        <f>MAXA(0,(+G32-G34))</f>
        <v>0</v>
      </c>
      <c r="H35" s="241">
        <v>5</v>
      </c>
      <c r="I35" s="125"/>
      <c r="J35" s="223" t="s">
        <v>198</v>
      </c>
      <c r="K35" s="130"/>
      <c r="L35" s="130"/>
      <c r="M35" s="130"/>
      <c r="N35" s="130"/>
      <c r="O35" s="130"/>
      <c r="P35" s="130"/>
      <c r="Q35" s="239"/>
      <c r="R35" s="125"/>
    </row>
    <row r="36" spans="2:18" ht="20.25">
      <c r="B36" s="226"/>
      <c r="C36" s="186"/>
      <c r="D36" s="186"/>
      <c r="E36" s="186"/>
      <c r="F36" s="186"/>
      <c r="G36" s="186"/>
      <c r="H36" s="241"/>
      <c r="I36" s="125"/>
      <c r="J36" s="233" t="s">
        <v>200</v>
      </c>
      <c r="K36" s="186"/>
      <c r="L36" s="186"/>
      <c r="M36" s="186"/>
      <c r="N36" s="186"/>
      <c r="O36" s="186"/>
      <c r="P36" s="186"/>
      <c r="Q36" s="240"/>
      <c r="R36" s="125"/>
    </row>
    <row r="37" spans="2:18" ht="18">
      <c r="B37" s="224"/>
      <c r="C37" s="186"/>
      <c r="D37" s="186"/>
      <c r="E37" s="186"/>
      <c r="F37" s="186"/>
      <c r="G37" s="186"/>
      <c r="H37" s="241"/>
      <c r="I37" s="125"/>
      <c r="J37" s="224" t="s">
        <v>392</v>
      </c>
      <c r="K37" s="186"/>
      <c r="L37" s="186"/>
      <c r="M37" s="186"/>
      <c r="N37" s="186"/>
      <c r="O37" s="186"/>
      <c r="P37" s="186"/>
      <c r="Q37" s="240"/>
      <c r="R37" s="125"/>
    </row>
    <row r="38" spans="2:18" ht="18">
      <c r="B38" s="225" t="s">
        <v>202</v>
      </c>
      <c r="C38" s="122"/>
      <c r="D38" s="122"/>
      <c r="E38" s="122"/>
      <c r="F38" s="186"/>
      <c r="G38" s="217">
        <f>+'T1 GEN-2-3-4'!K80</f>
        <v>0</v>
      </c>
      <c r="H38" s="241">
        <v>6</v>
      </c>
      <c r="I38" s="125"/>
      <c r="J38" s="224" t="s">
        <v>201</v>
      </c>
      <c r="K38" s="186"/>
      <c r="L38" s="186"/>
      <c r="M38" s="186"/>
      <c r="N38" s="186"/>
      <c r="O38" s="155"/>
      <c r="P38" s="186"/>
      <c r="Q38" s="240"/>
      <c r="R38" s="125"/>
    </row>
    <row r="39" spans="2:18" ht="18">
      <c r="B39" s="226"/>
      <c r="C39" s="186"/>
      <c r="D39" s="186"/>
      <c r="E39" s="186"/>
      <c r="F39" s="186"/>
      <c r="G39" s="186"/>
      <c r="H39" s="241"/>
      <c r="I39" s="125"/>
      <c r="J39" s="224"/>
      <c r="K39" s="186"/>
      <c r="L39" s="186"/>
      <c r="M39" s="186"/>
      <c r="N39" s="249" t="s">
        <v>1880</v>
      </c>
      <c r="O39" s="155"/>
      <c r="P39" s="153" t="s">
        <v>1879</v>
      </c>
      <c r="Q39" s="240"/>
      <c r="R39" s="125"/>
    </row>
    <row r="40" spans="2:18" ht="18">
      <c r="B40" s="224"/>
      <c r="C40" s="186"/>
      <c r="D40" s="186"/>
      <c r="E40" s="186"/>
      <c r="F40" s="186"/>
      <c r="G40" s="186"/>
      <c r="H40" s="241"/>
      <c r="I40" s="125"/>
      <c r="J40" s="224" t="s">
        <v>1393</v>
      </c>
      <c r="K40" s="186"/>
      <c r="L40" s="186"/>
      <c r="M40" s="977">
        <v>8466</v>
      </c>
      <c r="N40" s="977"/>
      <c r="O40" s="186"/>
      <c r="P40" s="217">
        <v>8466</v>
      </c>
      <c r="Q40" s="241">
        <v>1</v>
      </c>
      <c r="R40" s="125"/>
    </row>
    <row r="41" spans="2:18" ht="18">
      <c r="B41" s="224" t="s">
        <v>1323</v>
      </c>
      <c r="C41" s="186"/>
      <c r="D41" s="186"/>
      <c r="E41" s="186"/>
      <c r="F41" s="186"/>
      <c r="G41" s="186"/>
      <c r="H41" s="241"/>
      <c r="I41" s="125"/>
      <c r="J41" s="224" t="s">
        <v>192</v>
      </c>
      <c r="K41" s="186"/>
      <c r="L41" s="186"/>
      <c r="M41" s="978"/>
      <c r="N41" s="978"/>
      <c r="O41" s="186"/>
      <c r="P41" s="220"/>
      <c r="Q41" s="241">
        <v>2</v>
      </c>
      <c r="R41" s="125"/>
    </row>
    <row r="42" spans="2:18" ht="18">
      <c r="B42" s="225" t="s">
        <v>1324</v>
      </c>
      <c r="C42" s="122"/>
      <c r="D42" s="122"/>
      <c r="E42" s="122"/>
      <c r="F42" s="186"/>
      <c r="G42" s="766">
        <f>'T4E'!E70</f>
        <v>0</v>
      </c>
      <c r="H42" s="241">
        <v>7</v>
      </c>
      <c r="I42" s="125"/>
      <c r="J42" s="224" t="s">
        <v>1330</v>
      </c>
      <c r="K42" s="186"/>
      <c r="L42" s="186"/>
      <c r="M42" s="186"/>
      <c r="N42" s="186"/>
      <c r="O42" s="186"/>
      <c r="P42" s="186"/>
      <c r="Q42" s="240"/>
      <c r="R42" s="125"/>
    </row>
    <row r="43" spans="2:18" ht="18">
      <c r="B43" s="227" t="s">
        <v>203</v>
      </c>
      <c r="C43" s="122"/>
      <c r="D43" s="122"/>
      <c r="E43" s="122"/>
      <c r="F43" s="186"/>
      <c r="G43" s="218">
        <f>+G38-G42</f>
        <v>0</v>
      </c>
      <c r="H43" s="241">
        <v>8</v>
      </c>
      <c r="I43" s="125"/>
      <c r="J43" s="224" t="s">
        <v>1327</v>
      </c>
      <c r="K43" s="186"/>
      <c r="L43" s="186"/>
      <c r="M43" s="977">
        <f>MAX(0,MINA(3500,M40-M41))</f>
        <v>3500</v>
      </c>
      <c r="N43" s="977"/>
      <c r="O43" s="186"/>
      <c r="P43" s="217">
        <f>MAX(0,MINA(3500,P40-P41))</f>
        <v>3500</v>
      </c>
      <c r="Q43" s="241">
        <v>3</v>
      </c>
      <c r="R43" s="125"/>
    </row>
    <row r="44" spans="2:18" ht="18">
      <c r="B44" s="227" t="s">
        <v>1393</v>
      </c>
      <c r="C44" s="122"/>
      <c r="D44" s="122"/>
      <c r="E44" s="122"/>
      <c r="F44" s="186"/>
      <c r="G44" s="218">
        <v>55309</v>
      </c>
      <c r="H44" s="241">
        <v>9</v>
      </c>
      <c r="I44" s="125"/>
      <c r="J44" s="224"/>
      <c r="K44" s="186"/>
      <c r="L44" s="186"/>
      <c r="M44" s="186"/>
      <c r="N44" s="186"/>
      <c r="O44" s="186"/>
      <c r="P44" s="186"/>
      <c r="Q44" s="240"/>
      <c r="R44" s="125"/>
    </row>
    <row r="45" spans="2:18" ht="18">
      <c r="B45" s="227" t="s">
        <v>1375</v>
      </c>
      <c r="C45" s="122"/>
      <c r="D45" s="122"/>
      <c r="E45" s="122"/>
      <c r="F45" s="186"/>
      <c r="G45" s="218">
        <f>MAXA(0,(G43-G44))</f>
        <v>0</v>
      </c>
      <c r="H45" s="241">
        <v>10</v>
      </c>
      <c r="I45" s="125"/>
      <c r="J45" s="228" t="s">
        <v>1374</v>
      </c>
      <c r="K45" s="186"/>
      <c r="L45" s="186"/>
      <c r="M45" s="186"/>
      <c r="N45" s="186"/>
      <c r="O45" s="186"/>
      <c r="P45" s="186"/>
      <c r="Q45" s="240"/>
      <c r="R45" s="125"/>
    </row>
    <row r="46" spans="2:18" ht="18">
      <c r="B46" s="227" t="s">
        <v>1377</v>
      </c>
      <c r="C46" s="122"/>
      <c r="D46" s="122"/>
      <c r="E46" s="122"/>
      <c r="F46" s="186"/>
      <c r="G46" s="218">
        <f>+G45*0.15</f>
        <v>0</v>
      </c>
      <c r="H46" s="241">
        <v>11</v>
      </c>
      <c r="I46" s="125"/>
      <c r="J46" s="228" t="s">
        <v>1328</v>
      </c>
      <c r="K46" s="186"/>
      <c r="L46" s="186"/>
      <c r="M46" s="979"/>
      <c r="N46" s="979"/>
      <c r="O46" s="186"/>
      <c r="P46" s="219"/>
      <c r="Q46" s="241">
        <v>4</v>
      </c>
      <c r="R46" s="125"/>
    </row>
    <row r="47" spans="2:18" ht="16.5">
      <c r="B47" s="231"/>
      <c r="C47" s="186"/>
      <c r="D47" s="186"/>
      <c r="E47" s="186"/>
      <c r="F47" s="186"/>
      <c r="G47" s="186"/>
      <c r="H47" s="241"/>
      <c r="I47" s="125"/>
      <c r="J47" s="228" t="s">
        <v>1378</v>
      </c>
      <c r="K47" s="186"/>
      <c r="L47" s="186"/>
      <c r="M47" s="186"/>
      <c r="N47" s="186"/>
      <c r="O47" s="186"/>
      <c r="P47" s="186"/>
      <c r="Q47" s="240"/>
      <c r="R47" s="125"/>
    </row>
    <row r="48" spans="2:18" ht="18">
      <c r="B48" s="224" t="s">
        <v>1379</v>
      </c>
      <c r="C48" s="186"/>
      <c r="D48" s="186"/>
      <c r="E48" s="186"/>
      <c r="F48" s="186"/>
      <c r="G48" s="186"/>
      <c r="H48" s="241"/>
      <c r="I48" s="125"/>
      <c r="J48" s="228" t="s">
        <v>199</v>
      </c>
      <c r="K48" s="186"/>
      <c r="L48" s="186"/>
      <c r="M48" s="976">
        <f>MAXA(0,(M43-M46))</f>
        <v>3500</v>
      </c>
      <c r="N48" s="976"/>
      <c r="O48" s="186"/>
      <c r="P48" s="217">
        <f>MAXA(0,(P43-P46))</f>
        <v>3500</v>
      </c>
      <c r="Q48" s="241">
        <v>5</v>
      </c>
      <c r="R48" s="125"/>
    </row>
    <row r="49" spans="2:18" ht="18">
      <c r="B49" s="225" t="s">
        <v>1380</v>
      </c>
      <c r="C49" s="122"/>
      <c r="D49" s="122"/>
      <c r="E49" s="122"/>
      <c r="F49" s="186"/>
      <c r="G49" s="217">
        <f>MINA(G35,G46)</f>
        <v>0</v>
      </c>
      <c r="H49" s="241">
        <v>12</v>
      </c>
      <c r="I49" s="125"/>
      <c r="J49" s="224"/>
      <c r="K49" s="186"/>
      <c r="L49" s="186"/>
      <c r="M49" s="186"/>
      <c r="N49" s="186"/>
      <c r="O49" s="186"/>
      <c r="P49" s="186"/>
      <c r="Q49" s="240"/>
      <c r="R49" s="125"/>
    </row>
    <row r="50" spans="2:18" ht="18">
      <c r="B50" s="227" t="s">
        <v>956</v>
      </c>
      <c r="C50" s="122"/>
      <c r="D50" s="122"/>
      <c r="E50" s="122"/>
      <c r="F50" s="186"/>
      <c r="G50" s="218">
        <f>+G42</f>
        <v>0</v>
      </c>
      <c r="H50" s="241">
        <v>13</v>
      </c>
      <c r="I50" s="125"/>
      <c r="J50" s="232" t="s">
        <v>955</v>
      </c>
      <c r="K50" s="186"/>
      <c r="L50" s="186"/>
      <c r="M50" s="186"/>
      <c r="N50" s="186"/>
      <c r="O50" s="186"/>
      <c r="P50" s="186"/>
      <c r="Q50" s="240"/>
      <c r="R50" s="125"/>
    </row>
    <row r="51" spans="2:18" ht="18">
      <c r="B51" s="226" t="s">
        <v>44</v>
      </c>
      <c r="C51" s="186"/>
      <c r="D51" s="186"/>
      <c r="E51" s="186"/>
      <c r="F51" s="186"/>
      <c r="G51" s="186"/>
      <c r="H51" s="241"/>
      <c r="I51" s="125"/>
      <c r="J51" s="224"/>
      <c r="K51" s="186"/>
      <c r="L51" s="186"/>
      <c r="M51" s="186"/>
      <c r="N51" s="186"/>
      <c r="O51" s="186"/>
      <c r="P51" s="186"/>
      <c r="Q51" s="240"/>
      <c r="R51" s="125"/>
    </row>
    <row r="52" spans="2:18" ht="18">
      <c r="B52" s="225" t="s">
        <v>45</v>
      </c>
      <c r="C52" s="122"/>
      <c r="D52" s="122"/>
      <c r="E52" s="122"/>
      <c r="F52" s="186"/>
      <c r="G52" s="217">
        <f>+G49+G50</f>
        <v>0</v>
      </c>
      <c r="H52" s="241">
        <v>14</v>
      </c>
      <c r="I52" s="125"/>
      <c r="J52" s="224" t="s">
        <v>1329</v>
      </c>
      <c r="K52" s="186"/>
      <c r="L52" s="186"/>
      <c r="M52" s="186"/>
      <c r="N52" s="186"/>
      <c r="O52" s="186"/>
      <c r="P52" s="186"/>
      <c r="Q52" s="240"/>
      <c r="R52" s="125"/>
    </row>
    <row r="53" spans="2:18" ht="18">
      <c r="B53" s="190"/>
      <c r="C53" s="122"/>
      <c r="D53" s="122"/>
      <c r="E53" s="122"/>
      <c r="F53" s="122"/>
      <c r="G53" s="122"/>
      <c r="H53" s="245"/>
      <c r="I53" s="125"/>
      <c r="J53" s="224" t="s">
        <v>46</v>
      </c>
      <c r="K53" s="186"/>
      <c r="L53" s="186"/>
      <c r="M53" s="186"/>
      <c r="N53" s="186"/>
      <c r="O53" s="792" t="s">
        <v>508</v>
      </c>
      <c r="P53" s="788">
        <f>M48+P48</f>
        <v>7000</v>
      </c>
      <c r="Q53" s="240"/>
      <c r="R53" s="125"/>
    </row>
    <row r="54" spans="2:18" ht="18">
      <c r="B54" s="186"/>
      <c r="C54" s="125"/>
      <c r="D54" s="125"/>
      <c r="E54" s="125"/>
      <c r="F54" s="125"/>
      <c r="G54" s="125"/>
      <c r="H54" s="125"/>
      <c r="I54" s="125"/>
      <c r="J54" s="9" t="s">
        <v>1726</v>
      </c>
      <c r="K54" s="9"/>
      <c r="L54" s="9"/>
      <c r="M54" s="9"/>
      <c r="N54" s="9"/>
      <c r="O54" s="9"/>
      <c r="P54" s="794"/>
      <c r="Q54" s="240"/>
      <c r="R54" s="125"/>
    </row>
    <row r="55" spans="2:18" ht="18">
      <c r="B55" s="186"/>
      <c r="C55" s="125"/>
      <c r="D55" s="125"/>
      <c r="E55" s="125"/>
      <c r="F55" s="125"/>
      <c r="G55" s="125"/>
      <c r="H55" s="125"/>
      <c r="I55" s="125"/>
      <c r="J55" s="9" t="s">
        <v>1727</v>
      </c>
      <c r="K55" s="793"/>
      <c r="L55" s="793"/>
      <c r="M55" s="793"/>
      <c r="N55" s="793"/>
      <c r="O55" s="793"/>
      <c r="P55" s="793"/>
      <c r="Q55" s="240"/>
      <c r="R55" s="125"/>
    </row>
    <row r="56" spans="2:18" ht="16.5">
      <c r="B56" s="186"/>
      <c r="C56" s="125"/>
      <c r="D56" s="125"/>
      <c r="E56" s="125"/>
      <c r="F56" s="125"/>
      <c r="G56" s="125"/>
      <c r="H56" s="125"/>
      <c r="I56" s="125"/>
      <c r="J56" s="228" t="s">
        <v>47</v>
      </c>
      <c r="K56" s="186"/>
      <c r="L56" s="186"/>
      <c r="M56" s="186"/>
      <c r="N56" s="186"/>
      <c r="O56" s="186"/>
      <c r="P56" s="186"/>
      <c r="Q56" s="240"/>
      <c r="R56" s="125"/>
    </row>
    <row r="57" spans="2:18" ht="16.5">
      <c r="B57" s="186"/>
      <c r="C57" s="125"/>
      <c r="D57" s="125"/>
      <c r="E57" s="125"/>
      <c r="F57" s="125"/>
      <c r="G57" s="125"/>
      <c r="H57" s="125"/>
      <c r="I57" s="125"/>
      <c r="J57" s="248"/>
      <c r="K57" s="122"/>
      <c r="L57" s="122"/>
      <c r="M57" s="122"/>
      <c r="N57" s="122"/>
      <c r="O57" s="122"/>
      <c r="P57" s="122"/>
      <c r="Q57" s="245"/>
      <c r="R57" s="125"/>
    </row>
    <row r="58" spans="2:18" ht="18">
      <c r="B58" s="186"/>
      <c r="C58" s="125"/>
      <c r="D58" s="125"/>
      <c r="E58" s="125"/>
      <c r="F58" s="125"/>
      <c r="G58" s="125"/>
      <c r="H58" s="243"/>
      <c r="I58" s="125"/>
      <c r="J58" s="176"/>
      <c r="K58" s="176"/>
      <c r="L58" s="176"/>
      <c r="M58" s="176"/>
      <c r="N58" s="176"/>
      <c r="O58" s="176"/>
      <c r="P58" s="176"/>
      <c r="Q58" s="176"/>
      <c r="R58" s="125"/>
    </row>
    <row r="59" spans="2:18" ht="18">
      <c r="B59" s="222"/>
      <c r="C59" s="125"/>
      <c r="D59" s="125"/>
      <c r="E59" s="125"/>
      <c r="F59" s="125"/>
      <c r="G59" s="125"/>
      <c r="H59" s="243"/>
      <c r="I59" s="125"/>
      <c r="J59" s="176"/>
      <c r="K59" s="125"/>
      <c r="L59" s="125"/>
      <c r="M59" s="125"/>
      <c r="N59" s="125"/>
      <c r="O59" s="125"/>
      <c r="P59" s="125"/>
      <c r="Q59" s="125"/>
      <c r="R59" s="125"/>
    </row>
    <row r="60" spans="2:18" ht="20.25">
      <c r="B60" s="223" t="s">
        <v>48</v>
      </c>
      <c r="C60" s="130"/>
      <c r="D60" s="130"/>
      <c r="E60" s="130"/>
      <c r="F60" s="130"/>
      <c r="G60" s="130"/>
      <c r="H60" s="244"/>
      <c r="I60" s="125"/>
      <c r="J60" s="223" t="s">
        <v>49</v>
      </c>
      <c r="K60" s="130"/>
      <c r="L60" s="130"/>
      <c r="M60" s="130"/>
      <c r="N60" s="130"/>
      <c r="O60" s="130"/>
      <c r="P60" s="130"/>
      <c r="Q60" s="239"/>
      <c r="R60" s="125"/>
    </row>
    <row r="61" spans="2:18" ht="20.25">
      <c r="B61" s="224"/>
      <c r="C61" s="186"/>
      <c r="D61" s="186"/>
      <c r="E61" s="186"/>
      <c r="F61" s="186"/>
      <c r="G61" s="186"/>
      <c r="H61" s="241"/>
      <c r="I61" s="125"/>
      <c r="J61" s="233" t="s">
        <v>1950</v>
      </c>
      <c r="K61" s="186"/>
      <c r="L61" s="186"/>
      <c r="M61" s="186"/>
      <c r="N61" s="186"/>
      <c r="O61" s="186"/>
      <c r="P61" s="186"/>
      <c r="Q61" s="240"/>
      <c r="R61" s="125"/>
    </row>
    <row r="62" spans="2:18" ht="18">
      <c r="B62" s="225" t="s">
        <v>50</v>
      </c>
      <c r="C62" s="122"/>
      <c r="D62" s="122"/>
      <c r="E62" s="122"/>
      <c r="F62" s="186"/>
      <c r="G62" s="217">
        <f>+'T1 GEN-2-3-4'!I19</f>
        <v>0</v>
      </c>
      <c r="H62" s="241">
        <v>1</v>
      </c>
      <c r="I62" s="125"/>
      <c r="J62" s="224"/>
      <c r="K62" s="186"/>
      <c r="L62" s="186"/>
      <c r="M62" s="186"/>
      <c r="N62" s="186"/>
      <c r="O62" s="186"/>
      <c r="P62" s="186"/>
      <c r="Q62" s="240"/>
      <c r="R62" s="125"/>
    </row>
    <row r="63" spans="2:18" ht="18">
      <c r="B63" s="224" t="s">
        <v>51</v>
      </c>
      <c r="C63" s="186"/>
      <c r="D63" s="186"/>
      <c r="E63" s="186"/>
      <c r="F63" s="186"/>
      <c r="G63" s="186"/>
      <c r="H63" s="241"/>
      <c r="I63" s="125"/>
      <c r="J63" s="225" t="s">
        <v>191</v>
      </c>
      <c r="K63" s="122"/>
      <c r="L63" s="122"/>
      <c r="M63" s="122"/>
      <c r="N63" s="122"/>
      <c r="O63" s="186"/>
      <c r="P63" s="217">
        <v>6000</v>
      </c>
      <c r="Q63" s="241">
        <v>1</v>
      </c>
      <c r="R63" s="125"/>
    </row>
    <row r="64" spans="2:18" ht="18">
      <c r="B64" s="224" t="s">
        <v>52</v>
      </c>
      <c r="C64" s="186"/>
      <c r="D64" s="186"/>
      <c r="E64" s="186"/>
      <c r="F64" s="186"/>
      <c r="G64" s="186"/>
      <c r="H64" s="241"/>
      <c r="I64" s="125"/>
      <c r="J64" s="224" t="s">
        <v>80</v>
      </c>
      <c r="K64" s="186"/>
      <c r="L64" s="186"/>
      <c r="M64" s="186"/>
      <c r="N64" s="186"/>
      <c r="O64" s="186"/>
      <c r="P64" s="186"/>
      <c r="Q64" s="240"/>
      <c r="R64" s="125"/>
    </row>
    <row r="65" spans="2:18" ht="18">
      <c r="B65" s="224" t="s">
        <v>917</v>
      </c>
      <c r="C65" s="186"/>
      <c r="D65" s="186"/>
      <c r="E65" s="186"/>
      <c r="F65" s="186"/>
      <c r="G65" s="186"/>
      <c r="H65" s="241"/>
      <c r="I65" s="125"/>
      <c r="J65" s="224" t="s">
        <v>562</v>
      </c>
      <c r="K65" s="186"/>
      <c r="L65" s="186"/>
      <c r="M65" s="186"/>
      <c r="N65" s="186"/>
      <c r="O65" s="186"/>
      <c r="P65" s="186"/>
      <c r="Q65" s="240"/>
      <c r="R65" s="125"/>
    </row>
    <row r="66" spans="2:18" ht="18">
      <c r="B66" s="224" t="s">
        <v>748</v>
      </c>
      <c r="C66" s="186"/>
      <c r="D66" s="186"/>
      <c r="E66" s="186"/>
      <c r="F66" s="186"/>
      <c r="G66" s="186"/>
      <c r="H66" s="241"/>
      <c r="I66" s="125"/>
      <c r="J66" s="225" t="s">
        <v>563</v>
      </c>
      <c r="K66" s="122"/>
      <c r="L66" s="122"/>
      <c r="M66" s="122"/>
      <c r="N66" s="122"/>
      <c r="O66" s="186"/>
      <c r="P66" s="219"/>
      <c r="Q66" s="251" t="s">
        <v>302</v>
      </c>
      <c r="R66" s="125"/>
    </row>
    <row r="67" spans="2:18" ht="18">
      <c r="B67" s="225" t="s">
        <v>1951</v>
      </c>
      <c r="C67" s="122"/>
      <c r="D67" s="122"/>
      <c r="E67" s="122"/>
      <c r="F67" s="186"/>
      <c r="G67" s="623">
        <f>MISC!L52</f>
        <v>0</v>
      </c>
      <c r="H67" s="241">
        <v>2</v>
      </c>
      <c r="I67" s="125"/>
      <c r="J67" s="225" t="s">
        <v>197</v>
      </c>
      <c r="K67" s="122"/>
      <c r="L67" s="122"/>
      <c r="M67" s="122"/>
      <c r="N67" s="122"/>
      <c r="O67" s="186"/>
      <c r="P67" s="218">
        <f>P63+P66</f>
        <v>6000</v>
      </c>
      <c r="Q67" s="251" t="s">
        <v>303</v>
      </c>
      <c r="R67" s="125"/>
    </row>
    <row r="68" spans="2:18" ht="18">
      <c r="B68" s="225" t="s">
        <v>197</v>
      </c>
      <c r="C68" s="122"/>
      <c r="D68" s="122"/>
      <c r="E68" s="122"/>
      <c r="F68" s="186"/>
      <c r="G68" s="218">
        <f>+G62+G67</f>
        <v>0</v>
      </c>
      <c r="H68" s="241">
        <v>3</v>
      </c>
      <c r="I68" s="125"/>
      <c r="J68" s="224" t="s">
        <v>775</v>
      </c>
      <c r="K68" s="186"/>
      <c r="L68" s="186"/>
      <c r="M68" s="186"/>
      <c r="N68" s="186"/>
      <c r="O68" s="186"/>
      <c r="P68" s="186"/>
      <c r="Q68" s="240"/>
      <c r="R68" s="125"/>
    </row>
    <row r="69" spans="2:18" ht="18">
      <c r="B69" s="224"/>
      <c r="C69" s="186"/>
      <c r="D69" s="186"/>
      <c r="E69" s="186"/>
      <c r="F69" s="186"/>
      <c r="G69" s="186"/>
      <c r="H69" s="241"/>
      <c r="I69" s="125"/>
      <c r="J69" s="225" t="s">
        <v>1571</v>
      </c>
      <c r="K69" s="122"/>
      <c r="L69" s="122"/>
      <c r="M69" s="122"/>
      <c r="N69" s="122"/>
      <c r="O69" s="186"/>
      <c r="P69" s="219"/>
      <c r="Q69" s="252" t="s">
        <v>304</v>
      </c>
      <c r="R69" s="125"/>
    </row>
    <row r="70" spans="2:18" ht="18">
      <c r="B70" s="224" t="s">
        <v>567</v>
      </c>
      <c r="C70" s="186"/>
      <c r="D70" s="186"/>
      <c r="E70" s="186"/>
      <c r="F70" s="186"/>
      <c r="G70" s="186"/>
      <c r="H70" s="241"/>
      <c r="I70" s="125"/>
      <c r="J70" s="227" t="s">
        <v>354</v>
      </c>
      <c r="K70" s="123"/>
      <c r="L70" s="123"/>
      <c r="M70" s="123"/>
      <c r="N70" s="123"/>
      <c r="O70" s="186"/>
      <c r="P70" s="218">
        <f>+P67+P69</f>
        <v>6000</v>
      </c>
      <c r="Q70" s="252" t="s">
        <v>305</v>
      </c>
      <c r="R70" s="125"/>
    </row>
    <row r="71" spans="2:18" ht="18">
      <c r="B71" s="224" t="s">
        <v>568</v>
      </c>
      <c r="C71" s="186"/>
      <c r="D71" s="186"/>
      <c r="E71" s="186"/>
      <c r="F71" s="186"/>
      <c r="G71" s="186"/>
      <c r="H71" s="241"/>
      <c r="I71" s="125"/>
      <c r="J71" s="224" t="s">
        <v>566</v>
      </c>
      <c r="K71" s="186"/>
      <c r="L71" s="186"/>
      <c r="M71" s="186"/>
      <c r="N71" s="186"/>
      <c r="O71" s="186"/>
      <c r="P71" s="186"/>
      <c r="Q71" s="240"/>
      <c r="R71" s="125"/>
    </row>
    <row r="72" spans="2:18" ht="18">
      <c r="B72" s="225" t="s">
        <v>569</v>
      </c>
      <c r="C72" s="186"/>
      <c r="D72" s="219"/>
      <c r="E72" s="236">
        <v>4</v>
      </c>
      <c r="F72" s="186"/>
      <c r="G72" s="186"/>
      <c r="H72" s="241"/>
      <c r="I72" s="125"/>
      <c r="J72" s="225" t="s">
        <v>564</v>
      </c>
      <c r="K72" s="122"/>
      <c r="L72" s="122"/>
      <c r="M72" s="122"/>
      <c r="N72" s="122"/>
      <c r="O72" s="186"/>
      <c r="P72" s="219"/>
      <c r="Q72" s="252" t="s">
        <v>306</v>
      </c>
      <c r="R72" s="125"/>
    </row>
    <row r="73" spans="2:18" ht="18">
      <c r="B73" s="224" t="s">
        <v>570</v>
      </c>
      <c r="C73" s="186"/>
      <c r="D73" s="186"/>
      <c r="E73" s="186"/>
      <c r="F73" s="186"/>
      <c r="G73" s="186"/>
      <c r="H73" s="241"/>
      <c r="I73" s="125"/>
      <c r="J73" s="227" t="s">
        <v>416</v>
      </c>
      <c r="K73" s="123"/>
      <c r="L73" s="123"/>
      <c r="M73" s="123"/>
      <c r="N73" s="123"/>
      <c r="O73" s="186"/>
      <c r="P73" s="218">
        <f>MAXA(0,(P70-P72))</f>
        <v>6000</v>
      </c>
      <c r="Q73" s="252" t="s">
        <v>1402</v>
      </c>
      <c r="R73" s="125"/>
    </row>
    <row r="74" spans="2:18" ht="18">
      <c r="B74" s="224" t="s">
        <v>571</v>
      </c>
      <c r="C74" s="186"/>
      <c r="D74" s="186"/>
      <c r="E74" s="186"/>
      <c r="F74" s="186"/>
      <c r="G74" s="186"/>
      <c r="H74" s="241"/>
      <c r="I74" s="125"/>
      <c r="J74" s="224" t="s">
        <v>1572</v>
      </c>
      <c r="K74" s="186"/>
      <c r="L74" s="186"/>
      <c r="M74" s="186"/>
      <c r="N74" s="186"/>
      <c r="O74" s="186"/>
      <c r="P74" s="186"/>
      <c r="Q74" s="240"/>
      <c r="R74" s="125"/>
    </row>
    <row r="75" spans="2:18" ht="18">
      <c r="B75" s="224" t="s">
        <v>1389</v>
      </c>
      <c r="C75" s="186"/>
      <c r="D75" s="186"/>
      <c r="E75" s="186"/>
      <c r="F75" s="186"/>
      <c r="G75" s="186"/>
      <c r="H75" s="241"/>
      <c r="I75" s="125"/>
      <c r="J75" s="225" t="s">
        <v>1573</v>
      </c>
      <c r="K75" s="186"/>
      <c r="L75" s="186"/>
      <c r="M75" s="186"/>
      <c r="N75" s="186"/>
      <c r="O75" s="186"/>
      <c r="P75" s="217">
        <f>MINA(P67,P73)</f>
        <v>6000</v>
      </c>
      <c r="Q75" s="240"/>
      <c r="R75" s="125"/>
    </row>
    <row r="76" spans="2:18" ht="18">
      <c r="B76" s="225" t="s">
        <v>1390</v>
      </c>
      <c r="C76" s="186"/>
      <c r="D76" s="219"/>
      <c r="E76" s="236">
        <v>5</v>
      </c>
      <c r="F76" s="186"/>
      <c r="G76" s="186"/>
      <c r="H76" s="241"/>
      <c r="I76" s="125"/>
      <c r="J76" s="224"/>
      <c r="K76" s="186"/>
      <c r="L76" s="186"/>
      <c r="M76" s="186"/>
      <c r="N76" s="186"/>
      <c r="O76" s="186"/>
      <c r="P76" s="186"/>
      <c r="Q76" s="240"/>
      <c r="R76" s="125"/>
    </row>
    <row r="77" spans="2:18" ht="18">
      <c r="B77" s="227" t="s">
        <v>1225</v>
      </c>
      <c r="C77" s="186"/>
      <c r="D77" s="218">
        <f>+D72+D76</f>
        <v>0</v>
      </c>
      <c r="E77" s="186"/>
      <c r="F77" s="186"/>
      <c r="G77" s="217">
        <f>+D77</f>
        <v>0</v>
      </c>
      <c r="H77" s="241">
        <v>6</v>
      </c>
      <c r="I77" s="125"/>
      <c r="J77" s="224"/>
      <c r="K77" s="186"/>
      <c r="L77" s="186"/>
      <c r="M77" s="186"/>
      <c r="N77" s="796" t="s">
        <v>1917</v>
      </c>
      <c r="O77" s="186"/>
      <c r="P77" s="219">
        <f>P75</f>
        <v>6000</v>
      </c>
      <c r="Q77" s="240"/>
      <c r="R77" s="125"/>
    </row>
    <row r="78" spans="2:18" ht="18">
      <c r="B78" s="225" t="s">
        <v>1575</v>
      </c>
      <c r="C78" s="122"/>
      <c r="D78" s="122"/>
      <c r="E78" s="122"/>
      <c r="F78" s="186"/>
      <c r="G78" s="218">
        <f>+G68-G77</f>
        <v>0</v>
      </c>
      <c r="H78" s="241">
        <v>7</v>
      </c>
      <c r="I78" s="125"/>
      <c r="J78" s="9" t="s">
        <v>1919</v>
      </c>
      <c r="K78" s="9"/>
      <c r="L78" s="9"/>
      <c r="M78" s="9"/>
      <c r="N78" s="9"/>
      <c r="O78" s="9"/>
      <c r="P78" s="9"/>
      <c r="Q78" s="240"/>
      <c r="R78" s="125"/>
    </row>
    <row r="79" spans="2:18" ht="18">
      <c r="B79" s="224"/>
      <c r="C79" s="186"/>
      <c r="D79" s="186"/>
      <c r="E79" s="186"/>
      <c r="F79" s="186"/>
      <c r="G79" s="186"/>
      <c r="H79" s="241"/>
      <c r="I79" s="125"/>
      <c r="J79" s="61" t="s">
        <v>1920</v>
      </c>
      <c r="K79" s="61"/>
      <c r="L79" s="61"/>
      <c r="M79" s="61"/>
      <c r="N79" s="61"/>
      <c r="O79" s="61"/>
      <c r="P79" s="61"/>
      <c r="Q79" s="245"/>
      <c r="R79" s="125"/>
    </row>
    <row r="80" spans="2:18" ht="18">
      <c r="B80" s="224" t="s">
        <v>1577</v>
      </c>
      <c r="C80" s="186"/>
      <c r="D80" s="186"/>
      <c r="E80" s="186"/>
      <c r="F80" s="186"/>
      <c r="G80" s="186"/>
      <c r="H80" s="241"/>
      <c r="I80" s="125"/>
      <c r="J80" s="176"/>
      <c r="K80" s="125"/>
      <c r="L80" s="125"/>
      <c r="M80" s="125"/>
      <c r="N80" s="125"/>
      <c r="O80" s="125"/>
      <c r="P80" s="125"/>
      <c r="Q80" s="125"/>
      <c r="R80" s="125"/>
    </row>
    <row r="81" spans="2:18" ht="20.25">
      <c r="B81" s="224" t="s">
        <v>1215</v>
      </c>
      <c r="C81" s="186"/>
      <c r="D81" s="186"/>
      <c r="E81" s="186"/>
      <c r="F81" s="186"/>
      <c r="G81" s="217">
        <f>MINA(1000,G78)</f>
        <v>0</v>
      </c>
      <c r="H81" s="241"/>
      <c r="I81" s="125"/>
      <c r="J81" s="223" t="s">
        <v>1574</v>
      </c>
      <c r="K81" s="130"/>
      <c r="L81" s="130"/>
      <c r="M81" s="130"/>
      <c r="N81" s="130"/>
      <c r="O81" s="130"/>
      <c r="P81" s="130"/>
      <c r="Q81" s="239"/>
      <c r="R81" s="125"/>
    </row>
    <row r="82" spans="2:18" ht="20.25">
      <c r="B82" s="225"/>
      <c r="C82" s="122"/>
      <c r="D82" s="122"/>
      <c r="E82" s="122"/>
      <c r="F82" s="122"/>
      <c r="G82" s="122"/>
      <c r="H82" s="242"/>
      <c r="I82" s="125"/>
      <c r="J82" s="233" t="s">
        <v>1576</v>
      </c>
      <c r="K82" s="186"/>
      <c r="L82" s="186"/>
      <c r="M82" s="186"/>
      <c r="N82" s="186"/>
      <c r="O82" s="186"/>
      <c r="P82" s="186"/>
      <c r="Q82" s="240"/>
      <c r="R82" s="125"/>
    </row>
    <row r="83" spans="2:18" ht="18">
      <c r="B83" s="222"/>
      <c r="C83" s="125"/>
      <c r="D83" s="125"/>
      <c r="E83" s="125"/>
      <c r="F83" s="125"/>
      <c r="G83" s="125"/>
      <c r="H83" s="243"/>
      <c r="I83" s="125"/>
      <c r="J83" s="224"/>
      <c r="K83" s="186"/>
      <c r="L83" s="186"/>
      <c r="M83" s="186"/>
      <c r="N83" s="186"/>
      <c r="O83" s="186"/>
      <c r="P83" s="186"/>
      <c r="Q83" s="240"/>
      <c r="R83" s="125"/>
    </row>
    <row r="84" spans="2:18" ht="20.25">
      <c r="B84" s="223" t="s">
        <v>1579</v>
      </c>
      <c r="C84" s="130"/>
      <c r="D84" s="130"/>
      <c r="E84" s="130"/>
      <c r="F84" s="130"/>
      <c r="G84" s="130"/>
      <c r="H84" s="244"/>
      <c r="I84" s="125"/>
      <c r="J84" s="224" t="s">
        <v>1403</v>
      </c>
      <c r="K84" s="186"/>
      <c r="L84" s="186"/>
      <c r="M84" s="186"/>
      <c r="N84" s="186"/>
      <c r="O84" s="186"/>
      <c r="P84" s="186"/>
      <c r="Q84" s="240"/>
      <c r="R84" s="125"/>
    </row>
    <row r="85" spans="2:18" ht="18">
      <c r="B85" s="224"/>
      <c r="C85" s="186"/>
      <c r="D85" s="186"/>
      <c r="E85" s="186"/>
      <c r="F85" s="186"/>
      <c r="G85" s="186"/>
      <c r="H85" s="241"/>
      <c r="I85" s="125"/>
      <c r="J85" s="224"/>
      <c r="K85" s="186"/>
      <c r="L85" s="186"/>
      <c r="M85" s="186"/>
      <c r="N85" s="186"/>
      <c r="O85" s="186"/>
      <c r="P85" s="186"/>
      <c r="Q85" s="240"/>
      <c r="R85" s="125"/>
    </row>
    <row r="86" spans="2:18" ht="18">
      <c r="B86" s="224" t="s">
        <v>1560</v>
      </c>
      <c r="C86" s="186"/>
      <c r="D86" s="186"/>
      <c r="E86" s="186"/>
      <c r="F86" s="186"/>
      <c r="G86" s="186"/>
      <c r="H86" s="241"/>
      <c r="I86" s="125"/>
      <c r="J86" s="225" t="s">
        <v>1578</v>
      </c>
      <c r="K86" s="122"/>
      <c r="L86" s="122"/>
      <c r="M86" s="122"/>
      <c r="N86" s="122"/>
      <c r="O86" s="186"/>
      <c r="P86" s="219"/>
      <c r="Q86" s="241">
        <v>1</v>
      </c>
      <c r="R86" s="125"/>
    </row>
    <row r="87" spans="2:18" ht="18">
      <c r="B87" s="224" t="s">
        <v>308</v>
      </c>
      <c r="C87" s="186"/>
      <c r="D87" s="186"/>
      <c r="E87" s="186"/>
      <c r="F87" s="186"/>
      <c r="G87" s="186"/>
      <c r="H87" s="241"/>
      <c r="I87" s="125"/>
      <c r="J87" s="224"/>
      <c r="K87" s="186"/>
      <c r="L87" s="186"/>
      <c r="M87" s="186"/>
      <c r="N87" s="186"/>
      <c r="O87" s="186"/>
      <c r="P87" s="186"/>
      <c r="Q87" s="240"/>
      <c r="R87" s="125"/>
    </row>
    <row r="88" spans="2:18" ht="18">
      <c r="B88" s="224"/>
      <c r="C88" s="186"/>
      <c r="D88" s="186"/>
      <c r="E88" s="186"/>
      <c r="F88" s="186"/>
      <c r="G88" s="186"/>
      <c r="H88" s="241"/>
      <c r="I88" s="125"/>
      <c r="J88" s="225" t="s">
        <v>292</v>
      </c>
      <c r="K88" s="122"/>
      <c r="L88" s="122"/>
      <c r="M88" s="122"/>
      <c r="N88" s="122"/>
      <c r="O88" s="186"/>
      <c r="P88" s="217">
        <f>(3/12)*MINA(P86+0,200)+(2/12)*MINA(P86+0,550)+(4/12)*MINA(P86+0,1075)</f>
        <v>0</v>
      </c>
      <c r="Q88" s="251" t="s">
        <v>1402</v>
      </c>
      <c r="R88" s="125"/>
    </row>
    <row r="89" spans="2:18" ht="18">
      <c r="B89" s="224"/>
      <c r="C89" s="186"/>
      <c r="D89" s="186"/>
      <c r="E89" s="186"/>
      <c r="F89" s="186"/>
      <c r="G89" s="186"/>
      <c r="H89" s="241"/>
      <c r="I89" s="125"/>
      <c r="J89" s="225"/>
      <c r="K89" s="122"/>
      <c r="L89" s="122"/>
      <c r="M89" s="122"/>
      <c r="N89" s="122"/>
      <c r="O89" s="122"/>
      <c r="P89" s="122"/>
      <c r="Q89" s="245"/>
      <c r="R89" s="125"/>
    </row>
    <row r="90" spans="2:18" ht="18">
      <c r="B90" s="225" t="s">
        <v>1393</v>
      </c>
      <c r="C90" s="122"/>
      <c r="D90" s="122"/>
      <c r="E90" s="122"/>
      <c r="F90" s="186"/>
      <c r="G90" s="217">
        <v>15453</v>
      </c>
      <c r="H90" s="241">
        <v>1</v>
      </c>
      <c r="I90" s="125"/>
      <c r="J90" s="176"/>
      <c r="K90" s="130"/>
      <c r="L90" s="130"/>
      <c r="M90" s="130"/>
      <c r="N90" s="130"/>
      <c r="O90" s="130"/>
      <c r="P90" s="186"/>
      <c r="Q90" s="125"/>
      <c r="R90" s="125"/>
    </row>
    <row r="91" spans="2:18" ht="20.25">
      <c r="B91" s="227" t="s">
        <v>192</v>
      </c>
      <c r="C91" s="122"/>
      <c r="D91" s="122"/>
      <c r="E91" s="122"/>
      <c r="F91" s="186"/>
      <c r="G91" s="220"/>
      <c r="H91" s="241">
        <v>2</v>
      </c>
      <c r="I91" s="125"/>
      <c r="J91" s="223" t="s">
        <v>294</v>
      </c>
      <c r="K91" s="130"/>
      <c r="L91" s="130"/>
      <c r="M91" s="130"/>
      <c r="N91" s="130"/>
      <c r="O91" s="130"/>
      <c r="P91" s="130"/>
      <c r="Q91" s="239"/>
      <c r="R91" s="125"/>
    </row>
    <row r="92" spans="2:18" ht="20.25">
      <c r="B92" s="226" t="s">
        <v>1330</v>
      </c>
      <c r="C92" s="130"/>
      <c r="D92" s="130"/>
      <c r="E92" s="130"/>
      <c r="F92" s="186"/>
      <c r="G92" s="186"/>
      <c r="H92" s="240"/>
      <c r="I92" s="125"/>
      <c r="J92" s="233" t="s">
        <v>293</v>
      </c>
      <c r="K92" s="186"/>
      <c r="L92" s="186"/>
      <c r="M92" s="186"/>
      <c r="N92" s="186"/>
      <c r="O92" s="186"/>
      <c r="P92" s="186"/>
      <c r="Q92" s="240"/>
      <c r="R92" s="125"/>
    </row>
    <row r="93" spans="2:18" ht="18">
      <c r="B93" s="225" t="s">
        <v>1301</v>
      </c>
      <c r="C93" s="122"/>
      <c r="D93" s="122"/>
      <c r="E93" s="122"/>
      <c r="F93" s="186"/>
      <c r="G93" s="217">
        <f>MINA(3500,(G90-G91))</f>
        <v>3500</v>
      </c>
      <c r="H93" s="241">
        <v>3</v>
      </c>
      <c r="I93" s="125"/>
      <c r="J93" s="224"/>
      <c r="K93" s="186"/>
      <c r="L93" s="186"/>
      <c r="M93" s="186"/>
      <c r="N93" s="186"/>
      <c r="O93" s="186"/>
      <c r="P93" s="186"/>
      <c r="Q93" s="240"/>
      <c r="R93" s="125"/>
    </row>
    <row r="94" spans="2:18" ht="18">
      <c r="B94" s="224"/>
      <c r="C94" s="186"/>
      <c r="D94" s="186"/>
      <c r="E94" s="186"/>
      <c r="F94" s="186"/>
      <c r="G94" s="186"/>
      <c r="H94" s="240"/>
      <c r="I94" s="125"/>
      <c r="J94" s="225" t="s">
        <v>1947</v>
      </c>
      <c r="K94" s="122"/>
      <c r="L94" s="122"/>
      <c r="M94" s="122"/>
      <c r="N94" s="122"/>
      <c r="O94" s="186"/>
      <c r="P94" s="217">
        <f>'T1 GEN-2-3-4'!K84</f>
        <v>0</v>
      </c>
      <c r="Q94" s="252" t="s">
        <v>661</v>
      </c>
      <c r="R94" s="125"/>
    </row>
    <row r="95" spans="2:18" ht="18">
      <c r="B95" s="224" t="s">
        <v>1374</v>
      </c>
      <c r="C95" s="186"/>
      <c r="D95" s="186"/>
      <c r="E95" s="186"/>
      <c r="F95" s="186"/>
      <c r="G95" s="186"/>
      <c r="H95" s="240"/>
      <c r="I95" s="125"/>
      <c r="J95" s="224" t="s">
        <v>393</v>
      </c>
      <c r="K95" s="186"/>
      <c r="L95" s="186"/>
      <c r="M95" s="186"/>
      <c r="N95" s="186"/>
      <c r="O95" s="186"/>
      <c r="P95" s="186"/>
      <c r="Q95" s="240"/>
      <c r="R95" s="125"/>
    </row>
    <row r="96" spans="2:18" ht="18">
      <c r="B96" s="225" t="s">
        <v>1376</v>
      </c>
      <c r="C96" s="122"/>
      <c r="D96" s="122"/>
      <c r="E96" s="122"/>
      <c r="F96" s="186"/>
      <c r="G96" s="219">
        <v>2500</v>
      </c>
      <c r="H96" s="241">
        <v>4</v>
      </c>
      <c r="I96" s="125"/>
      <c r="J96" s="225" t="s">
        <v>295</v>
      </c>
      <c r="K96" s="122"/>
      <c r="L96" s="122"/>
      <c r="M96" s="122"/>
      <c r="N96" s="122"/>
      <c r="O96" s="186"/>
      <c r="P96" s="217">
        <f>'T1 GEN-1'!U30</f>
        <v>0</v>
      </c>
      <c r="Q96" s="252" t="s">
        <v>302</v>
      </c>
      <c r="R96" s="125"/>
    </row>
    <row r="97" spans="2:18" ht="18">
      <c r="B97" s="226" t="s">
        <v>1378</v>
      </c>
      <c r="C97" s="186"/>
      <c r="D97" s="186"/>
      <c r="E97" s="186"/>
      <c r="F97" s="186"/>
      <c r="G97" s="186"/>
      <c r="H97" s="240"/>
      <c r="I97" s="125"/>
      <c r="J97" s="225" t="s">
        <v>197</v>
      </c>
      <c r="K97" s="122"/>
      <c r="L97" s="122"/>
      <c r="M97" s="122"/>
      <c r="N97" s="122"/>
      <c r="O97" s="186"/>
      <c r="P97" s="218">
        <f>P94+P96</f>
        <v>0</v>
      </c>
      <c r="Q97" s="251" t="s">
        <v>303</v>
      </c>
      <c r="R97" s="125"/>
    </row>
    <row r="98" spans="2:18" ht="18">
      <c r="B98" s="225" t="s">
        <v>199</v>
      </c>
      <c r="C98" s="122"/>
      <c r="D98" s="122"/>
      <c r="E98" s="122"/>
      <c r="F98" s="186"/>
      <c r="G98" s="217">
        <f>MAXA(0,(+G93-G96))</f>
        <v>1000</v>
      </c>
      <c r="H98" s="241">
        <v>5</v>
      </c>
      <c r="I98" s="125"/>
      <c r="J98" s="225" t="s">
        <v>1393</v>
      </c>
      <c r="K98" s="122"/>
      <c r="L98" s="122"/>
      <c r="M98" s="122"/>
      <c r="N98" s="122"/>
      <c r="O98" s="186"/>
      <c r="P98" s="218">
        <v>19705</v>
      </c>
      <c r="Q98" s="252" t="s">
        <v>304</v>
      </c>
      <c r="R98" s="125"/>
    </row>
    <row r="99" spans="2:18" ht="18">
      <c r="B99" s="232" t="s">
        <v>955</v>
      </c>
      <c r="C99" s="186"/>
      <c r="D99" s="186"/>
      <c r="E99" s="186"/>
      <c r="F99" s="186"/>
      <c r="G99" s="186"/>
      <c r="H99" s="241"/>
      <c r="I99" s="125"/>
      <c r="J99" s="225" t="s">
        <v>296</v>
      </c>
      <c r="K99" s="122"/>
      <c r="L99" s="122"/>
      <c r="M99" s="122"/>
      <c r="N99" s="122"/>
      <c r="O99" s="186"/>
      <c r="P99" s="218">
        <f>MAXA(0,(P97-P98))</f>
        <v>0</v>
      </c>
      <c r="Q99" s="251" t="s">
        <v>305</v>
      </c>
      <c r="R99" s="125"/>
    </row>
    <row r="100" spans="2:18" ht="18">
      <c r="B100" s="224"/>
      <c r="C100" s="186"/>
      <c r="D100" s="186"/>
      <c r="E100" s="186"/>
      <c r="F100" s="186"/>
      <c r="G100" s="186"/>
      <c r="H100" s="241"/>
      <c r="I100" s="125"/>
      <c r="J100" s="232"/>
      <c r="K100" s="186"/>
      <c r="L100" s="186"/>
      <c r="M100" s="186"/>
      <c r="N100" s="186"/>
      <c r="O100" s="186"/>
      <c r="P100" s="186"/>
      <c r="Q100" s="240"/>
      <c r="R100" s="125"/>
    </row>
    <row r="101" spans="2:18" ht="18">
      <c r="B101" s="224" t="s">
        <v>1881</v>
      </c>
      <c r="C101" s="186"/>
      <c r="D101" s="186"/>
      <c r="E101" s="186"/>
      <c r="F101" s="186"/>
      <c r="G101" s="219">
        <f>G98</f>
        <v>1000</v>
      </c>
      <c r="H101" s="241"/>
      <c r="I101" s="125"/>
      <c r="J101" s="224" t="s">
        <v>297</v>
      </c>
      <c r="K101" s="186"/>
      <c r="L101" s="186"/>
      <c r="M101" s="186"/>
      <c r="N101" s="186"/>
      <c r="O101" s="186"/>
      <c r="P101" s="186"/>
      <c r="Q101" s="240"/>
      <c r="R101" s="125"/>
    </row>
    <row r="102" spans="2:18" ht="18">
      <c r="B102" s="224" t="s">
        <v>1882</v>
      </c>
      <c r="C102" s="186"/>
      <c r="D102" s="186"/>
      <c r="E102" s="186"/>
      <c r="F102" s="186"/>
      <c r="G102" s="186"/>
      <c r="H102" s="241"/>
      <c r="I102" s="125"/>
      <c r="J102" s="225" t="s">
        <v>298</v>
      </c>
      <c r="K102" s="122"/>
      <c r="L102" s="122"/>
      <c r="M102" s="122"/>
      <c r="N102" s="122"/>
      <c r="O102" s="186"/>
      <c r="P102" s="217">
        <f>MINA(520,0.25*Sch1!H48)</f>
        <v>0</v>
      </c>
      <c r="Q102" s="251" t="s">
        <v>306</v>
      </c>
      <c r="R102" s="125"/>
    </row>
    <row r="103" spans="2:18" ht="18">
      <c r="B103" s="224" t="s">
        <v>47</v>
      </c>
      <c r="C103" s="186"/>
      <c r="D103" s="186"/>
      <c r="E103" s="186"/>
      <c r="F103" s="186"/>
      <c r="G103" s="186"/>
      <c r="H103" s="241"/>
      <c r="I103" s="125"/>
      <c r="J103" s="225" t="s">
        <v>299</v>
      </c>
      <c r="K103" s="122"/>
      <c r="L103" s="122"/>
      <c r="M103" s="122"/>
      <c r="N103" s="122"/>
      <c r="O103" s="186"/>
      <c r="P103" s="218">
        <f>0.05*P99</f>
        <v>0</v>
      </c>
      <c r="Q103" s="252" t="s">
        <v>1402</v>
      </c>
      <c r="R103" s="125"/>
    </row>
    <row r="104" spans="2:18" ht="18">
      <c r="B104" s="767"/>
      <c r="C104" s="186"/>
      <c r="D104" s="186"/>
      <c r="E104" s="186"/>
      <c r="F104" s="186"/>
      <c r="G104" s="186"/>
      <c r="H104" s="241"/>
      <c r="I104" s="125"/>
      <c r="J104" s="224" t="s">
        <v>300</v>
      </c>
      <c r="K104" s="186"/>
      <c r="L104" s="186"/>
      <c r="M104" s="186"/>
      <c r="N104" s="186"/>
      <c r="O104" s="186"/>
      <c r="P104" s="186"/>
      <c r="Q104" s="240"/>
      <c r="R104" s="125"/>
    </row>
    <row r="105" spans="2:18" ht="18">
      <c r="B105" s="9" t="s">
        <v>1887</v>
      </c>
      <c r="C105" s="7"/>
      <c r="D105" s="7"/>
      <c r="E105" s="7"/>
      <c r="F105" s="7"/>
      <c r="G105" s="8"/>
      <c r="H105" s="241"/>
      <c r="I105" s="125"/>
      <c r="J105" s="225" t="s">
        <v>301</v>
      </c>
      <c r="K105" s="122"/>
      <c r="L105" s="122"/>
      <c r="M105" s="122"/>
      <c r="N105" s="122"/>
      <c r="O105" s="186"/>
      <c r="P105" s="217">
        <f>MAXA(0,(P102-P103))</f>
        <v>0</v>
      </c>
      <c r="Q105" s="252" t="s">
        <v>307</v>
      </c>
      <c r="R105" s="125"/>
    </row>
    <row r="106" spans="2:18" ht="18">
      <c r="B106" s="9" t="s">
        <v>1884</v>
      </c>
      <c r="C106" s="9"/>
      <c r="D106" s="9"/>
      <c r="E106" s="9"/>
      <c r="F106" s="9"/>
      <c r="G106" s="9"/>
      <c r="H106" s="241"/>
      <c r="I106" s="125"/>
      <c r="J106" s="224"/>
      <c r="K106" s="186"/>
      <c r="L106" s="186"/>
      <c r="M106" s="186"/>
      <c r="N106" s="186"/>
      <c r="O106" s="186"/>
      <c r="P106" s="186"/>
      <c r="Q106" s="240"/>
      <c r="R106" s="125"/>
    </row>
    <row r="107" spans="2:18" ht="18">
      <c r="B107" s="225"/>
      <c r="C107" s="122"/>
      <c r="D107" s="122"/>
      <c r="E107" s="122"/>
      <c r="F107" s="122"/>
      <c r="G107" s="122"/>
      <c r="H107" s="242"/>
      <c r="I107" s="125"/>
      <c r="J107" s="224"/>
      <c r="K107" s="186"/>
      <c r="L107" s="186"/>
      <c r="M107" s="186"/>
      <c r="N107" s="186"/>
      <c r="O107" s="186"/>
      <c r="P107" s="186"/>
      <c r="Q107" s="240"/>
      <c r="R107" s="125"/>
    </row>
    <row r="108" spans="2:18" ht="18">
      <c r="B108" s="222"/>
      <c r="C108" s="125"/>
      <c r="D108" s="125"/>
      <c r="E108" s="125"/>
      <c r="F108" s="125"/>
      <c r="G108" s="125"/>
      <c r="H108" s="125"/>
      <c r="I108" s="186"/>
      <c r="J108" s="224"/>
      <c r="K108" s="186"/>
      <c r="L108" s="186"/>
      <c r="M108" s="186"/>
      <c r="N108" s="186"/>
      <c r="O108" s="186"/>
      <c r="P108" s="186"/>
      <c r="Q108" s="241"/>
      <c r="R108" s="125"/>
    </row>
    <row r="109" spans="2:18" ht="20.25">
      <c r="B109" s="223" t="s">
        <v>1302</v>
      </c>
      <c r="C109" s="130"/>
      <c r="D109" s="130"/>
      <c r="E109" s="130"/>
      <c r="F109" s="130"/>
      <c r="G109" s="130"/>
      <c r="H109" s="239"/>
      <c r="I109" s="125"/>
      <c r="J109" s="225"/>
      <c r="K109" s="122"/>
      <c r="L109" s="122"/>
      <c r="M109" s="122"/>
      <c r="N109" s="122"/>
      <c r="O109" s="122"/>
      <c r="P109" s="122"/>
      <c r="Q109" s="245"/>
      <c r="R109" s="125"/>
    </row>
    <row r="110" spans="2:18" ht="20.25">
      <c r="B110" s="233" t="s">
        <v>1303</v>
      </c>
      <c r="C110" s="200"/>
      <c r="D110" s="200"/>
      <c r="E110" s="200"/>
      <c r="F110" s="200"/>
      <c r="G110" s="200"/>
      <c r="H110" s="215"/>
      <c r="I110" s="173"/>
      <c r="J110" s="176"/>
      <c r="K110" s="125"/>
      <c r="L110" s="125"/>
      <c r="M110" s="125"/>
      <c r="N110" s="125"/>
      <c r="O110" s="125"/>
      <c r="P110" s="125"/>
      <c r="Q110" s="125"/>
      <c r="R110" s="125"/>
    </row>
    <row r="111" spans="2:18" ht="18">
      <c r="B111" s="224"/>
      <c r="C111" s="200"/>
      <c r="D111" s="200"/>
      <c r="E111" s="200"/>
      <c r="F111" s="200"/>
      <c r="G111" s="200"/>
      <c r="H111" s="215"/>
      <c r="I111" s="173"/>
      <c r="J111" s="176"/>
      <c r="K111" s="125"/>
      <c r="L111" s="186"/>
      <c r="M111" s="186"/>
      <c r="N111" s="186"/>
      <c r="O111" s="125"/>
      <c r="P111" s="125"/>
      <c r="Q111" s="125"/>
      <c r="R111" s="125"/>
    </row>
    <row r="112" spans="2:18" ht="18">
      <c r="B112" s="225" t="s">
        <v>1304</v>
      </c>
      <c r="C112" s="201"/>
      <c r="D112" s="201"/>
      <c r="E112" s="201"/>
      <c r="F112" s="200"/>
      <c r="G112" s="217">
        <v>3500</v>
      </c>
      <c r="H112" s="246" t="s">
        <v>661</v>
      </c>
      <c r="I112" s="173"/>
      <c r="J112" s="186"/>
      <c r="K112" s="125"/>
      <c r="L112" s="186"/>
      <c r="M112" s="186"/>
      <c r="N112" s="186"/>
      <c r="O112" s="125"/>
      <c r="P112" s="125"/>
      <c r="Q112" s="125"/>
      <c r="R112" s="125"/>
    </row>
    <row r="113" spans="2:18" ht="18">
      <c r="B113" s="224" t="s">
        <v>1305</v>
      </c>
      <c r="C113" s="200"/>
      <c r="D113" s="200"/>
      <c r="E113" s="200"/>
      <c r="F113" s="200"/>
      <c r="G113" s="200"/>
      <c r="H113" s="215"/>
      <c r="I113" s="173"/>
      <c r="J113" s="125" t="s">
        <v>1580</v>
      </c>
      <c r="K113" s="125"/>
      <c r="L113" s="125"/>
      <c r="M113" s="125"/>
      <c r="N113" s="125"/>
      <c r="O113" s="125"/>
      <c r="P113" s="125"/>
      <c r="Q113" s="125"/>
      <c r="R113" s="125"/>
    </row>
    <row r="114" spans="2:18" ht="18">
      <c r="B114" s="224" t="s">
        <v>1568</v>
      </c>
      <c r="C114" s="200"/>
      <c r="D114" s="200"/>
      <c r="E114" s="200"/>
      <c r="F114" s="200"/>
      <c r="G114" s="200"/>
      <c r="H114" s="215"/>
      <c r="I114" s="173"/>
      <c r="J114" s="125"/>
      <c r="K114" s="125"/>
      <c r="L114" s="173"/>
      <c r="M114" s="173"/>
      <c r="N114" s="173"/>
      <c r="O114" s="173"/>
      <c r="P114" s="173"/>
      <c r="Q114" s="173"/>
      <c r="R114" s="125"/>
    </row>
    <row r="115" spans="2:18" ht="18">
      <c r="B115" s="225" t="s">
        <v>288</v>
      </c>
      <c r="C115" s="200"/>
      <c r="D115" s="219"/>
      <c r="E115" s="237" t="s">
        <v>302</v>
      </c>
      <c r="F115" s="200"/>
      <c r="G115" s="200"/>
      <c r="H115" s="215"/>
      <c r="I115" s="173"/>
      <c r="J115" s="173"/>
      <c r="K115" s="173"/>
      <c r="L115" s="173"/>
      <c r="M115" s="173"/>
      <c r="N115" s="173"/>
      <c r="O115" s="173"/>
      <c r="P115" s="173"/>
      <c r="Q115" s="173"/>
      <c r="R115" s="125"/>
    </row>
    <row r="116" spans="2:18" ht="18">
      <c r="B116" s="225" t="s">
        <v>191</v>
      </c>
      <c r="C116" s="200"/>
      <c r="D116" s="218">
        <v>2050</v>
      </c>
      <c r="E116" s="237" t="s">
        <v>303</v>
      </c>
      <c r="F116" s="200"/>
      <c r="G116" s="200"/>
      <c r="H116" s="215"/>
      <c r="I116" s="173"/>
      <c r="J116" s="173"/>
      <c r="K116" s="173"/>
      <c r="L116" s="173"/>
      <c r="M116" s="173"/>
      <c r="N116" s="173"/>
      <c r="O116" s="173"/>
      <c r="P116" s="173"/>
      <c r="Q116" s="173"/>
      <c r="R116" s="125"/>
    </row>
    <row r="117" spans="2:18" ht="18">
      <c r="B117" s="224" t="s">
        <v>1394</v>
      </c>
      <c r="C117" s="200"/>
      <c r="D117" s="235"/>
      <c r="E117" s="200"/>
      <c r="F117" s="200"/>
      <c r="G117" s="200"/>
      <c r="H117" s="215"/>
      <c r="I117" s="173"/>
      <c r="J117" s="173"/>
      <c r="K117" s="173"/>
      <c r="L117" s="173"/>
      <c r="M117" s="173"/>
      <c r="N117" s="173"/>
      <c r="O117" s="173"/>
      <c r="P117" s="173"/>
      <c r="Q117" s="173"/>
      <c r="R117" s="125"/>
    </row>
    <row r="118" spans="2:18" ht="18">
      <c r="B118" s="225" t="s">
        <v>1344</v>
      </c>
      <c r="C118" s="200"/>
      <c r="D118" s="217">
        <f>MAXA(0,(D115-D116))</f>
        <v>0</v>
      </c>
      <c r="E118" s="200"/>
      <c r="F118" s="200"/>
      <c r="G118" s="217">
        <f>D118</f>
        <v>0</v>
      </c>
      <c r="H118" s="246" t="s">
        <v>304</v>
      </c>
      <c r="I118" s="173"/>
      <c r="J118" s="173"/>
      <c r="K118" s="173"/>
      <c r="L118" s="173"/>
      <c r="M118" s="173"/>
      <c r="N118" s="173"/>
      <c r="O118" s="173"/>
      <c r="P118" s="173"/>
      <c r="Q118" s="173"/>
      <c r="R118" s="125"/>
    </row>
    <row r="119" spans="2:18" ht="18">
      <c r="B119" s="225" t="s">
        <v>289</v>
      </c>
      <c r="C119" s="201"/>
      <c r="D119" s="201"/>
      <c r="E119" s="201"/>
      <c r="F119" s="200"/>
      <c r="G119" s="218">
        <f>MAXA(0,(G112-G118))</f>
        <v>3500</v>
      </c>
      <c r="H119" s="246" t="s">
        <v>305</v>
      </c>
      <c r="I119" s="173"/>
      <c r="J119" s="173"/>
      <c r="K119" s="173"/>
      <c r="L119" s="173"/>
      <c r="M119" s="173"/>
      <c r="N119" s="173"/>
      <c r="O119" s="173"/>
      <c r="P119" s="173"/>
      <c r="Q119" s="173"/>
      <c r="R119" s="125"/>
    </row>
    <row r="120" spans="2:18" ht="18">
      <c r="B120" s="224"/>
      <c r="C120" s="200"/>
      <c r="D120" s="200"/>
      <c r="E120" s="200"/>
      <c r="F120" s="200"/>
      <c r="G120" s="200"/>
      <c r="H120" s="215"/>
      <c r="I120" s="173"/>
      <c r="J120" s="173"/>
      <c r="K120" s="173"/>
      <c r="L120" s="173"/>
      <c r="M120" s="173"/>
      <c r="N120" s="173"/>
      <c r="O120" s="173"/>
      <c r="P120" s="173"/>
      <c r="Q120" s="173"/>
      <c r="R120" s="125"/>
    </row>
    <row r="121" spans="2:18" ht="15.75">
      <c r="B121" s="185" t="s">
        <v>1567</v>
      </c>
      <c r="C121" s="200"/>
      <c r="D121" s="200"/>
      <c r="E121" s="200"/>
      <c r="F121" s="200"/>
      <c r="G121" s="200"/>
      <c r="H121" s="215"/>
      <c r="I121" s="173"/>
      <c r="J121" s="173"/>
      <c r="K121" s="173"/>
      <c r="L121" s="173"/>
      <c r="M121" s="173"/>
      <c r="N121" s="173"/>
      <c r="O121" s="173"/>
      <c r="P121" s="173"/>
      <c r="Q121" s="173"/>
      <c r="R121" s="125"/>
    </row>
    <row r="122" spans="2:18" ht="15">
      <c r="B122" s="185" t="s">
        <v>290</v>
      </c>
      <c r="C122" s="200"/>
      <c r="D122" s="200"/>
      <c r="E122" s="200"/>
      <c r="F122" s="200"/>
      <c r="G122" s="200"/>
      <c r="H122" s="215"/>
      <c r="I122" s="173"/>
      <c r="J122" s="173"/>
      <c r="K122" s="173"/>
      <c r="L122" s="173"/>
      <c r="M122" s="173"/>
      <c r="N122" s="173"/>
      <c r="O122" s="173"/>
      <c r="P122" s="173"/>
      <c r="Q122" s="173"/>
      <c r="R122" s="125"/>
    </row>
    <row r="123" spans="2:18" ht="18">
      <c r="B123" s="185" t="s">
        <v>291</v>
      </c>
      <c r="C123" s="200"/>
      <c r="D123" s="200"/>
      <c r="E123" s="200"/>
      <c r="F123" s="200"/>
      <c r="G123" s="217">
        <f>6000+IF(age&gt;=18,0,G119)</f>
        <v>6000</v>
      </c>
      <c r="H123" s="246" t="s">
        <v>306</v>
      </c>
      <c r="I123" s="173"/>
      <c r="J123" s="173"/>
      <c r="K123" s="173"/>
      <c r="L123" s="173"/>
      <c r="M123" s="173"/>
      <c r="N123" s="173"/>
      <c r="O123" s="173"/>
      <c r="P123" s="173"/>
      <c r="Q123" s="173"/>
      <c r="R123" s="125"/>
    </row>
    <row r="124" spans="2:18" ht="18">
      <c r="B124" s="9" t="s">
        <v>1886</v>
      </c>
      <c r="C124" s="59"/>
      <c r="D124" s="59"/>
      <c r="E124" s="59"/>
      <c r="F124" s="59"/>
      <c r="G124" s="59"/>
      <c r="H124" s="215"/>
      <c r="I124" s="173"/>
      <c r="J124" s="173"/>
      <c r="K124" s="173"/>
      <c r="L124" s="173"/>
      <c r="M124" s="173"/>
      <c r="N124" s="173"/>
      <c r="O124" s="173"/>
      <c r="P124" s="173"/>
      <c r="Q124" s="173"/>
      <c r="R124" s="125"/>
    </row>
    <row r="125" spans="2:18" ht="18">
      <c r="B125" s="61" t="s">
        <v>1885</v>
      </c>
      <c r="C125" s="60"/>
      <c r="D125" s="60"/>
      <c r="E125" s="60"/>
      <c r="F125" s="60"/>
      <c r="G125" s="60"/>
      <c r="H125" s="216"/>
      <c r="I125" s="247"/>
      <c r="J125" s="173"/>
      <c r="K125" s="173"/>
      <c r="L125" s="173"/>
      <c r="M125" s="173"/>
      <c r="N125" s="173"/>
      <c r="O125" s="173"/>
      <c r="P125" s="173"/>
      <c r="Q125" s="173"/>
      <c r="R125" s="125"/>
    </row>
    <row r="126" spans="1:18" ht="18">
      <c r="A126" s="58"/>
      <c r="B126" s="222"/>
      <c r="C126" s="222"/>
      <c r="D126" s="222"/>
      <c r="E126" s="222"/>
      <c r="F126" s="222"/>
      <c r="G126" s="222"/>
      <c r="H126" s="222"/>
      <c r="I126" s="222"/>
      <c r="J126" s="173"/>
      <c r="K126" s="173"/>
      <c r="L126" s="173"/>
      <c r="M126" s="173"/>
      <c r="N126" s="173"/>
      <c r="O126" s="173"/>
      <c r="P126" s="173"/>
      <c r="Q126" s="173"/>
      <c r="R126" s="125"/>
    </row>
    <row r="127" spans="2:18" ht="15">
      <c r="B127" s="424"/>
      <c r="J127" s="173"/>
      <c r="K127" s="173"/>
      <c r="L127" s="173"/>
      <c r="M127" s="173"/>
      <c r="N127" s="173"/>
      <c r="O127" s="173"/>
      <c r="P127" s="173"/>
      <c r="Q127" s="173"/>
      <c r="R127" s="125"/>
    </row>
    <row r="128" spans="2:18" ht="15">
      <c r="B128" s="424"/>
      <c r="J128" s="173"/>
      <c r="K128" s="173"/>
      <c r="L128" s="173"/>
      <c r="M128" s="173"/>
      <c r="N128" s="173"/>
      <c r="O128" s="173"/>
      <c r="P128" s="173"/>
      <c r="Q128" s="173"/>
      <c r="R128" s="125"/>
    </row>
    <row r="129" spans="2:18" ht="15">
      <c r="B129" s="424"/>
      <c r="J129" s="173"/>
      <c r="K129" s="173"/>
      <c r="L129" s="173"/>
      <c r="M129" s="173"/>
      <c r="N129" s="173"/>
      <c r="O129" s="173"/>
      <c r="P129" s="173"/>
      <c r="Q129" s="173"/>
      <c r="R129" s="125"/>
    </row>
    <row r="130" spans="2:18" ht="18">
      <c r="B130" s="424"/>
      <c r="J130" s="222"/>
      <c r="K130" s="222"/>
      <c r="L130" s="222"/>
      <c r="M130" s="222"/>
      <c r="N130" s="222"/>
      <c r="O130" s="222"/>
      <c r="P130" s="222"/>
      <c r="Q130" s="222"/>
      <c r="R130" s="125"/>
    </row>
    <row r="131" ht="15">
      <c r="B131" s="424"/>
    </row>
    <row r="132" ht="15">
      <c r="B132" s="424"/>
    </row>
    <row r="133" ht="15">
      <c r="B133" s="424"/>
    </row>
    <row r="134" ht="15">
      <c r="B134" s="424"/>
    </row>
    <row r="135" ht="15">
      <c r="B135" s="424"/>
    </row>
    <row r="136" ht="15">
      <c r="B136" s="424"/>
    </row>
    <row r="137" ht="15">
      <c r="B137" s="424"/>
    </row>
    <row r="138" ht="15">
      <c r="B138" s="424"/>
    </row>
    <row r="139" ht="15">
      <c r="B139" s="442"/>
    </row>
    <row r="140" ht="15">
      <c r="B140" s="442"/>
    </row>
    <row r="141" ht="15">
      <c r="B141" s="442"/>
    </row>
    <row r="142" ht="15">
      <c r="B142" s="442"/>
    </row>
    <row r="143" ht="15">
      <c r="B143" s="442"/>
    </row>
    <row r="144" ht="15">
      <c r="B144" s="442"/>
    </row>
    <row r="145" ht="15">
      <c r="B145" s="442"/>
    </row>
    <row r="146" ht="15">
      <c r="B146" s="442"/>
    </row>
    <row r="147" ht="15">
      <c r="B147" s="442"/>
    </row>
    <row r="148" ht="15">
      <c r="B148" s="442"/>
    </row>
    <row r="149" ht="15">
      <c r="B149" s="442"/>
    </row>
    <row r="150" ht="15">
      <c r="B150" s="442"/>
    </row>
    <row r="151" ht="15">
      <c r="B151" s="442"/>
    </row>
    <row r="152" ht="15">
      <c r="B152" s="442"/>
    </row>
    <row r="153" ht="15">
      <c r="B153" s="442"/>
    </row>
    <row r="154" ht="15">
      <c r="B154" s="442"/>
    </row>
    <row r="155" ht="15">
      <c r="B155" s="442"/>
    </row>
    <row r="156" ht="15">
      <c r="B156" s="442"/>
    </row>
    <row r="157" ht="15">
      <c r="B157" s="442"/>
    </row>
    <row r="158" ht="15">
      <c r="B158" s="442"/>
    </row>
    <row r="159" ht="15">
      <c r="B159" s="442"/>
    </row>
    <row r="160" ht="15">
      <c r="B160" s="442"/>
    </row>
    <row r="161" ht="15">
      <c r="B161" s="442"/>
    </row>
    <row r="162" ht="15">
      <c r="B162" s="442"/>
    </row>
    <row r="163" ht="15">
      <c r="B163" s="442"/>
    </row>
    <row r="164" ht="15">
      <c r="B164" s="442"/>
    </row>
    <row r="165" ht="15">
      <c r="B165" s="442"/>
    </row>
    <row r="166" ht="15">
      <c r="B166" s="442"/>
    </row>
    <row r="167" ht="15">
      <c r="B167" s="442"/>
    </row>
    <row r="168" ht="15">
      <c r="B168" s="442"/>
    </row>
    <row r="169" ht="15">
      <c r="B169" s="442"/>
    </row>
    <row r="170" ht="15">
      <c r="B170" s="442"/>
    </row>
    <row r="171" ht="15">
      <c r="B171" s="442"/>
    </row>
    <row r="172" ht="15">
      <c r="B172" s="442"/>
    </row>
    <row r="173" ht="15">
      <c r="B173" s="442"/>
    </row>
    <row r="174" ht="15">
      <c r="B174" s="442"/>
    </row>
    <row r="175" ht="15">
      <c r="B175" s="442"/>
    </row>
    <row r="176" ht="15">
      <c r="B176" s="442"/>
    </row>
    <row r="177" ht="15">
      <c r="B177" s="442"/>
    </row>
    <row r="178" ht="15">
      <c r="B178" s="442"/>
    </row>
    <row r="179" ht="15">
      <c r="B179" s="442"/>
    </row>
    <row r="180" ht="15">
      <c r="B180" s="442"/>
    </row>
    <row r="181" ht="15">
      <c r="B181" s="442"/>
    </row>
    <row r="182" ht="15">
      <c r="B182" s="442"/>
    </row>
    <row r="183" ht="15">
      <c r="B183" s="442"/>
    </row>
    <row r="184" ht="15">
      <c r="B184" s="442"/>
    </row>
    <row r="185" ht="15">
      <c r="B185" s="442"/>
    </row>
    <row r="186" ht="15">
      <c r="B186" s="442"/>
    </row>
    <row r="187" ht="15">
      <c r="B187" s="442"/>
    </row>
    <row r="188" ht="15">
      <c r="B188" s="442"/>
    </row>
    <row r="189" ht="15">
      <c r="B189" s="442"/>
    </row>
    <row r="190" ht="15">
      <c r="B190" s="442"/>
    </row>
    <row r="191" ht="15">
      <c r="B191" s="442"/>
    </row>
    <row r="192" ht="15">
      <c r="B192" s="442"/>
    </row>
    <row r="193" ht="15">
      <c r="B193" s="442"/>
    </row>
    <row r="194" ht="15">
      <c r="B194" s="442"/>
    </row>
    <row r="195" ht="15">
      <c r="B195" s="442"/>
    </row>
    <row r="196" ht="15">
      <c r="B196" s="442"/>
    </row>
    <row r="197" ht="15">
      <c r="B197" s="442"/>
    </row>
    <row r="198" ht="15">
      <c r="B198" s="442"/>
    </row>
    <row r="199" ht="15">
      <c r="B199" s="442"/>
    </row>
    <row r="200" ht="15">
      <c r="B200" s="442"/>
    </row>
    <row r="201" ht="15">
      <c r="B201" s="442"/>
    </row>
    <row r="202" ht="15">
      <c r="B202" s="442"/>
    </row>
    <row r="203" ht="15">
      <c r="B203" s="442"/>
    </row>
    <row r="204" ht="15">
      <c r="B204" s="442"/>
    </row>
    <row r="205" ht="15">
      <c r="B205" s="442"/>
    </row>
    <row r="206" ht="15">
      <c r="B206" s="442"/>
    </row>
    <row r="207" ht="15">
      <c r="B207" s="442"/>
    </row>
    <row r="208" ht="15">
      <c r="B208" s="442"/>
    </row>
    <row r="209" ht="15">
      <c r="B209" s="442"/>
    </row>
    <row r="210" ht="15">
      <c r="B210" s="442"/>
    </row>
    <row r="211" ht="15">
      <c r="B211" s="442"/>
    </row>
    <row r="212" ht="15">
      <c r="B212" s="442"/>
    </row>
    <row r="213" ht="15">
      <c r="B213" s="442"/>
    </row>
    <row r="214" ht="15">
      <c r="B214" s="442"/>
    </row>
    <row r="215" ht="15">
      <c r="B215" s="442"/>
    </row>
    <row r="216" ht="15">
      <c r="B216" s="442"/>
    </row>
    <row r="217" ht="15">
      <c r="B217" s="442"/>
    </row>
    <row r="218" ht="15">
      <c r="B218" s="442"/>
    </row>
    <row r="219" ht="15">
      <c r="B219" s="442"/>
    </row>
    <row r="220" ht="15">
      <c r="B220" s="442"/>
    </row>
    <row r="221" ht="15">
      <c r="B221" s="442"/>
    </row>
    <row r="222" ht="15">
      <c r="B222" s="442"/>
    </row>
    <row r="223" ht="15">
      <c r="B223" s="442"/>
    </row>
    <row r="224" ht="15">
      <c r="B224" s="442"/>
    </row>
    <row r="225" ht="15">
      <c r="B225" s="442"/>
    </row>
    <row r="226" ht="15">
      <c r="B226" s="442"/>
    </row>
    <row r="227" ht="15">
      <c r="B227" s="442"/>
    </row>
    <row r="228" ht="15">
      <c r="B228" s="442"/>
    </row>
    <row r="229" ht="15">
      <c r="B229" s="442"/>
    </row>
    <row r="230" ht="15">
      <c r="B230" s="442"/>
    </row>
    <row r="231" ht="15">
      <c r="B231" s="442"/>
    </row>
    <row r="232" ht="15">
      <c r="B232" s="442"/>
    </row>
    <row r="233" ht="15">
      <c r="B233" s="442"/>
    </row>
    <row r="234" ht="15">
      <c r="B234" s="442"/>
    </row>
    <row r="235" ht="15">
      <c r="B235" s="442"/>
    </row>
    <row r="236" ht="15">
      <c r="B236" s="442"/>
    </row>
    <row r="237" ht="15">
      <c r="B237" s="442"/>
    </row>
    <row r="238" ht="15">
      <c r="B238" s="442"/>
    </row>
    <row r="239" ht="15">
      <c r="B239" s="442"/>
    </row>
    <row r="240" ht="15">
      <c r="B240" s="442"/>
    </row>
    <row r="241" ht="15">
      <c r="B241" s="442"/>
    </row>
    <row r="242" ht="15">
      <c r="B242" s="442"/>
    </row>
    <row r="243" ht="15">
      <c r="B243" s="442"/>
    </row>
    <row r="244" ht="15">
      <c r="B244" s="442"/>
    </row>
    <row r="245" ht="15">
      <c r="B245" s="442"/>
    </row>
    <row r="246" ht="15">
      <c r="B246" s="442"/>
    </row>
    <row r="247" ht="15">
      <c r="B247" s="442"/>
    </row>
    <row r="248" ht="15">
      <c r="B248" s="442"/>
    </row>
    <row r="249" ht="15">
      <c r="B249" s="442"/>
    </row>
    <row r="250" ht="15">
      <c r="B250" s="442"/>
    </row>
    <row r="251" ht="15">
      <c r="B251" s="442"/>
    </row>
    <row r="252" ht="15">
      <c r="B252" s="442"/>
    </row>
    <row r="253" ht="15">
      <c r="B253" s="442"/>
    </row>
    <row r="254" ht="15">
      <c r="B254" s="442"/>
    </row>
    <row r="255" ht="15">
      <c r="B255" s="442"/>
    </row>
    <row r="256" ht="15">
      <c r="B256" s="442"/>
    </row>
    <row r="257" ht="15">
      <c r="B257" s="442"/>
    </row>
    <row r="258" ht="15">
      <c r="B258" s="442"/>
    </row>
    <row r="259" ht="15">
      <c r="B259" s="442"/>
    </row>
    <row r="260" ht="15">
      <c r="B260" s="442"/>
    </row>
    <row r="261" ht="15">
      <c r="B261" s="442"/>
    </row>
    <row r="262" ht="15">
      <c r="B262" s="442"/>
    </row>
    <row r="263" ht="15">
      <c r="B263" s="442"/>
    </row>
    <row r="264" ht="15">
      <c r="B264" s="442"/>
    </row>
    <row r="265" ht="15">
      <c r="B265" s="442"/>
    </row>
    <row r="266" ht="15">
      <c r="B266" s="442"/>
    </row>
    <row r="267" ht="15">
      <c r="B267" s="442"/>
    </row>
    <row r="268" ht="15">
      <c r="B268" s="442"/>
    </row>
    <row r="269" ht="15">
      <c r="B269" s="442"/>
    </row>
    <row r="270" ht="15">
      <c r="B270" s="442"/>
    </row>
    <row r="271" ht="15">
      <c r="B271" s="442"/>
    </row>
    <row r="272" ht="15">
      <c r="B272" s="442"/>
    </row>
    <row r="273" ht="15">
      <c r="B273" s="442"/>
    </row>
    <row r="274" ht="15">
      <c r="B274" s="442"/>
    </row>
    <row r="275" ht="15">
      <c r="B275" s="442"/>
    </row>
    <row r="276" ht="15">
      <c r="B276" s="442"/>
    </row>
    <row r="277" ht="15">
      <c r="B277" s="442"/>
    </row>
    <row r="278" ht="15">
      <c r="B278" s="442"/>
    </row>
    <row r="279" ht="15">
      <c r="B279" s="442"/>
    </row>
    <row r="280" ht="15">
      <c r="B280" s="442"/>
    </row>
    <row r="281" ht="15">
      <c r="B281" s="442"/>
    </row>
    <row r="282" ht="15">
      <c r="B282" s="442"/>
    </row>
    <row r="283" ht="15">
      <c r="B283" s="442"/>
    </row>
    <row r="284" ht="15">
      <c r="B284" s="442"/>
    </row>
    <row r="285" ht="15">
      <c r="B285" s="442"/>
    </row>
    <row r="286" ht="15">
      <c r="B286" s="442"/>
    </row>
    <row r="287" ht="15">
      <c r="B287" s="442"/>
    </row>
    <row r="288" ht="15">
      <c r="B288" s="442"/>
    </row>
    <row r="289" ht="15">
      <c r="B289" s="442"/>
    </row>
    <row r="290" ht="15">
      <c r="B290" s="442"/>
    </row>
    <row r="291" ht="15">
      <c r="B291" s="442"/>
    </row>
    <row r="292" ht="15">
      <c r="B292" s="442"/>
    </row>
    <row r="293" ht="15">
      <c r="B293" s="442"/>
    </row>
    <row r="294" ht="15">
      <c r="B294" s="442"/>
    </row>
    <row r="295" ht="15">
      <c r="B295" s="442"/>
    </row>
    <row r="296" ht="15">
      <c r="B296" s="442"/>
    </row>
    <row r="297" ht="15">
      <c r="B297" s="442"/>
    </row>
    <row r="298" ht="15">
      <c r="B298" s="442"/>
    </row>
    <row r="299" ht="15">
      <c r="B299" s="442"/>
    </row>
    <row r="300" ht="15">
      <c r="B300" s="442"/>
    </row>
    <row r="301" ht="15">
      <c r="B301" s="442"/>
    </row>
    <row r="302" ht="15">
      <c r="B302" s="442"/>
    </row>
    <row r="303" ht="15">
      <c r="B303" s="442"/>
    </row>
    <row r="304" ht="15">
      <c r="B304" s="442"/>
    </row>
    <row r="305" ht="15">
      <c r="B305" s="442"/>
    </row>
    <row r="306" ht="15">
      <c r="B306" s="442"/>
    </row>
    <row r="307" ht="15">
      <c r="B307" s="442"/>
    </row>
    <row r="308" ht="15">
      <c r="B308" s="442"/>
    </row>
    <row r="309" ht="15">
      <c r="B309" s="442"/>
    </row>
    <row r="310" ht="15">
      <c r="B310" s="442"/>
    </row>
    <row r="311" ht="15">
      <c r="B311" s="442"/>
    </row>
    <row r="312" ht="15">
      <c r="B312" s="442"/>
    </row>
    <row r="313" ht="15">
      <c r="B313" s="442"/>
    </row>
    <row r="314" ht="15">
      <c r="B314" s="442"/>
    </row>
    <row r="315" ht="15">
      <c r="B315" s="442"/>
    </row>
    <row r="316" ht="15">
      <c r="B316" s="442"/>
    </row>
    <row r="317" ht="15">
      <c r="B317" s="442"/>
    </row>
    <row r="318" ht="15">
      <c r="B318" s="442"/>
    </row>
    <row r="319" ht="15">
      <c r="B319" s="442"/>
    </row>
    <row r="320" ht="15">
      <c r="B320" s="442"/>
    </row>
    <row r="321" ht="15">
      <c r="B321" s="442"/>
    </row>
    <row r="322" ht="15">
      <c r="B322" s="442"/>
    </row>
    <row r="323" ht="15">
      <c r="B323" s="442"/>
    </row>
    <row r="324" ht="15">
      <c r="B324" s="442"/>
    </row>
    <row r="325" ht="15">
      <c r="B325" s="442"/>
    </row>
    <row r="326" ht="15">
      <c r="B326" s="442"/>
    </row>
    <row r="327" ht="15">
      <c r="B327" s="442"/>
    </row>
    <row r="328" ht="15">
      <c r="B328" s="442"/>
    </row>
    <row r="329" ht="15">
      <c r="B329" s="442"/>
    </row>
    <row r="330" ht="15">
      <c r="B330" s="442"/>
    </row>
    <row r="331" ht="15">
      <c r="B331" s="442"/>
    </row>
    <row r="332" ht="15">
      <c r="B332" s="442"/>
    </row>
    <row r="333" ht="15">
      <c r="B333" s="442"/>
    </row>
    <row r="334" ht="15">
      <c r="B334" s="442"/>
    </row>
    <row r="335" ht="15">
      <c r="B335" s="442"/>
    </row>
    <row r="336" ht="15">
      <c r="B336" s="442"/>
    </row>
    <row r="337" ht="15">
      <c r="B337" s="442"/>
    </row>
    <row r="338" ht="15">
      <c r="B338" s="442"/>
    </row>
    <row r="339" ht="15">
      <c r="B339" s="442"/>
    </row>
    <row r="340" ht="15">
      <c r="B340" s="442"/>
    </row>
    <row r="341" ht="15">
      <c r="B341" s="442"/>
    </row>
    <row r="342" ht="15">
      <c r="B342" s="442"/>
    </row>
    <row r="343" ht="15">
      <c r="B343" s="442"/>
    </row>
    <row r="344" ht="15">
      <c r="B344" s="442"/>
    </row>
    <row r="345" ht="15">
      <c r="B345" s="442"/>
    </row>
    <row r="346" ht="15">
      <c r="B346" s="442"/>
    </row>
    <row r="347" ht="15">
      <c r="B347" s="442"/>
    </row>
    <row r="348" ht="15">
      <c r="B348" s="442"/>
    </row>
    <row r="349" ht="15">
      <c r="B349" s="442"/>
    </row>
    <row r="350" ht="15">
      <c r="B350" s="442"/>
    </row>
    <row r="351" ht="15">
      <c r="B351" s="442"/>
    </row>
    <row r="352" ht="15">
      <c r="B352" s="442"/>
    </row>
    <row r="353" ht="15">
      <c r="B353" s="442"/>
    </row>
    <row r="354" ht="15">
      <c r="B354" s="442"/>
    </row>
    <row r="355" ht="15">
      <c r="B355" s="442"/>
    </row>
    <row r="356" ht="15">
      <c r="B356" s="442"/>
    </row>
    <row r="357" ht="15">
      <c r="B357" s="442"/>
    </row>
    <row r="358" ht="15">
      <c r="B358" s="442"/>
    </row>
    <row r="359" ht="15">
      <c r="B359" s="442"/>
    </row>
    <row r="360" ht="15">
      <c r="B360" s="442"/>
    </row>
    <row r="361" ht="15">
      <c r="B361" s="442"/>
    </row>
    <row r="362" ht="15">
      <c r="B362" s="442"/>
    </row>
    <row r="363" ht="15">
      <c r="B363" s="442"/>
    </row>
    <row r="364" ht="15">
      <c r="B364" s="442"/>
    </row>
    <row r="365" ht="15">
      <c r="B365" s="442"/>
    </row>
    <row r="366" ht="15">
      <c r="B366" s="442"/>
    </row>
    <row r="367" ht="15">
      <c r="B367" s="442"/>
    </row>
    <row r="368" ht="15">
      <c r="B368" s="442"/>
    </row>
    <row r="369" ht="15">
      <c r="B369" s="442"/>
    </row>
    <row r="370" ht="15">
      <c r="B370" s="442"/>
    </row>
    <row r="371" ht="15">
      <c r="B371" s="442"/>
    </row>
    <row r="372" ht="15">
      <c r="B372" s="442"/>
    </row>
    <row r="373" ht="15">
      <c r="B373" s="442"/>
    </row>
    <row r="374" ht="15">
      <c r="B374" s="442"/>
    </row>
    <row r="375" ht="15">
      <c r="B375" s="442"/>
    </row>
    <row r="376" ht="15">
      <c r="B376" s="442"/>
    </row>
    <row r="377" ht="15">
      <c r="B377" s="442"/>
    </row>
    <row r="378" ht="15">
      <c r="B378" s="442"/>
    </row>
    <row r="379" ht="15">
      <c r="B379" s="442"/>
    </row>
    <row r="380" ht="15">
      <c r="B380" s="442"/>
    </row>
    <row r="381" ht="15">
      <c r="B381" s="442"/>
    </row>
    <row r="382" ht="15">
      <c r="B382" s="442"/>
    </row>
    <row r="383" ht="15">
      <c r="B383" s="442"/>
    </row>
    <row r="384" ht="15">
      <c r="B384" s="442"/>
    </row>
    <row r="385" ht="15">
      <c r="B385" s="442"/>
    </row>
    <row r="386" ht="15">
      <c r="B386" s="442"/>
    </row>
    <row r="387" ht="15">
      <c r="B387" s="442"/>
    </row>
    <row r="388" ht="15">
      <c r="B388" s="442"/>
    </row>
    <row r="389" ht="15">
      <c r="B389" s="442"/>
    </row>
    <row r="390" ht="15">
      <c r="B390" s="442"/>
    </row>
    <row r="391" ht="15">
      <c r="B391" s="442"/>
    </row>
    <row r="392" ht="15">
      <c r="B392" s="442"/>
    </row>
    <row r="393" ht="15">
      <c r="B393" s="442"/>
    </row>
    <row r="394" ht="15">
      <c r="B394" s="442"/>
    </row>
    <row r="395" ht="15">
      <c r="B395" s="442"/>
    </row>
    <row r="396" ht="15">
      <c r="B396" s="442"/>
    </row>
    <row r="397" ht="15">
      <c r="B397" s="442"/>
    </row>
    <row r="398" ht="15">
      <c r="B398" s="442"/>
    </row>
    <row r="399" ht="15">
      <c r="B399" s="442"/>
    </row>
    <row r="400" ht="15">
      <c r="B400" s="442"/>
    </row>
    <row r="401" ht="15">
      <c r="B401" s="442"/>
    </row>
    <row r="402" ht="15">
      <c r="B402" s="442"/>
    </row>
    <row r="403" ht="15">
      <c r="B403" s="442"/>
    </row>
    <row r="404" ht="15">
      <c r="B404" s="442"/>
    </row>
    <row r="405" ht="15">
      <c r="B405" s="442"/>
    </row>
    <row r="406" ht="15">
      <c r="B406" s="442"/>
    </row>
    <row r="407" ht="15">
      <c r="B407" s="442"/>
    </row>
    <row r="408" ht="15">
      <c r="B408" s="442"/>
    </row>
    <row r="409" ht="15">
      <c r="B409" s="442"/>
    </row>
    <row r="410" ht="15">
      <c r="B410" s="442"/>
    </row>
    <row r="411" ht="15">
      <c r="B411" s="442"/>
    </row>
    <row r="412" ht="15">
      <c r="B412" s="442"/>
    </row>
    <row r="413" ht="15">
      <c r="B413" s="442"/>
    </row>
    <row r="414" ht="15">
      <c r="B414" s="442"/>
    </row>
    <row r="415" ht="15">
      <c r="B415" s="442"/>
    </row>
    <row r="416" ht="15">
      <c r="B416" s="442"/>
    </row>
    <row r="417" ht="15">
      <c r="B417" s="442"/>
    </row>
    <row r="418" ht="15">
      <c r="B418" s="442"/>
    </row>
    <row r="419" ht="15">
      <c r="B419" s="442"/>
    </row>
    <row r="420" ht="15">
      <c r="B420" s="442"/>
    </row>
    <row r="421" ht="15">
      <c r="B421" s="442"/>
    </row>
    <row r="422" ht="15">
      <c r="B422" s="442"/>
    </row>
    <row r="423" ht="15">
      <c r="B423" s="442"/>
    </row>
    <row r="424" ht="15">
      <c r="B424" s="442"/>
    </row>
    <row r="425" ht="15">
      <c r="B425" s="442"/>
    </row>
    <row r="426" ht="15">
      <c r="B426" s="442"/>
    </row>
    <row r="427" ht="15">
      <c r="B427" s="442"/>
    </row>
    <row r="428" ht="15">
      <c r="B428" s="442"/>
    </row>
    <row r="429" ht="15">
      <c r="B429" s="442"/>
    </row>
    <row r="430" ht="15">
      <c r="B430" s="442"/>
    </row>
    <row r="431" ht="15">
      <c r="B431" s="442"/>
    </row>
    <row r="432" ht="15">
      <c r="B432" s="442"/>
    </row>
    <row r="433" ht="15">
      <c r="B433" s="442"/>
    </row>
    <row r="434" ht="15">
      <c r="B434" s="442"/>
    </row>
    <row r="435" ht="15">
      <c r="B435" s="442"/>
    </row>
    <row r="436" ht="15">
      <c r="B436" s="442"/>
    </row>
    <row r="437" ht="15">
      <c r="B437" s="442"/>
    </row>
    <row r="438" ht="15">
      <c r="B438" s="442"/>
    </row>
    <row r="439" ht="15">
      <c r="B439" s="442"/>
    </row>
    <row r="440" ht="15">
      <c r="B440" s="442"/>
    </row>
    <row r="441" ht="15">
      <c r="B441" s="442"/>
    </row>
    <row r="442" ht="15">
      <c r="B442" s="442"/>
    </row>
    <row r="443" ht="15">
      <c r="B443" s="442"/>
    </row>
    <row r="444" ht="15">
      <c r="B444" s="442"/>
    </row>
    <row r="445" ht="15">
      <c r="B445" s="442"/>
    </row>
    <row r="446" ht="15">
      <c r="B446" s="442"/>
    </row>
    <row r="447" ht="15">
      <c r="B447" s="442"/>
    </row>
    <row r="448" ht="15">
      <c r="B448" s="442"/>
    </row>
    <row r="449" ht="15">
      <c r="B449" s="442"/>
    </row>
    <row r="450" ht="15">
      <c r="B450" s="442"/>
    </row>
    <row r="451" ht="15">
      <c r="B451" s="442"/>
    </row>
    <row r="452" ht="15">
      <c r="B452" s="442"/>
    </row>
    <row r="453" ht="15">
      <c r="B453" s="442"/>
    </row>
    <row r="454" ht="15">
      <c r="B454" s="442"/>
    </row>
    <row r="455" ht="15">
      <c r="B455" s="442"/>
    </row>
    <row r="456" ht="15">
      <c r="B456" s="442"/>
    </row>
    <row r="457" ht="15">
      <c r="B457" s="442"/>
    </row>
    <row r="458" ht="15">
      <c r="B458" s="442"/>
    </row>
    <row r="459" ht="15">
      <c r="B459" s="442"/>
    </row>
    <row r="460" ht="15">
      <c r="B460" s="442"/>
    </row>
    <row r="461" ht="15">
      <c r="B461" s="442"/>
    </row>
    <row r="462" ht="15">
      <c r="B462" s="442"/>
    </row>
    <row r="463" ht="15">
      <c r="B463" s="442"/>
    </row>
    <row r="464" ht="15">
      <c r="B464" s="442"/>
    </row>
    <row r="465" ht="15">
      <c r="B465" s="442"/>
    </row>
    <row r="466" ht="15">
      <c r="B466" s="442"/>
    </row>
    <row r="467" ht="15">
      <c r="B467" s="442"/>
    </row>
    <row r="468" ht="15">
      <c r="B468" s="442"/>
    </row>
    <row r="469" ht="15">
      <c r="B469" s="442"/>
    </row>
    <row r="470" ht="15">
      <c r="B470" s="442"/>
    </row>
    <row r="471" ht="15">
      <c r="B471" s="442"/>
    </row>
    <row r="472" ht="15">
      <c r="B472" s="442"/>
    </row>
    <row r="473" ht="15">
      <c r="B473" s="442"/>
    </row>
    <row r="474" ht="15">
      <c r="B474" s="442"/>
    </row>
    <row r="475" ht="15">
      <c r="B475" s="442"/>
    </row>
    <row r="476" ht="15">
      <c r="B476" s="442"/>
    </row>
    <row r="477" ht="15">
      <c r="B477" s="442"/>
    </row>
    <row r="478" ht="15">
      <c r="B478" s="442"/>
    </row>
    <row r="479" ht="15">
      <c r="B479" s="442"/>
    </row>
    <row r="480" ht="15">
      <c r="B480" s="442"/>
    </row>
    <row r="481" ht="15">
      <c r="B481" s="442"/>
    </row>
    <row r="482" ht="15">
      <c r="B482" s="442"/>
    </row>
    <row r="483" ht="15">
      <c r="B483" s="442"/>
    </row>
    <row r="484" ht="15">
      <c r="B484" s="442"/>
    </row>
    <row r="485" ht="15">
      <c r="B485" s="442"/>
    </row>
    <row r="486" ht="15">
      <c r="B486" s="442"/>
    </row>
    <row r="487" ht="15">
      <c r="B487" s="442"/>
    </row>
    <row r="488" ht="15">
      <c r="B488" s="442"/>
    </row>
    <row r="489" ht="15">
      <c r="B489" s="442"/>
    </row>
    <row r="490" ht="15">
      <c r="B490" s="442"/>
    </row>
    <row r="491" ht="15">
      <c r="B491" s="442"/>
    </row>
    <row r="492" ht="15">
      <c r="B492" s="442"/>
    </row>
    <row r="493" ht="15">
      <c r="B493" s="442"/>
    </row>
    <row r="494" ht="15">
      <c r="B494" s="442"/>
    </row>
    <row r="495" ht="15">
      <c r="B495" s="442"/>
    </row>
    <row r="496" ht="15">
      <c r="B496" s="442"/>
    </row>
    <row r="497" ht="15">
      <c r="B497" s="442"/>
    </row>
    <row r="498" ht="15">
      <c r="B498" s="442"/>
    </row>
    <row r="499" ht="15">
      <c r="B499" s="442"/>
    </row>
    <row r="500" ht="15">
      <c r="B500" s="442"/>
    </row>
    <row r="501" ht="15">
      <c r="B501" s="442"/>
    </row>
    <row r="502" ht="15">
      <c r="B502" s="442"/>
    </row>
    <row r="503" ht="15">
      <c r="B503" s="442"/>
    </row>
    <row r="504" ht="15">
      <c r="B504" s="442"/>
    </row>
    <row r="505" ht="15">
      <c r="B505" s="442"/>
    </row>
    <row r="506" ht="15">
      <c r="B506" s="442"/>
    </row>
    <row r="507" ht="15">
      <c r="B507" s="442"/>
    </row>
    <row r="508" ht="15">
      <c r="B508" s="442"/>
    </row>
    <row r="509" ht="15">
      <c r="B509" s="442"/>
    </row>
    <row r="510" ht="15">
      <c r="B510" s="442"/>
    </row>
    <row r="511" ht="15">
      <c r="B511" s="442"/>
    </row>
    <row r="512" ht="15">
      <c r="B512" s="442"/>
    </row>
    <row r="513" ht="15">
      <c r="B513" s="442"/>
    </row>
    <row r="514" ht="15">
      <c r="B514" s="442"/>
    </row>
    <row r="515" ht="15">
      <c r="B515" s="442"/>
    </row>
    <row r="516" ht="15">
      <c r="B516" s="442"/>
    </row>
    <row r="517" ht="15">
      <c r="B517" s="442"/>
    </row>
    <row r="518" ht="15">
      <c r="B518" s="442"/>
    </row>
    <row r="519" ht="15">
      <c r="B519" s="442"/>
    </row>
    <row r="520" ht="15">
      <c r="B520" s="442"/>
    </row>
    <row r="521" ht="15">
      <c r="B521" s="442"/>
    </row>
    <row r="522" ht="15">
      <c r="B522" s="442"/>
    </row>
    <row r="523" ht="15">
      <c r="B523" s="442"/>
    </row>
    <row r="524" ht="15">
      <c r="B524" s="442"/>
    </row>
    <row r="525" ht="15">
      <c r="B525" s="442"/>
    </row>
    <row r="526" ht="15">
      <c r="B526" s="442"/>
    </row>
    <row r="527" ht="15">
      <c r="B527" s="442"/>
    </row>
    <row r="528" ht="15">
      <c r="B528" s="442"/>
    </row>
    <row r="529" ht="15">
      <c r="B529" s="442"/>
    </row>
    <row r="530" ht="15">
      <c r="B530" s="442"/>
    </row>
    <row r="531" ht="15">
      <c r="B531" s="442"/>
    </row>
    <row r="532" ht="15">
      <c r="B532" s="442"/>
    </row>
    <row r="533" ht="15">
      <c r="B533" s="442"/>
    </row>
    <row r="534" ht="15">
      <c r="B534" s="442"/>
    </row>
    <row r="535" ht="15">
      <c r="B535" s="442"/>
    </row>
    <row r="536" ht="15">
      <c r="B536" s="442"/>
    </row>
    <row r="537" ht="15">
      <c r="B537" s="442"/>
    </row>
    <row r="538" ht="15">
      <c r="B538" s="442"/>
    </row>
    <row r="539" ht="15">
      <c r="B539" s="442"/>
    </row>
    <row r="540" ht="15">
      <c r="B540" s="442"/>
    </row>
    <row r="541" ht="15">
      <c r="B541" s="442"/>
    </row>
    <row r="542" ht="15">
      <c r="B542" s="442"/>
    </row>
    <row r="543" ht="15">
      <c r="B543" s="442"/>
    </row>
    <row r="544" ht="15">
      <c r="B544" s="442"/>
    </row>
    <row r="545" ht="15">
      <c r="B545" s="442"/>
    </row>
    <row r="546" ht="15">
      <c r="B546" s="442"/>
    </row>
    <row r="547" ht="15">
      <c r="B547" s="442"/>
    </row>
    <row r="548" ht="15">
      <c r="B548" s="442"/>
    </row>
    <row r="549" ht="15">
      <c r="B549" s="442"/>
    </row>
    <row r="550" ht="15">
      <c r="B550" s="442"/>
    </row>
    <row r="551" ht="15">
      <c r="B551" s="442"/>
    </row>
    <row r="552" ht="15">
      <c r="B552" s="442"/>
    </row>
    <row r="553" ht="15">
      <c r="B553" s="442"/>
    </row>
    <row r="554" ht="15">
      <c r="B554" s="442"/>
    </row>
    <row r="555" ht="15">
      <c r="B555" s="442"/>
    </row>
    <row r="556" ht="15">
      <c r="B556" s="442"/>
    </row>
    <row r="557" ht="15">
      <c r="B557" s="442"/>
    </row>
    <row r="558" ht="15">
      <c r="B558" s="442"/>
    </row>
    <row r="559" ht="15">
      <c r="B559" s="442"/>
    </row>
    <row r="560" ht="15">
      <c r="B560" s="442"/>
    </row>
    <row r="561" ht="15">
      <c r="B561" s="442"/>
    </row>
    <row r="562" ht="15">
      <c r="B562" s="442"/>
    </row>
    <row r="563" ht="15">
      <c r="B563" s="442"/>
    </row>
    <row r="564" ht="15">
      <c r="B564" s="442"/>
    </row>
    <row r="565" ht="15">
      <c r="B565" s="442"/>
    </row>
    <row r="566" ht="15">
      <c r="B566" s="442"/>
    </row>
    <row r="567" ht="15">
      <c r="B567" s="442"/>
    </row>
    <row r="568" ht="15">
      <c r="B568" s="442"/>
    </row>
    <row r="569" ht="15">
      <c r="B569" s="442"/>
    </row>
    <row r="570" ht="15">
      <c r="B570" s="442"/>
    </row>
    <row r="571" ht="15">
      <c r="B571" s="442"/>
    </row>
    <row r="572" ht="15">
      <c r="B572" s="442"/>
    </row>
    <row r="573" ht="15">
      <c r="B573" s="442"/>
    </row>
    <row r="574" ht="15">
      <c r="B574" s="442"/>
    </row>
    <row r="575" ht="15">
      <c r="B575" s="442"/>
    </row>
    <row r="576" ht="15">
      <c r="B576" s="442"/>
    </row>
    <row r="577" ht="15">
      <c r="B577" s="442"/>
    </row>
    <row r="578" ht="15">
      <c r="B578" s="442"/>
    </row>
    <row r="579" ht="15">
      <c r="B579" s="442"/>
    </row>
    <row r="580" ht="15">
      <c r="B580" s="442"/>
    </row>
    <row r="581" ht="15">
      <c r="B581" s="442"/>
    </row>
    <row r="582" ht="15">
      <c r="B582" s="442"/>
    </row>
    <row r="583" ht="15">
      <c r="B583" s="442"/>
    </row>
    <row r="584" ht="15">
      <c r="B584" s="442"/>
    </row>
    <row r="585" ht="15">
      <c r="B585" s="442"/>
    </row>
    <row r="586" ht="15">
      <c r="B586" s="442"/>
    </row>
    <row r="587" ht="15">
      <c r="B587" s="442"/>
    </row>
    <row r="588" ht="15">
      <c r="B588" s="442"/>
    </row>
    <row r="589" ht="15">
      <c r="B589" s="442"/>
    </row>
    <row r="590" ht="15">
      <c r="B590" s="442"/>
    </row>
    <row r="591" ht="15">
      <c r="B591" s="442"/>
    </row>
    <row r="592" ht="15">
      <c r="B592" s="442"/>
    </row>
    <row r="593" ht="15">
      <c r="B593" s="442"/>
    </row>
    <row r="594" ht="15">
      <c r="B594" s="442"/>
    </row>
    <row r="595" ht="15">
      <c r="B595" s="442"/>
    </row>
    <row r="596" ht="15">
      <c r="B596" s="442"/>
    </row>
    <row r="597" ht="15">
      <c r="B597" s="442"/>
    </row>
    <row r="598" ht="15">
      <c r="B598" s="442"/>
    </row>
    <row r="599" ht="15">
      <c r="B599" s="442"/>
    </row>
    <row r="600" ht="15">
      <c r="B600" s="442"/>
    </row>
    <row r="601" ht="15">
      <c r="B601" s="442"/>
    </row>
    <row r="602" ht="15">
      <c r="B602" s="442"/>
    </row>
    <row r="603" ht="15">
      <c r="B603" s="442"/>
    </row>
    <row r="604" ht="15">
      <c r="B604" s="442"/>
    </row>
    <row r="605" ht="15">
      <c r="B605" s="442"/>
    </row>
    <row r="606" ht="15">
      <c r="B606" s="442"/>
    </row>
    <row r="607" ht="15">
      <c r="B607" s="442"/>
    </row>
    <row r="608" ht="15">
      <c r="B608" s="442"/>
    </row>
    <row r="609" ht="15">
      <c r="B609" s="442"/>
    </row>
    <row r="610" ht="15">
      <c r="B610" s="442"/>
    </row>
    <row r="611" ht="15">
      <c r="B611" s="442"/>
    </row>
    <row r="612" ht="15">
      <c r="B612" s="442"/>
    </row>
  </sheetData>
  <sheetProtection password="EC35" sheet="1" objects="1" scenarios="1"/>
  <mergeCells count="5">
    <mergeCell ref="M48:N48"/>
    <mergeCell ref="M40:N40"/>
    <mergeCell ref="M41:N41"/>
    <mergeCell ref="M43:N43"/>
    <mergeCell ref="M46:N46"/>
  </mergeCells>
  <dataValidations count="4">
    <dataValidation allowBlank="1" showInputMessage="1" showErrorMessage="1" promptTitle="DEFAULT FORMULA" prompt="You will have to replace this formula with the total amount for all dependants, if you have more than 2 dependants." sqref="P53"/>
    <dataValidation allowBlank="1" showInputMessage="1" showErrorMessage="1" promptTitle="DEFAULT FORMULA" prompt="If you have more than one dependant, calculate the values one at a time using the above and when finished, enter the total amount here." sqref="G101"/>
    <dataValidation allowBlank="1" showInputMessage="1" showErrorMessage="1" promptTitle="DEFAULT FORMULA" prompt="If you have more than one eligible dependant amount to transfer, then enter the total of all the amounts on this line." sqref="P77"/>
    <dataValidation allowBlank="1" showErrorMessage="1" sqref="P78:P79"/>
  </dataValidations>
  <printOptions horizontalCentered="1"/>
  <pageMargins left="0" right="0" top="0" bottom="0" header="0.511811023622047" footer="0.511811023622047"/>
  <pageSetup fitToHeight="2" horizontalDpi="600" verticalDpi="600" orientation="portrait" scale="58" r:id="rId4"/>
  <rowBreaks count="1" manualBreakCount="1">
    <brk id="58" max="17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13" transitionEvaluation="1">
    <pageSetUpPr fitToPage="1"/>
  </sheetPr>
  <dimension ref="A1:J106"/>
  <sheetViews>
    <sheetView showGridLines="0" showRowColHeaders="0" zoomScale="74" zoomScaleNormal="74" workbookViewId="0" topLeftCell="A1">
      <selection activeCell="B1" sqref="B1"/>
    </sheetView>
  </sheetViews>
  <sheetFormatPr defaultColWidth="9.77734375" defaultRowHeight="15"/>
  <cols>
    <col min="1" max="1" width="37.6640625" style="0" customWidth="1"/>
    <col min="2" max="2" width="5.77734375" style="0" customWidth="1"/>
    <col min="3" max="3" width="12.77734375" style="0" customWidth="1"/>
    <col min="4" max="4" width="5.77734375" style="0" customWidth="1"/>
    <col min="5" max="5" width="12.77734375" style="0" customWidth="1"/>
    <col min="6" max="6" width="4.88671875" style="0" customWidth="1"/>
    <col min="7" max="7" width="12.77734375" style="0" customWidth="1"/>
    <col min="8" max="8" width="4.3359375" style="0" customWidth="1"/>
    <col min="9" max="9" width="12.77734375" style="0" customWidth="1"/>
    <col min="10" max="10" width="3.5546875" style="0" customWidth="1"/>
  </cols>
  <sheetData>
    <row r="1" spans="1:10" ht="15">
      <c r="A1" s="321"/>
      <c r="B1" s="321"/>
      <c r="C1" s="321"/>
      <c r="D1" s="321"/>
      <c r="E1" s="321"/>
      <c r="F1" s="321"/>
      <c r="G1" s="321"/>
      <c r="H1" s="321"/>
      <c r="I1" s="321"/>
      <c r="J1" s="321"/>
    </row>
    <row r="2" spans="1:10" ht="24.75" customHeight="1">
      <c r="A2" s="371"/>
      <c r="B2" s="371"/>
      <c r="C2" s="395"/>
      <c r="D2" s="396" t="s">
        <v>1853</v>
      </c>
      <c r="E2" s="371"/>
      <c r="F2" s="371"/>
      <c r="G2" s="371"/>
      <c r="H2" s="371"/>
      <c r="I2" s="397" t="s">
        <v>1584</v>
      </c>
      <c r="J2" s="371"/>
    </row>
    <row r="3" spans="1:10" ht="15" customHeight="1">
      <c r="A3" s="371"/>
      <c r="B3" s="371"/>
      <c r="C3" s="371"/>
      <c r="D3" s="396"/>
      <c r="E3" s="371"/>
      <c r="F3" s="371"/>
      <c r="G3" s="371"/>
      <c r="H3" s="371"/>
      <c r="I3" s="379" t="s">
        <v>1854</v>
      </c>
      <c r="J3" s="371"/>
    </row>
    <row r="4" spans="1:10" ht="15.75" customHeight="1">
      <c r="A4" s="371"/>
      <c r="B4" s="371"/>
      <c r="C4" s="371"/>
      <c r="D4" s="396"/>
      <c r="E4" s="371"/>
      <c r="F4" s="371"/>
      <c r="G4" s="371"/>
      <c r="H4" s="371"/>
      <c r="I4" s="379"/>
      <c r="J4" s="379"/>
    </row>
    <row r="5" spans="1:10" ht="15.75" customHeight="1">
      <c r="A5" s="371" t="s">
        <v>1511</v>
      </c>
      <c r="B5" s="371"/>
      <c r="C5" s="371"/>
      <c r="D5" s="396"/>
      <c r="E5" s="371"/>
      <c r="F5" s="371"/>
      <c r="G5" s="371"/>
      <c r="H5" s="371"/>
      <c r="I5" s="379"/>
      <c r="J5" s="379"/>
    </row>
    <row r="6" spans="1:10" ht="15.75" customHeight="1">
      <c r="A6" s="371" t="s">
        <v>1512</v>
      </c>
      <c r="B6" s="371"/>
      <c r="C6" s="371"/>
      <c r="D6" s="396"/>
      <c r="E6" s="371"/>
      <c r="F6" s="371"/>
      <c r="G6" s="371"/>
      <c r="H6" s="371"/>
      <c r="I6" s="379"/>
      <c r="J6" s="379"/>
    </row>
    <row r="7" spans="1:10" ht="15.75" customHeight="1">
      <c r="A7" s="371" t="s">
        <v>998</v>
      </c>
      <c r="B7" s="371"/>
      <c r="C7" s="371"/>
      <c r="D7" s="396"/>
      <c r="E7" s="371"/>
      <c r="F7" s="371"/>
      <c r="G7" s="371"/>
      <c r="H7" s="371"/>
      <c r="I7" s="379"/>
      <c r="J7" s="379"/>
    </row>
    <row r="8" spans="1:10" ht="15.75" customHeight="1">
      <c r="A8" s="371"/>
      <c r="B8" s="371"/>
      <c r="C8" s="371"/>
      <c r="D8" s="396"/>
      <c r="E8" s="371"/>
      <c r="F8" s="371"/>
      <c r="G8" s="371"/>
      <c r="H8" s="371"/>
      <c r="I8" s="379"/>
      <c r="J8" s="379"/>
    </row>
    <row r="9" spans="1:10" ht="23.25">
      <c r="A9" s="373" t="s">
        <v>999</v>
      </c>
      <c r="B9" s="371"/>
      <c r="C9" s="371"/>
      <c r="D9" s="396"/>
      <c r="E9" s="371"/>
      <c r="F9" s="371"/>
      <c r="G9" s="371"/>
      <c r="H9" s="371"/>
      <c r="I9" s="379"/>
      <c r="J9" s="379"/>
    </row>
    <row r="10" spans="1:10" ht="15.75" customHeight="1">
      <c r="A10" s="455" t="s">
        <v>1000</v>
      </c>
      <c r="B10" s="374"/>
      <c r="C10" s="374"/>
      <c r="D10" s="456"/>
      <c r="E10" s="374"/>
      <c r="F10" s="374"/>
      <c r="G10" s="455"/>
      <c r="H10" s="459"/>
      <c r="I10" s="276">
        <f>IF(DATE('T1 GEN-1'!T13,'T1 GEN-1'!U13,'T1 GEN-1'!W13)&lt;DATE(1937,1,1),3531,0)</f>
        <v>0</v>
      </c>
      <c r="J10" s="453" t="s">
        <v>661</v>
      </c>
    </row>
    <row r="11" spans="1:10" ht="15.75" customHeight="1">
      <c r="A11" s="457" t="s">
        <v>1947</v>
      </c>
      <c r="B11" s="377"/>
      <c r="C11" s="377"/>
      <c r="D11" s="458"/>
      <c r="E11" s="377"/>
      <c r="F11" s="371"/>
      <c r="G11" s="267">
        <f>'T1 GEN-2-3-4'!$K$84</f>
        <v>0</v>
      </c>
      <c r="H11" s="453" t="s">
        <v>302</v>
      </c>
      <c r="I11" s="454"/>
      <c r="J11" s="454"/>
    </row>
    <row r="12" spans="1:10" ht="15.75" customHeight="1">
      <c r="A12" s="457" t="s">
        <v>191</v>
      </c>
      <c r="B12" s="377"/>
      <c r="C12" s="377"/>
      <c r="D12" s="458"/>
      <c r="E12" s="377"/>
      <c r="F12" s="371"/>
      <c r="G12" s="267">
        <v>26284</v>
      </c>
      <c r="H12" s="453" t="s">
        <v>303</v>
      </c>
      <c r="I12" s="454"/>
      <c r="J12" s="454"/>
    </row>
    <row r="13" spans="1:10" ht="15.75" customHeight="1">
      <c r="A13" s="457" t="s">
        <v>1001</v>
      </c>
      <c r="B13" s="377"/>
      <c r="C13" s="377"/>
      <c r="D13" s="458"/>
      <c r="E13" s="377"/>
      <c r="F13" s="371"/>
      <c r="G13" s="267">
        <f>MAXA(0,G11-G12)</f>
        <v>0</v>
      </c>
      <c r="H13" s="453" t="s">
        <v>304</v>
      </c>
      <c r="I13" s="454"/>
      <c r="J13" s="454"/>
    </row>
    <row r="14" spans="1:10" ht="15.75" customHeight="1">
      <c r="A14" s="457" t="s">
        <v>1002</v>
      </c>
      <c r="B14" s="377"/>
      <c r="C14" s="377"/>
      <c r="D14" s="458"/>
      <c r="E14" s="377"/>
      <c r="F14" s="371"/>
      <c r="G14" s="715">
        <v>0.15</v>
      </c>
      <c r="H14" s="453" t="s">
        <v>305</v>
      </c>
      <c r="I14" s="454"/>
      <c r="J14" s="454"/>
    </row>
    <row r="15" spans="1:10" ht="15.75" customHeight="1">
      <c r="A15" s="457" t="s">
        <v>1346</v>
      </c>
      <c r="B15" s="377"/>
      <c r="C15" s="377"/>
      <c r="D15" s="458"/>
      <c r="E15" s="377"/>
      <c r="F15" s="371"/>
      <c r="G15" s="267">
        <f>0.15*G13</f>
        <v>0</v>
      </c>
      <c r="H15" s="453"/>
      <c r="I15" s="270">
        <f>G15</f>
        <v>0</v>
      </c>
      <c r="J15" s="453" t="s">
        <v>306</v>
      </c>
    </row>
    <row r="16" spans="1:10" ht="15.75" customHeight="1">
      <c r="A16" s="457" t="s">
        <v>1513</v>
      </c>
      <c r="B16" s="377"/>
      <c r="C16" s="377"/>
      <c r="D16" s="458"/>
      <c r="E16" s="377"/>
      <c r="F16" s="374"/>
      <c r="G16" s="455"/>
      <c r="H16" s="459"/>
      <c r="I16" s="267">
        <f>MAXA(0,I10-I15)</f>
        <v>0</v>
      </c>
      <c r="J16" s="453" t="s">
        <v>1402</v>
      </c>
    </row>
    <row r="17" spans="1:10" ht="15.75" customHeight="1">
      <c r="A17" s="459"/>
      <c r="B17" s="371"/>
      <c r="C17" s="371"/>
      <c r="D17" s="396"/>
      <c r="E17" s="371"/>
      <c r="F17" s="371"/>
      <c r="G17" s="459"/>
      <c r="H17" s="459"/>
      <c r="I17" s="454"/>
      <c r="J17" s="454"/>
    </row>
    <row r="18" spans="1:10" ht="15.75" customHeight="1">
      <c r="A18" s="459"/>
      <c r="B18" s="371"/>
      <c r="C18" s="371"/>
      <c r="D18" s="396"/>
      <c r="E18" s="371"/>
      <c r="F18" s="371"/>
      <c r="G18" s="459"/>
      <c r="H18" s="459"/>
      <c r="I18" s="454"/>
      <c r="J18" s="454"/>
    </row>
    <row r="19" spans="1:10" ht="23.25">
      <c r="A19" s="460" t="s">
        <v>30</v>
      </c>
      <c r="B19" s="371"/>
      <c r="C19" s="371"/>
      <c r="D19" s="396"/>
      <c r="E19" s="371"/>
      <c r="F19" s="371"/>
      <c r="G19" s="459"/>
      <c r="H19" s="459"/>
      <c r="I19" s="454"/>
      <c r="J19" s="454"/>
    </row>
    <row r="20" spans="1:10" ht="15.75" customHeight="1">
      <c r="A20" s="455" t="s">
        <v>1393</v>
      </c>
      <c r="B20" s="374"/>
      <c r="C20" s="374"/>
      <c r="D20" s="456"/>
      <c r="E20" s="374"/>
      <c r="F20" s="374"/>
      <c r="G20" s="455"/>
      <c r="H20" s="459"/>
      <c r="I20" s="270">
        <v>6754</v>
      </c>
      <c r="J20" s="453" t="s">
        <v>661</v>
      </c>
    </row>
    <row r="21" spans="1:10" ht="15.75" customHeight="1">
      <c r="A21" s="457" t="s">
        <v>31</v>
      </c>
      <c r="B21" s="377"/>
      <c r="C21" s="377"/>
      <c r="D21" s="458"/>
      <c r="E21" s="377"/>
      <c r="F21" s="377"/>
      <c r="G21" s="457"/>
      <c r="H21" s="459"/>
      <c r="I21" s="269"/>
      <c r="J21" s="453" t="s">
        <v>302</v>
      </c>
    </row>
    <row r="22" spans="1:10" ht="15.75" customHeight="1">
      <c r="A22" s="461" t="s">
        <v>1570</v>
      </c>
      <c r="B22" s="389"/>
      <c r="C22" s="389"/>
      <c r="D22" s="462"/>
      <c r="E22" s="389"/>
      <c r="F22" s="389"/>
      <c r="G22" s="461"/>
      <c r="H22" s="459"/>
      <c r="I22" s="454"/>
      <c r="J22" s="454"/>
    </row>
    <row r="23" spans="1:10" ht="15.75" customHeight="1">
      <c r="A23" s="455" t="s">
        <v>1514</v>
      </c>
      <c r="B23" s="374"/>
      <c r="C23" s="374"/>
      <c r="D23" s="456"/>
      <c r="E23" s="374"/>
      <c r="F23" s="374"/>
      <c r="G23" s="455"/>
      <c r="H23" s="459"/>
      <c r="I23" s="270">
        <f>MAXA(0,I20-I21)</f>
        <v>6754</v>
      </c>
      <c r="J23" s="453" t="s">
        <v>303</v>
      </c>
    </row>
    <row r="24" spans="1:10" ht="15.75" customHeight="1">
      <c r="A24" s="791" t="s">
        <v>1728</v>
      </c>
      <c r="B24" s="117"/>
      <c r="C24" s="117"/>
      <c r="D24" s="117"/>
      <c r="E24" s="117"/>
      <c r="F24" s="371"/>
      <c r="G24" s="459"/>
      <c r="H24" s="459"/>
      <c r="I24" s="454"/>
      <c r="J24" s="454"/>
    </row>
    <row r="25" spans="1:10" ht="15.75" customHeight="1">
      <c r="A25" s="459"/>
      <c r="B25" s="371"/>
      <c r="C25" s="371"/>
      <c r="D25" s="396"/>
      <c r="E25" s="371"/>
      <c r="F25" s="371"/>
      <c r="G25" s="459"/>
      <c r="H25" s="459"/>
      <c r="I25" s="454"/>
      <c r="J25" s="454"/>
    </row>
    <row r="26" spans="1:10" ht="23.25">
      <c r="A26" s="460" t="s">
        <v>322</v>
      </c>
      <c r="B26" s="371"/>
      <c r="C26" s="371"/>
      <c r="D26" s="396"/>
      <c r="E26" s="371"/>
      <c r="F26" s="371"/>
      <c r="G26" s="459"/>
      <c r="H26" s="459"/>
      <c r="I26" s="454"/>
      <c r="J26" s="454"/>
    </row>
    <row r="27" spans="1:10" ht="15.75" customHeight="1">
      <c r="A27" s="455" t="s">
        <v>191</v>
      </c>
      <c r="B27" s="374"/>
      <c r="C27" s="374"/>
      <c r="D27" s="456"/>
      <c r="E27" s="374"/>
      <c r="F27" s="374"/>
      <c r="G27" s="455"/>
      <c r="H27" s="459"/>
      <c r="I27" s="270">
        <v>7231</v>
      </c>
      <c r="J27" s="453" t="s">
        <v>661</v>
      </c>
    </row>
    <row r="28" spans="1:10" ht="15.75" customHeight="1">
      <c r="A28" s="457" t="s">
        <v>323</v>
      </c>
      <c r="B28" s="377"/>
      <c r="C28" s="377"/>
      <c r="D28" s="458"/>
      <c r="E28" s="377"/>
      <c r="F28" s="377"/>
      <c r="G28" s="457"/>
      <c r="H28" s="459"/>
      <c r="I28" s="269"/>
      <c r="J28" s="453" t="s">
        <v>302</v>
      </c>
    </row>
    <row r="29" spans="1:10" ht="15.75" customHeight="1">
      <c r="A29" s="457" t="s">
        <v>1515</v>
      </c>
      <c r="B29" s="377"/>
      <c r="C29" s="377"/>
      <c r="D29" s="458"/>
      <c r="E29" s="377"/>
      <c r="F29" s="377"/>
      <c r="G29" s="457"/>
      <c r="H29" s="459"/>
      <c r="I29" s="267">
        <f>IF((I27-I28)&gt;2386,2386,MAXA(0,I27-I28))</f>
        <v>2386</v>
      </c>
      <c r="J29" s="453" t="s">
        <v>303</v>
      </c>
    </row>
    <row r="30" spans="1:10" ht="15.75" customHeight="1">
      <c r="A30" s="457" t="s">
        <v>11</v>
      </c>
      <c r="B30" s="377"/>
      <c r="C30" s="377"/>
      <c r="D30" s="458"/>
      <c r="E30" s="377"/>
      <c r="F30" s="377"/>
      <c r="G30" s="457"/>
      <c r="H30" s="459"/>
      <c r="I30" s="269"/>
      <c r="J30" s="453" t="s">
        <v>304</v>
      </c>
    </row>
    <row r="31" spans="1:10" ht="15.75" customHeight="1">
      <c r="A31" s="457" t="s">
        <v>12</v>
      </c>
      <c r="B31" s="377"/>
      <c r="C31" s="377"/>
      <c r="D31" s="458"/>
      <c r="E31" s="377"/>
      <c r="F31" s="377"/>
      <c r="G31" s="457"/>
      <c r="H31" s="459"/>
      <c r="I31" s="267">
        <f>MAXA(0,I29-I30)</f>
        <v>2386</v>
      </c>
      <c r="J31" s="453" t="s">
        <v>305</v>
      </c>
    </row>
    <row r="32" spans="1:10" ht="15.75" customHeight="1">
      <c r="A32" s="463" t="s">
        <v>955</v>
      </c>
      <c r="B32" s="371"/>
      <c r="C32" s="371"/>
      <c r="D32" s="396"/>
      <c r="E32" s="371"/>
      <c r="F32" s="371"/>
      <c r="G32" s="459"/>
      <c r="H32" s="459"/>
      <c r="I32" s="454"/>
      <c r="J32" s="454"/>
    </row>
    <row r="33" spans="1:10" ht="15.75" customHeight="1">
      <c r="A33" s="117" t="s">
        <v>1725</v>
      </c>
      <c r="B33" s="115"/>
      <c r="C33" s="115"/>
      <c r="D33" s="115"/>
      <c r="E33" s="115"/>
      <c r="F33" s="116" t="s">
        <v>13</v>
      </c>
      <c r="G33" s="268">
        <f>I31</f>
        <v>2386</v>
      </c>
      <c r="H33" s="459"/>
      <c r="I33" s="454"/>
      <c r="J33" s="454"/>
    </row>
    <row r="34" spans="1:10" ht="15.75" customHeight="1">
      <c r="A34" s="459"/>
      <c r="B34" s="371"/>
      <c r="C34" s="371"/>
      <c r="D34" s="396"/>
      <c r="E34" s="371"/>
      <c r="F34" s="371"/>
      <c r="G34" s="459"/>
      <c r="H34" s="459"/>
      <c r="I34" s="454"/>
      <c r="J34" s="454"/>
    </row>
    <row r="35" spans="1:10" ht="23.25">
      <c r="A35" s="460" t="s">
        <v>1721</v>
      </c>
      <c r="B35" s="371"/>
      <c r="C35" s="371"/>
      <c r="D35" s="396"/>
      <c r="E35" s="371"/>
      <c r="F35" s="371"/>
      <c r="G35" s="459"/>
      <c r="H35" s="459"/>
      <c r="I35" s="454"/>
      <c r="J35" s="454"/>
    </row>
    <row r="36" spans="1:10" ht="15.75" customHeight="1">
      <c r="A36" s="455" t="s">
        <v>191</v>
      </c>
      <c r="B36" s="374"/>
      <c r="C36" s="374"/>
      <c r="D36" s="456"/>
      <c r="E36" s="374"/>
      <c r="F36" s="374"/>
      <c r="G36" s="455"/>
      <c r="H36" s="459"/>
      <c r="I36" s="270">
        <v>14047</v>
      </c>
      <c r="J36" s="453" t="s">
        <v>661</v>
      </c>
    </row>
    <row r="37" spans="1:10" ht="15.75" customHeight="1">
      <c r="A37" s="457" t="s">
        <v>1064</v>
      </c>
      <c r="B37" s="377"/>
      <c r="C37" s="377"/>
      <c r="D37" s="458"/>
      <c r="E37" s="377"/>
      <c r="F37" s="377"/>
      <c r="G37" s="457"/>
      <c r="H37" s="459"/>
      <c r="I37" s="269"/>
      <c r="J37" s="453" t="s">
        <v>302</v>
      </c>
    </row>
    <row r="38" spans="1:10" ht="15.75" customHeight="1">
      <c r="A38" s="457" t="s">
        <v>1516</v>
      </c>
      <c r="B38" s="377"/>
      <c r="C38" s="377"/>
      <c r="D38" s="458"/>
      <c r="E38" s="377"/>
      <c r="F38" s="377"/>
      <c r="G38" s="457"/>
      <c r="H38" s="459"/>
      <c r="I38" s="267">
        <f>IF((I36-I37)&gt;2386,2386,MAXA(0,I36-I37))</f>
        <v>2386</v>
      </c>
      <c r="J38" s="453" t="s">
        <v>303</v>
      </c>
    </row>
    <row r="39" spans="1:10" ht="15.75" customHeight="1">
      <c r="A39" s="457" t="s">
        <v>11</v>
      </c>
      <c r="B39" s="377"/>
      <c r="C39" s="377"/>
      <c r="D39" s="458"/>
      <c r="E39" s="377"/>
      <c r="F39" s="377"/>
      <c r="G39" s="457"/>
      <c r="H39" s="459"/>
      <c r="I39" s="269"/>
      <c r="J39" s="453" t="s">
        <v>304</v>
      </c>
    </row>
    <row r="40" spans="1:10" ht="15.75" customHeight="1">
      <c r="A40" s="457" t="s">
        <v>12</v>
      </c>
      <c r="B40" s="377"/>
      <c r="C40" s="377"/>
      <c r="D40" s="458"/>
      <c r="E40" s="377"/>
      <c r="F40" s="377"/>
      <c r="G40" s="457"/>
      <c r="H40" s="459"/>
      <c r="I40" s="267">
        <f>MAXA(0,I38-I39)</f>
        <v>2386</v>
      </c>
      <c r="J40" s="453" t="s">
        <v>305</v>
      </c>
    </row>
    <row r="41" spans="1:10" ht="15.75" customHeight="1">
      <c r="A41" s="459"/>
      <c r="B41" s="371"/>
      <c r="C41" s="371"/>
      <c r="D41" s="396"/>
      <c r="E41" s="371"/>
      <c r="F41" s="371"/>
      <c r="G41" s="459"/>
      <c r="H41" s="459"/>
      <c r="I41" s="454"/>
      <c r="J41" s="454"/>
    </row>
    <row r="42" spans="1:10" ht="15.75" customHeight="1">
      <c r="A42" s="463" t="s">
        <v>955</v>
      </c>
      <c r="B42" s="371"/>
      <c r="C42" s="371"/>
      <c r="D42" s="396"/>
      <c r="E42" s="371"/>
      <c r="F42" s="371"/>
      <c r="G42" s="459"/>
      <c r="H42" s="459"/>
      <c r="I42" s="454"/>
      <c r="J42" s="454"/>
    </row>
    <row r="43" spans="1:10" ht="15.75" customHeight="1">
      <c r="A43" s="117" t="s">
        <v>2072</v>
      </c>
      <c r="B43" s="115"/>
      <c r="C43" s="115"/>
      <c r="D43" s="115"/>
      <c r="E43" s="115"/>
      <c r="F43" s="116" t="s">
        <v>13</v>
      </c>
      <c r="G43" s="268">
        <f>I40</f>
        <v>2386</v>
      </c>
      <c r="H43" s="459"/>
      <c r="I43" s="454"/>
      <c r="J43" s="454"/>
    </row>
    <row r="44" spans="1:10" ht="15.75" customHeight="1">
      <c r="A44" s="459"/>
      <c r="B44" s="371"/>
      <c r="C44" s="371"/>
      <c r="D44" s="396"/>
      <c r="E44" s="371"/>
      <c r="F44" s="371"/>
      <c r="G44" s="459"/>
      <c r="H44" s="459"/>
      <c r="I44" s="454"/>
      <c r="J44" s="454"/>
    </row>
    <row r="45" spans="1:10" ht="15.75" customHeight="1">
      <c r="A45" s="459"/>
      <c r="B45" s="459"/>
      <c r="C45" s="459"/>
      <c r="D45" s="464"/>
      <c r="E45" s="459"/>
      <c r="F45" s="459"/>
      <c r="G45" s="459"/>
      <c r="H45" s="459"/>
      <c r="I45" s="454"/>
      <c r="J45" s="454"/>
    </row>
    <row r="46" spans="1:10" ht="23.25">
      <c r="A46" s="460" t="s">
        <v>213</v>
      </c>
      <c r="B46" s="459"/>
      <c r="C46" s="459"/>
      <c r="D46" s="464"/>
      <c r="E46" s="459"/>
      <c r="F46" s="459"/>
      <c r="G46" s="459"/>
      <c r="H46" s="459"/>
      <c r="I46" s="454"/>
      <c r="J46" s="454"/>
    </row>
    <row r="47" spans="1:10" ht="15.75" customHeight="1">
      <c r="A47" s="455" t="s">
        <v>1304</v>
      </c>
      <c r="B47" s="455"/>
      <c r="C47" s="455"/>
      <c r="D47" s="465"/>
      <c r="E47" s="455"/>
      <c r="F47" s="455"/>
      <c r="G47" s="455"/>
      <c r="H47" s="459"/>
      <c r="I47" s="270">
        <v>2941</v>
      </c>
      <c r="J47" s="453" t="s">
        <v>661</v>
      </c>
    </row>
    <row r="48" spans="1:10" ht="15.75" customHeight="1">
      <c r="A48" s="457" t="s">
        <v>214</v>
      </c>
      <c r="B48" s="457"/>
      <c r="C48" s="457"/>
      <c r="D48" s="466"/>
      <c r="E48" s="457"/>
      <c r="F48" s="459"/>
      <c r="G48" s="269"/>
      <c r="H48" s="453" t="s">
        <v>302</v>
      </c>
      <c r="I48" s="454"/>
      <c r="J48" s="454"/>
    </row>
    <row r="49" spans="1:10" ht="15.75" customHeight="1">
      <c r="A49" s="457" t="s">
        <v>1393</v>
      </c>
      <c r="B49" s="457"/>
      <c r="C49" s="457"/>
      <c r="D49" s="466"/>
      <c r="E49" s="457"/>
      <c r="F49" s="459"/>
      <c r="G49" s="267">
        <v>2000</v>
      </c>
      <c r="H49" s="453" t="s">
        <v>303</v>
      </c>
      <c r="I49" s="454"/>
      <c r="J49" s="454"/>
    </row>
    <row r="50" spans="1:10" ht="15.75" customHeight="1">
      <c r="A50" s="457" t="s">
        <v>1001</v>
      </c>
      <c r="B50" s="457"/>
      <c r="C50" s="457"/>
      <c r="D50" s="466"/>
      <c r="E50" s="457"/>
      <c r="F50" s="459"/>
      <c r="G50" s="267">
        <f>MAXA(0,G48-G49)</f>
        <v>0</v>
      </c>
      <c r="H50" s="453"/>
      <c r="I50" s="270">
        <f>G50</f>
        <v>0</v>
      </c>
      <c r="J50" s="453" t="s">
        <v>304</v>
      </c>
    </row>
    <row r="51" spans="1:10" ht="15.75" customHeight="1">
      <c r="A51" s="457" t="s">
        <v>289</v>
      </c>
      <c r="B51" s="457"/>
      <c r="C51" s="457"/>
      <c r="D51" s="466"/>
      <c r="E51" s="457"/>
      <c r="F51" s="459"/>
      <c r="G51" s="459"/>
      <c r="H51" s="459"/>
      <c r="I51" s="267">
        <f>MAXA(0,I47-I50)</f>
        <v>2941</v>
      </c>
      <c r="J51" s="453" t="s">
        <v>305</v>
      </c>
    </row>
    <row r="52" spans="1:10" ht="15.75" customHeight="1">
      <c r="A52" s="459" t="s">
        <v>1916</v>
      </c>
      <c r="B52" s="459"/>
      <c r="C52" s="459"/>
      <c r="D52" s="716"/>
      <c r="E52" s="459"/>
      <c r="F52" s="459"/>
      <c r="G52" s="459"/>
      <c r="H52" s="459"/>
      <c r="I52" s="454"/>
      <c r="J52" s="454"/>
    </row>
    <row r="53" spans="1:10" ht="15.75" customHeight="1">
      <c r="A53" s="459" t="s">
        <v>1609</v>
      </c>
      <c r="B53" s="459"/>
      <c r="C53" s="459"/>
      <c r="D53" s="464"/>
      <c r="E53" s="459"/>
      <c r="F53" s="459"/>
      <c r="G53" s="459"/>
      <c r="H53" s="469" t="s">
        <v>1915</v>
      </c>
      <c r="I53" s="795">
        <f>4293+IF(age&gt;=18,0,I51)</f>
        <v>4293</v>
      </c>
      <c r="J53" s="454"/>
    </row>
    <row r="54" spans="1:10" ht="15.75" customHeight="1">
      <c r="A54" s="791" t="s">
        <v>1914</v>
      </c>
      <c r="B54" s="117"/>
      <c r="C54" s="117"/>
      <c r="D54" s="117"/>
      <c r="E54" s="117"/>
      <c r="F54" s="459"/>
      <c r="G54" s="459"/>
      <c r="H54" s="459"/>
      <c r="I54" s="454"/>
      <c r="J54" s="454"/>
    </row>
    <row r="55" spans="1:10" ht="15.75" customHeight="1">
      <c r="A55" s="459"/>
      <c r="B55" s="459"/>
      <c r="C55" s="459"/>
      <c r="D55" s="464"/>
      <c r="E55" s="459"/>
      <c r="F55" s="459"/>
      <c r="G55" s="459"/>
      <c r="H55" s="459"/>
      <c r="I55" s="454"/>
      <c r="J55" s="454"/>
    </row>
    <row r="56" spans="1:10" ht="15.75" customHeight="1">
      <c r="A56" s="459"/>
      <c r="B56" s="459"/>
      <c r="C56" s="459"/>
      <c r="D56" s="464"/>
      <c r="E56" s="459"/>
      <c r="F56" s="459"/>
      <c r="G56" s="459"/>
      <c r="H56" s="459"/>
      <c r="I56" s="454"/>
      <c r="J56" s="454"/>
    </row>
    <row r="57" spans="1:10" ht="15.75" customHeight="1">
      <c r="A57" s="459"/>
      <c r="B57" s="459"/>
      <c r="C57" s="459"/>
      <c r="D57" s="464"/>
      <c r="E57" s="459"/>
      <c r="F57" s="459"/>
      <c r="G57" s="459"/>
      <c r="H57" s="459"/>
      <c r="I57" s="454"/>
      <c r="J57" s="454"/>
    </row>
    <row r="58" spans="1:10" ht="23.25">
      <c r="A58" s="459"/>
      <c r="B58" s="459"/>
      <c r="C58" s="459"/>
      <c r="D58" s="464" t="s">
        <v>212</v>
      </c>
      <c r="E58" s="459"/>
      <c r="F58" s="459"/>
      <c r="G58" s="459"/>
      <c r="H58" s="459"/>
      <c r="I58" s="454"/>
      <c r="J58" s="454"/>
    </row>
    <row r="59" spans="1:10" ht="15.75" customHeight="1">
      <c r="A59" s="459"/>
      <c r="B59" s="459"/>
      <c r="C59" s="459"/>
      <c r="D59" s="464"/>
      <c r="E59" s="459"/>
      <c r="F59" s="459"/>
      <c r="G59" s="459"/>
      <c r="H59" s="459"/>
      <c r="I59" s="454"/>
      <c r="J59" s="454"/>
    </row>
    <row r="60" spans="1:10" ht="15.75" customHeight="1">
      <c r="A60" s="460" t="s">
        <v>1831</v>
      </c>
      <c r="B60" s="459"/>
      <c r="C60" s="459"/>
      <c r="D60" s="464"/>
      <c r="E60" s="459"/>
      <c r="F60" s="459"/>
      <c r="G60" s="459"/>
      <c r="H60" s="459"/>
      <c r="I60" s="454"/>
      <c r="J60" s="454"/>
    </row>
    <row r="61" spans="1:10" ht="15.75" customHeight="1">
      <c r="A61" s="455" t="s">
        <v>1393</v>
      </c>
      <c r="B61" s="455"/>
      <c r="C61" s="455"/>
      <c r="D61" s="465"/>
      <c r="E61" s="455"/>
      <c r="F61" s="455"/>
      <c r="G61" s="455"/>
      <c r="H61" s="459"/>
      <c r="I61" s="270">
        <v>4293</v>
      </c>
      <c r="J61" s="453" t="s">
        <v>661</v>
      </c>
    </row>
    <row r="62" spans="1:10" ht="15.75" customHeight="1">
      <c r="A62" s="461" t="s">
        <v>601</v>
      </c>
      <c r="B62" s="461"/>
      <c r="C62" s="461"/>
      <c r="D62" s="467"/>
      <c r="E62" s="461"/>
      <c r="F62" s="461"/>
      <c r="G62" s="461"/>
      <c r="H62" s="459"/>
      <c r="I62" s="469"/>
      <c r="J62" s="454"/>
    </row>
    <row r="63" spans="1:10" ht="15.75" customHeight="1">
      <c r="A63" s="455" t="s">
        <v>1832</v>
      </c>
      <c r="B63" s="455"/>
      <c r="C63" s="455"/>
      <c r="D63" s="465"/>
      <c r="E63" s="455"/>
      <c r="F63" s="455"/>
      <c r="G63" s="455"/>
      <c r="H63" s="459"/>
      <c r="I63" s="268"/>
      <c r="J63" s="453" t="s">
        <v>302</v>
      </c>
    </row>
    <row r="64" spans="1:10" ht="15.75" customHeight="1">
      <c r="A64" s="457" t="s">
        <v>598</v>
      </c>
      <c r="B64" s="457"/>
      <c r="C64" s="457"/>
      <c r="D64" s="466"/>
      <c r="E64" s="457"/>
      <c r="F64" s="457"/>
      <c r="G64" s="457"/>
      <c r="H64" s="459"/>
      <c r="I64" s="267">
        <f>I61+I63</f>
        <v>4293</v>
      </c>
      <c r="J64" s="453" t="s">
        <v>303</v>
      </c>
    </row>
    <row r="65" spans="1:10" ht="15.75" customHeight="1">
      <c r="A65" s="457" t="s">
        <v>1517</v>
      </c>
      <c r="B65" s="457"/>
      <c r="C65" s="457"/>
      <c r="D65" s="466"/>
      <c r="E65" s="457"/>
      <c r="F65" s="457"/>
      <c r="G65" s="457"/>
      <c r="H65" s="459"/>
      <c r="I65" s="269"/>
      <c r="J65" s="453" t="s">
        <v>304</v>
      </c>
    </row>
    <row r="66" spans="1:10" ht="15.75" customHeight="1">
      <c r="A66" s="457" t="s">
        <v>354</v>
      </c>
      <c r="B66" s="457"/>
      <c r="C66" s="457"/>
      <c r="D66" s="466"/>
      <c r="E66" s="457"/>
      <c r="F66" s="457"/>
      <c r="G66" s="457"/>
      <c r="H66" s="459"/>
      <c r="I66" s="267">
        <f>I64+I65</f>
        <v>4293</v>
      </c>
      <c r="J66" s="453" t="s">
        <v>305</v>
      </c>
    </row>
    <row r="67" spans="1:10" ht="15.75" customHeight="1">
      <c r="A67" s="457" t="s">
        <v>599</v>
      </c>
      <c r="B67" s="457"/>
      <c r="C67" s="457"/>
      <c r="D67" s="466"/>
      <c r="E67" s="457"/>
      <c r="F67" s="457"/>
      <c r="G67" s="457"/>
      <c r="H67" s="459"/>
      <c r="I67" s="269"/>
      <c r="J67" s="453" t="s">
        <v>306</v>
      </c>
    </row>
    <row r="68" spans="1:10" ht="15.75" customHeight="1">
      <c r="A68" s="461" t="s">
        <v>600</v>
      </c>
      <c r="B68" s="461"/>
      <c r="C68" s="461"/>
      <c r="D68" s="467"/>
      <c r="E68" s="461"/>
      <c r="F68" s="461"/>
      <c r="G68" s="461"/>
      <c r="H68" s="459"/>
      <c r="I68" s="469"/>
      <c r="J68" s="454"/>
    </row>
    <row r="69" spans="1:10" ht="15.75" customHeight="1">
      <c r="A69" s="455" t="s">
        <v>1518</v>
      </c>
      <c r="B69" s="455"/>
      <c r="C69" s="455"/>
      <c r="D69" s="465"/>
      <c r="E69" s="455"/>
      <c r="F69" s="455"/>
      <c r="G69" s="455"/>
      <c r="H69" s="459"/>
      <c r="I69" s="270">
        <f>MAXA(0,I66-I67)</f>
        <v>4293</v>
      </c>
      <c r="J69" s="453" t="s">
        <v>1402</v>
      </c>
    </row>
    <row r="70" spans="1:10" ht="15.75" customHeight="1">
      <c r="A70" s="459"/>
      <c r="B70" s="459"/>
      <c r="C70" s="459"/>
      <c r="D70" s="464"/>
      <c r="E70" s="459"/>
      <c r="F70" s="469" t="s">
        <v>1130</v>
      </c>
      <c r="G70" s="267">
        <f>MINA(I64,I69)</f>
        <v>4293</v>
      </c>
      <c r="H70" s="459"/>
      <c r="I70" s="469"/>
      <c r="J70" s="454"/>
    </row>
    <row r="71" spans="1:10" ht="15.75" customHeight="1">
      <c r="A71" s="463" t="s">
        <v>592</v>
      </c>
      <c r="B71" s="459"/>
      <c r="C71" s="459"/>
      <c r="D71" s="464"/>
      <c r="E71" s="459"/>
      <c r="F71" s="459"/>
      <c r="G71" s="459"/>
      <c r="H71" s="459"/>
      <c r="I71" s="469"/>
      <c r="J71" s="454"/>
    </row>
    <row r="72" spans="1:10" ht="15.75" customHeight="1">
      <c r="A72" s="459" t="s">
        <v>1129</v>
      </c>
      <c r="B72" s="459"/>
      <c r="C72" s="459"/>
      <c r="D72" s="464"/>
      <c r="E72" s="115"/>
      <c r="F72" s="116" t="s">
        <v>13</v>
      </c>
      <c r="G72" s="268">
        <f>G70</f>
        <v>4293</v>
      </c>
      <c r="H72" s="459"/>
      <c r="I72" s="469"/>
      <c r="J72" s="454"/>
    </row>
    <row r="73" spans="1:10" ht="15.75" customHeight="1">
      <c r="A73" s="459" t="s">
        <v>532</v>
      </c>
      <c r="B73" s="459"/>
      <c r="C73" s="459"/>
      <c r="D73" s="464"/>
      <c r="E73" s="459"/>
      <c r="F73" s="459"/>
      <c r="G73" s="459"/>
      <c r="H73" s="459"/>
      <c r="I73" s="454"/>
      <c r="J73" s="454"/>
    </row>
    <row r="74" spans="1:10" ht="15.75" customHeight="1">
      <c r="A74" s="459"/>
      <c r="B74" s="459"/>
      <c r="C74" s="459"/>
      <c r="D74" s="464"/>
      <c r="E74" s="459"/>
      <c r="F74" s="459"/>
      <c r="G74" s="459"/>
      <c r="H74" s="459"/>
      <c r="I74" s="454"/>
      <c r="J74" s="454"/>
    </row>
    <row r="75" spans="1:10" ht="15.75" customHeight="1">
      <c r="A75" s="459"/>
      <c r="B75" s="459"/>
      <c r="C75" s="459"/>
      <c r="D75" s="464"/>
      <c r="E75" s="459"/>
      <c r="F75" s="459"/>
      <c r="G75" s="459"/>
      <c r="H75" s="459"/>
      <c r="I75" s="454"/>
      <c r="J75" s="454"/>
    </row>
    <row r="76" spans="1:10" ht="15.75" customHeight="1">
      <c r="A76" s="460" t="s">
        <v>1131</v>
      </c>
      <c r="B76" s="459"/>
      <c r="C76" s="459"/>
      <c r="D76" s="464"/>
      <c r="E76" s="459"/>
      <c r="F76" s="459"/>
      <c r="G76" s="270"/>
      <c r="H76" s="459"/>
      <c r="I76" s="454"/>
      <c r="J76" s="454"/>
    </row>
    <row r="77" spans="1:10" ht="15.75" customHeight="1">
      <c r="A77" s="459"/>
      <c r="B77" s="459"/>
      <c r="C77" s="459"/>
      <c r="D77" s="464"/>
      <c r="E77" s="459"/>
      <c r="F77" s="459"/>
      <c r="G77" s="459"/>
      <c r="H77" s="459"/>
      <c r="I77" s="454"/>
      <c r="J77" s="454"/>
    </row>
    <row r="78" spans="1:10" ht="15.75" customHeight="1">
      <c r="A78" s="455" t="s">
        <v>1064</v>
      </c>
      <c r="B78" s="455"/>
      <c r="C78" s="455"/>
      <c r="D78" s="465"/>
      <c r="E78" s="455"/>
      <c r="F78" s="455"/>
      <c r="G78" s="455"/>
      <c r="H78" s="459"/>
      <c r="I78" s="268"/>
      <c r="J78" s="453" t="s">
        <v>661</v>
      </c>
    </row>
    <row r="79" spans="1:10" ht="15.75" customHeight="1">
      <c r="A79" s="457" t="s">
        <v>1393</v>
      </c>
      <c r="B79" s="457"/>
      <c r="C79" s="457"/>
      <c r="D79" s="466"/>
      <c r="E79" s="457"/>
      <c r="F79" s="457"/>
      <c r="G79" s="457"/>
      <c r="H79" s="459"/>
      <c r="I79" s="267">
        <v>7231</v>
      </c>
      <c r="J79" s="453" t="s">
        <v>302</v>
      </c>
    </row>
    <row r="80" spans="1:10" ht="15.75" customHeight="1">
      <c r="A80" s="457" t="s">
        <v>1570</v>
      </c>
      <c r="B80" s="457"/>
      <c r="C80" s="457"/>
      <c r="D80" s="466"/>
      <c r="E80" s="457"/>
      <c r="F80" s="457"/>
      <c r="G80" s="457"/>
      <c r="H80" s="459"/>
      <c r="I80" s="267">
        <f>MAXA(0,I78-I79)</f>
        <v>0</v>
      </c>
      <c r="J80" s="453" t="s">
        <v>303</v>
      </c>
    </row>
    <row r="81" spans="1:10" ht="15.75" customHeight="1">
      <c r="A81" s="457" t="s">
        <v>1132</v>
      </c>
      <c r="B81" s="457"/>
      <c r="C81" s="457"/>
      <c r="D81" s="466"/>
      <c r="E81" s="457"/>
      <c r="F81" s="457"/>
      <c r="G81" s="457"/>
      <c r="H81" s="459"/>
      <c r="I81" s="277">
        <v>4</v>
      </c>
      <c r="J81" s="453" t="s">
        <v>304</v>
      </c>
    </row>
    <row r="82" spans="1:10" ht="15.75" customHeight="1">
      <c r="A82" s="457" t="s">
        <v>477</v>
      </c>
      <c r="B82" s="457"/>
      <c r="C82" s="457"/>
      <c r="D82" s="466"/>
      <c r="E82" s="457"/>
      <c r="F82" s="457"/>
      <c r="G82" s="457"/>
      <c r="H82" s="459"/>
      <c r="I82" s="267">
        <f>I80*I81</f>
        <v>0</v>
      </c>
      <c r="J82" s="453" t="s">
        <v>305</v>
      </c>
    </row>
    <row r="83" spans="1:10" ht="15.75" customHeight="1">
      <c r="A83" s="459"/>
      <c r="B83" s="459"/>
      <c r="C83" s="459"/>
      <c r="D83" s="464"/>
      <c r="E83" s="459"/>
      <c r="F83" s="459"/>
      <c r="G83" s="459"/>
      <c r="H83" s="459"/>
      <c r="I83" s="454"/>
      <c r="J83" s="454"/>
    </row>
    <row r="84" spans="1:10" ht="15.75" customHeight="1">
      <c r="A84" s="463" t="s">
        <v>592</v>
      </c>
      <c r="B84" s="459"/>
      <c r="C84" s="459"/>
      <c r="D84" s="464"/>
      <c r="E84" s="459"/>
      <c r="F84" s="459"/>
      <c r="G84" s="459"/>
      <c r="H84" s="459"/>
      <c r="I84" s="454"/>
      <c r="J84" s="454"/>
    </row>
    <row r="85" spans="1:10" ht="15.75" customHeight="1">
      <c r="A85" s="468" t="s">
        <v>1519</v>
      </c>
      <c r="B85" s="459"/>
      <c r="C85" s="459"/>
      <c r="D85" s="464"/>
      <c r="E85" s="115"/>
      <c r="F85" s="116" t="s">
        <v>13</v>
      </c>
      <c r="G85" s="268"/>
      <c r="H85" s="459"/>
      <c r="I85" s="454"/>
      <c r="J85" s="454"/>
    </row>
    <row r="86" spans="1:10" ht="15.75" customHeight="1">
      <c r="A86" s="459"/>
      <c r="B86" s="459"/>
      <c r="C86" s="459"/>
      <c r="D86" s="464"/>
      <c r="E86" s="459"/>
      <c r="F86" s="459"/>
      <c r="G86" s="459"/>
      <c r="H86" s="459"/>
      <c r="I86" s="454"/>
      <c r="J86" s="454"/>
    </row>
    <row r="87" spans="1:10" ht="15.75" customHeight="1">
      <c r="A87" s="459"/>
      <c r="B87" s="459"/>
      <c r="C87" s="459"/>
      <c r="D87" s="464"/>
      <c r="E87" s="459"/>
      <c r="F87" s="459"/>
      <c r="G87" s="459"/>
      <c r="H87" s="459"/>
      <c r="I87" s="454"/>
      <c r="J87" s="454"/>
    </row>
    <row r="88" spans="1:10" ht="15.75" customHeight="1">
      <c r="A88" s="460" t="s">
        <v>1520</v>
      </c>
      <c r="B88" s="459"/>
      <c r="C88" s="459"/>
      <c r="D88" s="464"/>
      <c r="E88" s="459"/>
      <c r="F88" s="459"/>
      <c r="G88" s="459"/>
      <c r="H88" s="459"/>
      <c r="I88" s="454"/>
      <c r="J88" s="454"/>
    </row>
    <row r="89" spans="1:10" ht="15.75" customHeight="1">
      <c r="A89" s="459"/>
      <c r="B89" s="459"/>
      <c r="C89" s="459"/>
      <c r="D89" s="464"/>
      <c r="E89" s="459"/>
      <c r="F89" s="459"/>
      <c r="G89" s="459"/>
      <c r="H89" s="459"/>
      <c r="I89" s="454"/>
      <c r="J89" s="454"/>
    </row>
    <row r="90" spans="1:10" ht="15.75" customHeight="1">
      <c r="A90" s="459" t="s">
        <v>1521</v>
      </c>
      <c r="B90" s="459"/>
      <c r="C90" s="459"/>
      <c r="D90" s="464"/>
      <c r="E90" s="459"/>
      <c r="F90" s="459"/>
      <c r="G90" s="459"/>
      <c r="H90" s="459"/>
      <c r="I90" s="454"/>
      <c r="J90" s="454"/>
    </row>
    <row r="91" spans="1:10" ht="15.75" customHeight="1">
      <c r="A91" s="459"/>
      <c r="B91" s="459"/>
      <c r="C91" s="459"/>
      <c r="D91" s="464"/>
      <c r="E91" s="459"/>
      <c r="F91" s="459"/>
      <c r="G91" s="459"/>
      <c r="H91" s="459"/>
      <c r="I91" s="454"/>
      <c r="J91" s="454"/>
    </row>
    <row r="92" spans="1:10" ht="15.75" customHeight="1">
      <c r="A92" s="455" t="s">
        <v>656</v>
      </c>
      <c r="B92" s="455"/>
      <c r="C92" s="455"/>
      <c r="D92" s="465"/>
      <c r="E92" s="455"/>
      <c r="F92" s="455"/>
      <c r="G92" s="455"/>
      <c r="H92" s="459"/>
      <c r="I92" s="268"/>
      <c r="J92" s="453" t="s">
        <v>661</v>
      </c>
    </row>
    <row r="93" spans="1:10" ht="15.75" customHeight="1">
      <c r="A93" s="459"/>
      <c r="B93" s="459"/>
      <c r="C93" s="459"/>
      <c r="D93" s="464"/>
      <c r="E93" s="459"/>
      <c r="F93" s="459"/>
      <c r="G93" s="459"/>
      <c r="H93" s="459"/>
      <c r="I93" s="454"/>
      <c r="J93" s="454"/>
    </row>
    <row r="94" spans="1:10" ht="15.75" customHeight="1">
      <c r="A94" s="455" t="s">
        <v>1522</v>
      </c>
      <c r="B94" s="455"/>
      <c r="C94" s="455"/>
      <c r="D94" s="465"/>
      <c r="E94" s="455"/>
      <c r="F94" s="455"/>
      <c r="G94" s="455"/>
      <c r="H94" s="459"/>
      <c r="I94" s="217">
        <f>(3/12)*MINA(I92+0,100)+(2/12)*MINA(I92+0,550)+(4/12)*MINA(I92+0,1150)</f>
        <v>0</v>
      </c>
      <c r="J94" s="453" t="s">
        <v>1402</v>
      </c>
    </row>
    <row r="95" spans="1:10" ht="15.75" customHeight="1">
      <c r="A95" s="459"/>
      <c r="B95" s="459"/>
      <c r="C95" s="459"/>
      <c r="D95" s="464"/>
      <c r="E95" s="459"/>
      <c r="F95" s="459"/>
      <c r="G95" s="459"/>
      <c r="H95" s="459"/>
      <c r="I95" s="454"/>
      <c r="J95" s="454"/>
    </row>
    <row r="96" spans="1:10" ht="15.75" customHeight="1">
      <c r="A96" s="459"/>
      <c r="B96" s="459"/>
      <c r="C96" s="459"/>
      <c r="D96" s="464"/>
      <c r="E96" s="459"/>
      <c r="F96" s="459"/>
      <c r="G96" s="459"/>
      <c r="H96" s="459"/>
      <c r="I96" s="454"/>
      <c r="J96" s="454"/>
    </row>
    <row r="97" spans="1:10" ht="15.75" customHeight="1">
      <c r="A97" s="460" t="s">
        <v>1523</v>
      </c>
      <c r="B97" s="459"/>
      <c r="C97" s="459"/>
      <c r="D97" s="464"/>
      <c r="E97" s="459"/>
      <c r="F97" s="459"/>
      <c r="G97" s="459"/>
      <c r="H97" s="459"/>
      <c r="I97" s="454"/>
      <c r="J97" s="454"/>
    </row>
    <row r="98" spans="1:10" ht="15.75" customHeight="1">
      <c r="A98" s="459"/>
      <c r="B98" s="459"/>
      <c r="C98" s="459"/>
      <c r="D98" s="464"/>
      <c r="E98" s="459"/>
      <c r="F98" s="459"/>
      <c r="G98" s="459"/>
      <c r="H98" s="459"/>
      <c r="I98" s="454"/>
      <c r="J98" s="454"/>
    </row>
    <row r="99" spans="1:10" ht="15.75" customHeight="1">
      <c r="A99" s="455" t="s">
        <v>1524</v>
      </c>
      <c r="B99" s="455"/>
      <c r="C99" s="455"/>
      <c r="D99" s="465"/>
      <c r="E99" s="455"/>
      <c r="F99" s="455"/>
      <c r="G99" s="455"/>
      <c r="H99" s="459"/>
      <c r="I99" s="217">
        <f>NS479!G33</f>
        <v>0</v>
      </c>
      <c r="J99" s="453" t="s">
        <v>661</v>
      </c>
    </row>
    <row r="100" spans="1:10" ht="15.75" customHeight="1">
      <c r="A100" s="457" t="s">
        <v>1525</v>
      </c>
      <c r="B100" s="457"/>
      <c r="C100" s="457"/>
      <c r="D100" s="466"/>
      <c r="E100" s="457"/>
      <c r="F100" s="457"/>
      <c r="G100" s="457"/>
      <c r="H100" s="459"/>
      <c r="I100" s="217">
        <f>NS479!I39</f>
        <v>0</v>
      </c>
      <c r="J100" s="453" t="s">
        <v>302</v>
      </c>
    </row>
    <row r="101" spans="1:10" ht="15.75" customHeight="1">
      <c r="A101" s="459"/>
      <c r="B101" s="459"/>
      <c r="C101" s="459"/>
      <c r="D101" s="464"/>
      <c r="E101" s="459"/>
      <c r="F101" s="459"/>
      <c r="G101" s="459"/>
      <c r="H101" s="459"/>
      <c r="I101" s="454"/>
      <c r="J101" s="454"/>
    </row>
    <row r="102" spans="1:10" ht="15.75" customHeight="1">
      <c r="A102" s="455" t="s">
        <v>1570</v>
      </c>
      <c r="B102" s="455"/>
      <c r="C102" s="455"/>
      <c r="D102" s="465"/>
      <c r="E102" s="455"/>
      <c r="F102" s="455"/>
      <c r="G102" s="455"/>
      <c r="H102" s="459"/>
      <c r="I102" s="217">
        <f>MAXA(0,I99-I100)</f>
        <v>0</v>
      </c>
      <c r="J102" s="453" t="s">
        <v>303</v>
      </c>
    </row>
    <row r="103" spans="1:10" ht="15.75" customHeight="1">
      <c r="A103" s="459"/>
      <c r="B103" s="459"/>
      <c r="C103" s="459"/>
      <c r="D103" s="464"/>
      <c r="E103" s="459"/>
      <c r="F103" s="459"/>
      <c r="G103" s="459"/>
      <c r="H103" s="459"/>
      <c r="I103" s="454"/>
      <c r="J103" s="454"/>
    </row>
    <row r="104" spans="1:10" ht="15.75" customHeight="1">
      <c r="A104" s="459" t="s">
        <v>1526</v>
      </c>
      <c r="B104" s="459"/>
      <c r="C104" s="459"/>
      <c r="D104" s="464"/>
      <c r="E104" s="459"/>
      <c r="F104" s="459"/>
      <c r="G104" s="459"/>
      <c r="H104" s="459"/>
      <c r="I104" s="454"/>
      <c r="J104" s="454"/>
    </row>
    <row r="105" spans="1:10" ht="15.75" customHeight="1">
      <c r="A105" s="459" t="s">
        <v>1527</v>
      </c>
      <c r="B105" s="459"/>
      <c r="C105" s="459"/>
      <c r="D105" s="464"/>
      <c r="E105" s="459"/>
      <c r="F105" s="459"/>
      <c r="G105" s="459"/>
      <c r="H105" s="459"/>
      <c r="I105" s="454"/>
      <c r="J105" s="454"/>
    </row>
    <row r="106" spans="1:10" ht="15.75" customHeight="1">
      <c r="A106" s="459" t="s">
        <v>1528</v>
      </c>
      <c r="B106" s="459"/>
      <c r="C106" s="459"/>
      <c r="D106" s="464"/>
      <c r="E106" s="459"/>
      <c r="F106" s="459"/>
      <c r="G106" s="459"/>
      <c r="H106" s="459"/>
      <c r="I106" s="454"/>
      <c r="J106" s="454"/>
    </row>
  </sheetData>
  <sheetProtection password="EC35" sheet="1" objects="1" scenarios="1"/>
  <dataValidations count="3">
    <dataValidation allowBlank="1" showInputMessage="1" showErrorMessage="1" promptTitle="DEFAULT FORMULA" prompt="You will need to replace this formula with the total amount for all infirm dependants if you have more than one.&#10;" sqref="G33"/>
    <dataValidation allowBlank="1" showInputMessage="1" showErrorMessage="1" promptTitle="DEFAULT FORMULA" prompt="You will need to replace this formula with the total amount for all dependants if you have more than one." sqref="G43"/>
    <dataValidation allowBlank="1" showInputMessage="1" showErrorMessage="1" promptTitle="DEFAULT FORMULA" prompt="You will have to replace this formula with the total amount for all &#10;dependants if you have more than one dependant that you are transferring amounts for." sqref="G72"/>
  </dataValidations>
  <printOptions horizontalCentered="1"/>
  <pageMargins left="0.25" right="0.25" top="0.511811023622047" bottom="0.5" header="0.511811023622047" footer="0.25"/>
  <pageSetup fitToHeight="4" fitToWidth="1" horizontalDpi="600" verticalDpi="600" orientation="landscape" scale="49" r:id="rId4"/>
  <headerFooter alignWithMargins="0">
    <oddFooter>&amp;L5003-D</oddFooter>
  </headerFooter>
  <rowBreaks count="1" manualBreakCount="1">
    <brk id="56" max="255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4" transitionEvaluation="1">
    <pageSetUpPr fitToPage="1"/>
  </sheetPr>
  <dimension ref="A1:K118"/>
  <sheetViews>
    <sheetView showGridLines="0" showRowColHeaders="0" zoomScale="75" zoomScaleNormal="75" workbookViewId="0" topLeftCell="A1">
      <selection activeCell="B1" sqref="B1"/>
    </sheetView>
  </sheetViews>
  <sheetFormatPr defaultColWidth="9.77734375" defaultRowHeight="15"/>
  <cols>
    <col min="1" max="1" width="1.5625" style="0" customWidth="1"/>
    <col min="2" max="2" width="25.5546875" style="0" customWidth="1"/>
    <col min="3" max="3" width="12.77734375" style="0" customWidth="1"/>
    <col min="4" max="4" width="13.6640625" style="0" customWidth="1"/>
    <col min="5" max="5" width="4.77734375" style="0" customWidth="1"/>
    <col min="6" max="6" width="12.77734375" style="0" customWidth="1"/>
    <col min="7" max="7" width="5.77734375" style="0" customWidth="1"/>
    <col min="8" max="8" width="12.77734375" style="0" customWidth="1"/>
    <col min="9" max="9" width="4.77734375" style="0" customWidth="1"/>
    <col min="10" max="10" width="12.77734375" style="0" customWidth="1"/>
    <col min="11" max="11" width="4.77734375" style="0" customWidth="1"/>
  </cols>
  <sheetData>
    <row r="1" spans="1:11" ht="30" customHeight="1">
      <c r="A1" s="371"/>
      <c r="B1" s="371"/>
      <c r="C1" s="371"/>
      <c r="D1" s="371"/>
      <c r="E1" s="371"/>
      <c r="F1" s="371"/>
      <c r="G1" s="371"/>
      <c r="H1" s="371"/>
      <c r="I1" s="371"/>
      <c r="J1" s="402" t="s">
        <v>1529</v>
      </c>
      <c r="K1" s="371"/>
    </row>
    <row r="2" spans="1:11" ht="26.25">
      <c r="A2" s="370"/>
      <c r="B2" s="373"/>
      <c r="C2" s="371"/>
      <c r="D2" s="395"/>
      <c r="E2" s="717" t="s">
        <v>1530</v>
      </c>
      <c r="F2" s="371"/>
      <c r="G2" s="371"/>
      <c r="H2" s="371"/>
      <c r="I2" s="371"/>
      <c r="J2" s="379" t="s">
        <v>658</v>
      </c>
      <c r="K2" s="371"/>
    </row>
    <row r="3" spans="1:11" ht="15">
      <c r="A3" s="370"/>
      <c r="B3" s="371"/>
      <c r="C3" s="371"/>
      <c r="D3" s="371"/>
      <c r="E3" s="371"/>
      <c r="F3" s="371"/>
      <c r="G3" s="371"/>
      <c r="H3" s="371"/>
      <c r="I3" s="371"/>
      <c r="J3" s="371"/>
      <c r="K3" s="371"/>
    </row>
    <row r="4" spans="1:11" ht="15.75">
      <c r="A4" s="370"/>
      <c r="B4" s="371" t="s">
        <v>659</v>
      </c>
      <c r="C4" s="371"/>
      <c r="D4" s="371"/>
      <c r="E4" s="371"/>
      <c r="F4" s="371"/>
      <c r="G4" s="371"/>
      <c r="H4" s="371"/>
      <c r="I4" s="371"/>
      <c r="J4" s="371"/>
      <c r="K4" s="371"/>
    </row>
    <row r="5" spans="1:11" ht="15">
      <c r="A5" s="370"/>
      <c r="B5" s="371"/>
      <c r="C5" s="371"/>
      <c r="D5" s="371"/>
      <c r="E5" s="371"/>
      <c r="F5" s="371"/>
      <c r="G5" s="371"/>
      <c r="H5" s="371"/>
      <c r="I5" s="371"/>
      <c r="J5" s="371"/>
      <c r="K5" s="371"/>
    </row>
    <row r="6" spans="1:11" ht="20.25">
      <c r="A6" s="370"/>
      <c r="B6" s="372" t="s">
        <v>1531</v>
      </c>
      <c r="C6" s="371"/>
      <c r="D6" s="371"/>
      <c r="E6" s="371"/>
      <c r="F6" s="371"/>
      <c r="G6" s="371"/>
      <c r="H6" s="371"/>
      <c r="I6" s="371"/>
      <c r="J6" s="371"/>
      <c r="K6" s="371"/>
    </row>
    <row r="7" spans="1:11" ht="18">
      <c r="A7" s="370"/>
      <c r="B7" s="373"/>
      <c r="C7" s="371"/>
      <c r="D7" s="371"/>
      <c r="E7" s="371"/>
      <c r="F7" s="371"/>
      <c r="G7" s="371"/>
      <c r="H7" s="371"/>
      <c r="I7" s="391"/>
      <c r="J7" s="371"/>
      <c r="K7" s="371"/>
    </row>
    <row r="8" spans="1:11" ht="15.75">
      <c r="A8" s="370"/>
      <c r="B8" s="374" t="s">
        <v>1586</v>
      </c>
      <c r="C8" s="374"/>
      <c r="D8" s="374"/>
      <c r="E8" s="374"/>
      <c r="F8" s="374"/>
      <c r="G8" s="391"/>
      <c r="H8" s="163">
        <f>'T1 GEN-2-3-4'!K99</f>
        <v>0</v>
      </c>
      <c r="I8" s="391" t="s">
        <v>661</v>
      </c>
      <c r="J8" s="371"/>
      <c r="K8" s="391"/>
    </row>
    <row r="9" spans="1:11" ht="15.75">
      <c r="A9" s="370"/>
      <c r="B9" s="713" t="s">
        <v>689</v>
      </c>
      <c r="C9" s="375"/>
      <c r="D9" s="375"/>
      <c r="E9" s="371"/>
      <c r="F9" s="375"/>
      <c r="G9" s="391"/>
      <c r="H9" s="371"/>
      <c r="I9" s="391"/>
      <c r="J9" s="371"/>
      <c r="K9" s="371"/>
    </row>
    <row r="10" spans="1:11" ht="15.75">
      <c r="A10" s="370"/>
      <c r="B10" s="713" t="s">
        <v>1998</v>
      </c>
      <c r="C10" s="371"/>
      <c r="D10" s="371"/>
      <c r="E10" s="371"/>
      <c r="F10" s="375"/>
      <c r="G10" s="391"/>
      <c r="H10" s="718" t="s">
        <v>1999</v>
      </c>
      <c r="I10" s="391"/>
      <c r="J10" s="384"/>
      <c r="K10" s="371"/>
    </row>
    <row r="11" spans="1:11" ht="15.75">
      <c r="A11" s="370"/>
      <c r="B11" s="713"/>
      <c r="C11" s="371"/>
      <c r="D11" s="371"/>
      <c r="E11" s="371"/>
      <c r="F11" s="385" t="s">
        <v>1999</v>
      </c>
      <c r="G11" s="391"/>
      <c r="H11" s="718" t="s">
        <v>690</v>
      </c>
      <c r="I11" s="391"/>
      <c r="J11" s="385" t="s">
        <v>2000</v>
      </c>
      <c r="K11" s="371"/>
    </row>
    <row r="12" spans="1:11" ht="15.75">
      <c r="A12" s="370"/>
      <c r="B12" s="713"/>
      <c r="C12" s="371"/>
      <c r="D12" s="371"/>
      <c r="E12" s="371"/>
      <c r="F12" s="719" t="s">
        <v>691</v>
      </c>
      <c r="G12" s="391"/>
      <c r="H12" s="718" t="s">
        <v>692</v>
      </c>
      <c r="I12" s="391"/>
      <c r="J12" s="385" t="s">
        <v>693</v>
      </c>
      <c r="K12" s="371"/>
    </row>
    <row r="13" spans="1:11" ht="15.75">
      <c r="A13" s="370"/>
      <c r="B13" s="374" t="s">
        <v>2001</v>
      </c>
      <c r="C13" s="374"/>
      <c r="D13" s="374"/>
      <c r="E13" s="371"/>
      <c r="F13" s="163">
        <f>IF(NOT($H$8&gt;H14),$H$8,0)</f>
        <v>0</v>
      </c>
      <c r="G13" s="391" t="s">
        <v>302</v>
      </c>
      <c r="H13" s="163">
        <f>IF($H$8&gt;H14,IF(NOT($H$8&gt;J14),$H$8,0),0)</f>
        <v>0</v>
      </c>
      <c r="I13" s="391" t="s">
        <v>302</v>
      </c>
      <c r="J13" s="163">
        <f>IF(H8&gt;J14,H8,0)</f>
        <v>0</v>
      </c>
      <c r="K13" s="391" t="s">
        <v>302</v>
      </c>
    </row>
    <row r="14" spans="1:11" ht="15.75">
      <c r="A14" s="370"/>
      <c r="B14" s="371"/>
      <c r="C14" s="371"/>
      <c r="D14" s="371"/>
      <c r="E14" s="371"/>
      <c r="F14" s="162">
        <v>0</v>
      </c>
      <c r="G14" s="392" t="s">
        <v>303</v>
      </c>
      <c r="H14" s="162">
        <v>29590</v>
      </c>
      <c r="I14" s="392" t="s">
        <v>303</v>
      </c>
      <c r="J14" s="162">
        <v>59180</v>
      </c>
      <c r="K14" s="392" t="s">
        <v>303</v>
      </c>
    </row>
    <row r="15" spans="1:11" ht="15.75">
      <c r="A15" s="370"/>
      <c r="B15" s="374" t="s">
        <v>2003</v>
      </c>
      <c r="C15" s="374"/>
      <c r="D15" s="374"/>
      <c r="E15" s="371"/>
      <c r="F15" s="162">
        <f>MAXA(0,F13-F14)</f>
        <v>0</v>
      </c>
      <c r="G15" s="391" t="s">
        <v>304</v>
      </c>
      <c r="H15" s="162">
        <f>MAXA(0,H13-H14)</f>
        <v>0</v>
      </c>
      <c r="I15" s="391" t="s">
        <v>304</v>
      </c>
      <c r="J15" s="162">
        <f>MAXA(0,J13-J14)</f>
        <v>0</v>
      </c>
      <c r="K15" s="391" t="s">
        <v>304</v>
      </c>
    </row>
    <row r="16" spans="1:11" ht="15.75">
      <c r="A16" s="370"/>
      <c r="B16" s="371"/>
      <c r="C16" s="371"/>
      <c r="D16" s="371"/>
      <c r="E16" s="371"/>
      <c r="F16" s="451">
        <v>0.0977</v>
      </c>
      <c r="G16" s="391" t="s">
        <v>305</v>
      </c>
      <c r="H16" s="451">
        <v>0.1495</v>
      </c>
      <c r="I16" s="391" t="s">
        <v>305</v>
      </c>
      <c r="J16" s="451">
        <v>0.1667</v>
      </c>
      <c r="K16" s="391" t="s">
        <v>305</v>
      </c>
    </row>
    <row r="17" spans="1:11" ht="15.75">
      <c r="A17" s="370"/>
      <c r="B17" s="374" t="s">
        <v>2004</v>
      </c>
      <c r="C17" s="374"/>
      <c r="D17" s="374"/>
      <c r="E17" s="371"/>
      <c r="F17" s="162">
        <f>F15*F16</f>
        <v>0</v>
      </c>
      <c r="G17" s="391" t="s">
        <v>306</v>
      </c>
      <c r="H17" s="162">
        <f>H15*H16</f>
        <v>0</v>
      </c>
      <c r="I17" s="391" t="s">
        <v>306</v>
      </c>
      <c r="J17" s="162">
        <f>J15*J16</f>
        <v>0</v>
      </c>
      <c r="K17" s="391" t="s">
        <v>306</v>
      </c>
    </row>
    <row r="18" spans="1:11" ht="15.75">
      <c r="A18" s="370"/>
      <c r="B18" s="371"/>
      <c r="C18" s="371"/>
      <c r="D18" s="371"/>
      <c r="E18" s="371"/>
      <c r="F18" s="162">
        <v>0</v>
      </c>
      <c r="G18" s="391" t="s">
        <v>1402</v>
      </c>
      <c r="H18" s="162">
        <v>2891</v>
      </c>
      <c r="I18" s="391" t="s">
        <v>1402</v>
      </c>
      <c r="J18" s="162">
        <v>7315</v>
      </c>
      <c r="K18" s="391" t="s">
        <v>1402</v>
      </c>
    </row>
    <row r="19" spans="1:11" ht="15.75">
      <c r="A19" s="370"/>
      <c r="B19" s="371"/>
      <c r="C19" s="371"/>
      <c r="D19" s="379" t="s">
        <v>694</v>
      </c>
      <c r="E19" s="371"/>
      <c r="F19" s="389"/>
      <c r="G19" s="391"/>
      <c r="H19" s="389"/>
      <c r="I19" s="391"/>
      <c r="J19" s="389"/>
      <c r="K19" s="391"/>
    </row>
    <row r="20" spans="1:11" ht="15.75">
      <c r="A20" s="370"/>
      <c r="B20" s="714" t="s">
        <v>649</v>
      </c>
      <c r="C20" s="374"/>
      <c r="D20" s="388" t="s">
        <v>695</v>
      </c>
      <c r="E20" s="371"/>
      <c r="F20" s="163">
        <f>IF(NOT($H$8&gt;H14),(F17+F18))</f>
        <v>0</v>
      </c>
      <c r="G20" s="391" t="s">
        <v>307</v>
      </c>
      <c r="H20" s="163" t="b">
        <f>IF($H$8&gt;H14,IF(NOT($H$8&gt;J14),(H17+H18),0))</f>
        <v>0</v>
      </c>
      <c r="I20" s="391" t="s">
        <v>307</v>
      </c>
      <c r="J20" s="163">
        <f>IF(H8&gt;J14,J17+J18,0)</f>
        <v>0</v>
      </c>
      <c r="K20" s="391" t="s">
        <v>307</v>
      </c>
    </row>
    <row r="21" spans="1:11" ht="15.75">
      <c r="A21" s="370"/>
      <c r="B21" s="371"/>
      <c r="C21" s="371"/>
      <c r="D21" s="371"/>
      <c r="E21" s="371"/>
      <c r="F21" s="386" t="s">
        <v>2005</v>
      </c>
      <c r="G21" s="391"/>
      <c r="H21" s="386" t="s">
        <v>2005</v>
      </c>
      <c r="I21" s="391"/>
      <c r="J21" s="386" t="s">
        <v>2005</v>
      </c>
      <c r="K21" s="371"/>
    </row>
    <row r="22" spans="1:11" ht="15">
      <c r="A22" s="370"/>
      <c r="B22" s="371"/>
      <c r="C22" s="371"/>
      <c r="D22" s="371"/>
      <c r="E22" s="371"/>
      <c r="F22" s="371"/>
      <c r="G22" s="371"/>
      <c r="H22" s="371"/>
      <c r="I22" s="371"/>
      <c r="J22" s="371"/>
      <c r="K22" s="371"/>
    </row>
    <row r="23" spans="1:11" ht="21.75" customHeight="1">
      <c r="A23" s="370"/>
      <c r="B23" s="372" t="s">
        <v>696</v>
      </c>
      <c r="C23" s="371"/>
      <c r="D23" s="371"/>
      <c r="E23" s="371"/>
      <c r="F23" s="371"/>
      <c r="G23" s="371"/>
      <c r="H23" s="371"/>
      <c r="I23" s="371"/>
      <c r="J23" s="371"/>
      <c r="K23" s="371"/>
    </row>
    <row r="24" spans="1:11" ht="15.75">
      <c r="A24" s="370"/>
      <c r="B24" s="376" t="s">
        <v>2006</v>
      </c>
      <c r="C24" s="371"/>
      <c r="D24" s="371"/>
      <c r="E24" s="371"/>
      <c r="F24" s="371"/>
      <c r="G24" s="371"/>
      <c r="H24" s="371"/>
      <c r="I24" s="371"/>
      <c r="J24" s="371"/>
      <c r="K24" s="371"/>
    </row>
    <row r="25" spans="1:11" ht="15">
      <c r="A25" s="370"/>
      <c r="B25" s="371" t="s">
        <v>697</v>
      </c>
      <c r="C25" s="371"/>
      <c r="D25" s="371"/>
      <c r="E25" s="371"/>
      <c r="F25" s="371"/>
      <c r="G25" s="371"/>
      <c r="H25" s="371"/>
      <c r="I25" s="371"/>
      <c r="J25" s="371"/>
      <c r="K25" s="371"/>
    </row>
    <row r="26" spans="1:11" ht="15">
      <c r="A26" s="370"/>
      <c r="B26" s="371"/>
      <c r="C26" s="371"/>
      <c r="D26" s="371"/>
      <c r="E26" s="371"/>
      <c r="F26" s="371"/>
      <c r="G26" s="371"/>
      <c r="H26" s="371"/>
      <c r="I26" s="371"/>
      <c r="J26" s="371"/>
      <c r="K26" s="371"/>
    </row>
    <row r="27" spans="1:11" ht="15.75">
      <c r="A27" s="370"/>
      <c r="B27" s="371"/>
      <c r="C27" s="371"/>
      <c r="D27" s="371"/>
      <c r="E27" s="382"/>
      <c r="F27" s="387" t="s">
        <v>2007</v>
      </c>
      <c r="G27" s="720">
        <v>5602</v>
      </c>
      <c r="H27" s="371"/>
      <c r="I27" s="371"/>
      <c r="J27" s="371"/>
      <c r="K27" s="371"/>
    </row>
    <row r="28" spans="1:11" ht="15.75">
      <c r="A28" s="370"/>
      <c r="B28" s="374" t="s">
        <v>884</v>
      </c>
      <c r="C28" s="374"/>
      <c r="D28" s="374"/>
      <c r="E28" s="374"/>
      <c r="F28" s="388" t="s">
        <v>698</v>
      </c>
      <c r="G28" s="720" t="s">
        <v>885</v>
      </c>
      <c r="H28" s="163">
        <v>7231</v>
      </c>
      <c r="I28" s="391" t="s">
        <v>887</v>
      </c>
      <c r="J28" s="371"/>
      <c r="K28" s="371"/>
    </row>
    <row r="29" spans="1:11" ht="15.75">
      <c r="A29" s="370"/>
      <c r="B29" s="377" t="s">
        <v>889</v>
      </c>
      <c r="C29" s="377"/>
      <c r="D29" s="377"/>
      <c r="E29" s="377"/>
      <c r="F29" s="380" t="s">
        <v>888</v>
      </c>
      <c r="G29" s="720" t="s">
        <v>886</v>
      </c>
      <c r="H29" s="162">
        <f>IF('T1 GEN-1'!T13&lt;1937,'NS WRK'!I16,0)</f>
        <v>0</v>
      </c>
      <c r="I29" s="391" t="s">
        <v>509</v>
      </c>
      <c r="J29" s="371"/>
      <c r="K29" s="371"/>
    </row>
    <row r="30" spans="1:11" ht="15">
      <c r="A30" s="370"/>
      <c r="B30" s="371" t="s">
        <v>890</v>
      </c>
      <c r="C30" s="371"/>
      <c r="D30" s="371"/>
      <c r="E30" s="371"/>
      <c r="F30" s="371"/>
      <c r="G30" s="371"/>
      <c r="H30" s="371"/>
      <c r="I30" s="371"/>
      <c r="J30" s="371"/>
      <c r="K30" s="371"/>
    </row>
    <row r="31" spans="1:11" ht="15">
      <c r="A31" s="370"/>
      <c r="B31" s="374" t="s">
        <v>891</v>
      </c>
      <c r="C31" s="374"/>
      <c r="D31" s="374"/>
      <c r="E31" s="371"/>
      <c r="F31" s="163">
        <f>IF('T1 GEN-1'!S28="",0,6754)</f>
        <v>0</v>
      </c>
      <c r="G31" s="371"/>
      <c r="H31" s="371"/>
      <c r="I31" s="371"/>
      <c r="J31" s="371"/>
      <c r="K31" s="371"/>
    </row>
    <row r="32" spans="1:11" ht="15">
      <c r="A32" s="370"/>
      <c r="B32" s="377" t="s">
        <v>892</v>
      </c>
      <c r="C32" s="377"/>
      <c r="D32" s="377"/>
      <c r="E32" s="371"/>
      <c r="F32" s="162">
        <f>'T1 GEN-1'!U30</f>
        <v>0</v>
      </c>
      <c r="G32" s="371"/>
      <c r="H32" s="371"/>
      <c r="I32" s="371"/>
      <c r="J32" s="371"/>
      <c r="K32" s="371"/>
    </row>
    <row r="33" spans="1:11" ht="15.75">
      <c r="A33" s="370"/>
      <c r="B33" s="377"/>
      <c r="C33" s="704" t="s">
        <v>699</v>
      </c>
      <c r="D33" s="377"/>
      <c r="E33" s="371"/>
      <c r="F33" s="167">
        <f>MINA(6140,MAXA(0,F31-F32))</f>
        <v>0</v>
      </c>
      <c r="G33" s="720" t="s">
        <v>894</v>
      </c>
      <c r="H33" s="163">
        <f>F33</f>
        <v>0</v>
      </c>
      <c r="I33" s="391" t="s">
        <v>895</v>
      </c>
      <c r="J33" s="371"/>
      <c r="K33" s="371"/>
    </row>
    <row r="34" spans="1:11" ht="15.75">
      <c r="A34" s="370"/>
      <c r="B34" s="377" t="s">
        <v>893</v>
      </c>
      <c r="C34" s="377"/>
      <c r="D34" s="377"/>
      <c r="E34" s="374"/>
      <c r="F34" s="380"/>
      <c r="G34" s="720" t="s">
        <v>896</v>
      </c>
      <c r="H34" s="598">
        <f>IF(QUAL!G10,MIN(6140,'NS WRK'!I23),0)</f>
        <v>0</v>
      </c>
      <c r="I34" s="391" t="s">
        <v>897</v>
      </c>
      <c r="J34" s="371"/>
      <c r="K34" s="371"/>
    </row>
    <row r="35" spans="1:11" ht="15.75">
      <c r="A35" s="370"/>
      <c r="B35" s="374" t="s">
        <v>1990</v>
      </c>
      <c r="C35" s="374"/>
      <c r="D35" s="374"/>
      <c r="E35" s="374"/>
      <c r="F35" s="383"/>
      <c r="G35" s="720" t="s">
        <v>898</v>
      </c>
      <c r="H35" s="163">
        <f>IF(QUAL!G13,'NS WRK'!G33,0)</f>
        <v>0</v>
      </c>
      <c r="I35" s="391" t="s">
        <v>899</v>
      </c>
      <c r="J35" s="371"/>
      <c r="K35" s="371"/>
    </row>
    <row r="36" spans="1:11" ht="15">
      <c r="A36" s="370"/>
      <c r="B36" s="371" t="s">
        <v>900</v>
      </c>
      <c r="C36" s="371"/>
      <c r="D36" s="371"/>
      <c r="E36" s="371"/>
      <c r="F36" s="371"/>
      <c r="G36" s="371"/>
      <c r="H36" s="371"/>
      <c r="I36" s="371"/>
      <c r="J36" s="371"/>
      <c r="K36" s="371"/>
    </row>
    <row r="37" spans="1:11" ht="15.75">
      <c r="A37" s="370"/>
      <c r="B37" s="374" t="s">
        <v>901</v>
      </c>
      <c r="C37" s="374"/>
      <c r="D37" s="374"/>
      <c r="E37" s="374"/>
      <c r="F37" s="374"/>
      <c r="G37" s="720" t="s">
        <v>442</v>
      </c>
      <c r="H37" s="163">
        <f>Sch1!H32</f>
        <v>0</v>
      </c>
      <c r="I37" s="391" t="s">
        <v>511</v>
      </c>
      <c r="J37" s="371"/>
      <c r="K37" s="371"/>
    </row>
    <row r="38" spans="1:11" ht="15.75">
      <c r="A38" s="370"/>
      <c r="B38" s="377" t="s">
        <v>902</v>
      </c>
      <c r="C38" s="377"/>
      <c r="D38" s="377"/>
      <c r="E38" s="377"/>
      <c r="F38" s="377"/>
      <c r="G38" s="720" t="s">
        <v>443</v>
      </c>
      <c r="H38" s="162">
        <f>Sch1!H33</f>
        <v>0</v>
      </c>
      <c r="I38" s="391" t="s">
        <v>444</v>
      </c>
      <c r="J38" s="371"/>
      <c r="K38" s="371"/>
    </row>
    <row r="39" spans="1:11" ht="15.75">
      <c r="A39" s="370"/>
      <c r="B39" s="377" t="s">
        <v>1216</v>
      </c>
      <c r="C39" s="377"/>
      <c r="D39" s="377"/>
      <c r="E39" s="377"/>
      <c r="F39" s="377"/>
      <c r="G39" s="720" t="s">
        <v>431</v>
      </c>
      <c r="H39" s="162">
        <f>Sch1!H34</f>
        <v>0</v>
      </c>
      <c r="I39" s="391" t="s">
        <v>513</v>
      </c>
      <c r="J39" s="371"/>
      <c r="K39" s="371"/>
    </row>
    <row r="40" spans="1:11" ht="15.75">
      <c r="A40" s="370"/>
      <c r="B40" s="377" t="s">
        <v>1217</v>
      </c>
      <c r="C40" s="377"/>
      <c r="D40" s="377"/>
      <c r="E40" s="377"/>
      <c r="F40" s="705" t="s">
        <v>1077</v>
      </c>
      <c r="G40" s="720" t="s">
        <v>432</v>
      </c>
      <c r="H40" s="162">
        <f>Sch1!H35</f>
        <v>0</v>
      </c>
      <c r="I40" s="391" t="s">
        <v>515</v>
      </c>
      <c r="J40" s="371"/>
      <c r="K40" s="371"/>
    </row>
    <row r="41" spans="1:11" ht="15.75">
      <c r="A41" s="370"/>
      <c r="B41" s="377" t="s">
        <v>646</v>
      </c>
      <c r="C41" s="377"/>
      <c r="D41" s="377"/>
      <c r="E41" s="377"/>
      <c r="F41" s="380"/>
      <c r="G41" s="720" t="s">
        <v>433</v>
      </c>
      <c r="H41" s="162">
        <f>IF(QUAL!G16,'NS WRK'!G43,0)</f>
        <v>0</v>
      </c>
      <c r="I41" s="391" t="s">
        <v>516</v>
      </c>
      <c r="J41" s="371"/>
      <c r="K41" s="371"/>
    </row>
    <row r="42" spans="1:11" ht="15.75">
      <c r="A42" s="370"/>
      <c r="B42" s="377" t="s">
        <v>647</v>
      </c>
      <c r="C42" s="377"/>
      <c r="D42" s="377"/>
      <c r="E42" s="377"/>
      <c r="F42" s="380"/>
      <c r="G42" s="720" t="s">
        <v>434</v>
      </c>
      <c r="H42" s="614">
        <f>IF(QUAL!G19,'NS WRK'!I53,0)</f>
        <v>0</v>
      </c>
      <c r="I42" s="391" t="s">
        <v>581</v>
      </c>
      <c r="J42" s="371"/>
      <c r="K42" s="371"/>
    </row>
    <row r="43" spans="1:11" ht="15.75">
      <c r="A43" s="370"/>
      <c r="B43" s="377" t="s">
        <v>1941</v>
      </c>
      <c r="C43" s="377"/>
      <c r="D43" s="377"/>
      <c r="E43" s="377"/>
      <c r="F43" s="380"/>
      <c r="G43" s="720" t="s">
        <v>435</v>
      </c>
      <c r="H43" s="162">
        <f>IF(QUAL!G22,'NS WRK'!G72,0)</f>
        <v>0</v>
      </c>
      <c r="I43" s="391" t="s">
        <v>518</v>
      </c>
      <c r="J43" s="371"/>
      <c r="K43" s="371"/>
    </row>
    <row r="44" spans="1:11" ht="15.75">
      <c r="A44" s="370"/>
      <c r="B44" s="377" t="s">
        <v>700</v>
      </c>
      <c r="C44" s="377"/>
      <c r="D44" s="377"/>
      <c r="E44" s="377"/>
      <c r="F44" s="377"/>
      <c r="G44" s="720" t="s">
        <v>436</v>
      </c>
      <c r="H44" s="162">
        <f>Sch1!H39</f>
        <v>0</v>
      </c>
      <c r="I44" s="391" t="s">
        <v>445</v>
      </c>
      <c r="J44" s="371"/>
      <c r="K44" s="371"/>
    </row>
    <row r="45" spans="1:11" ht="15.75">
      <c r="A45" s="370"/>
      <c r="B45" s="377" t="s">
        <v>701</v>
      </c>
      <c r="C45" s="377"/>
      <c r="D45" s="377"/>
      <c r="E45" s="377"/>
      <c r="F45" s="377"/>
      <c r="G45" s="720" t="s">
        <v>437</v>
      </c>
      <c r="H45" s="167">
        <f>'NS(S11)'!I37</f>
        <v>0</v>
      </c>
      <c r="I45" s="391" t="s">
        <v>520</v>
      </c>
      <c r="J45" s="371"/>
      <c r="K45" s="371"/>
    </row>
    <row r="46" spans="1:11" ht="15.75">
      <c r="A46" s="370"/>
      <c r="B46" s="377" t="s">
        <v>1218</v>
      </c>
      <c r="C46" s="377"/>
      <c r="D46" s="377"/>
      <c r="E46" s="377"/>
      <c r="F46" s="377"/>
      <c r="G46" s="720" t="s">
        <v>438</v>
      </c>
      <c r="H46" s="279"/>
      <c r="I46" s="391" t="s">
        <v>446</v>
      </c>
      <c r="J46" s="371"/>
      <c r="K46" s="371"/>
    </row>
    <row r="47" spans="1:11" ht="15.75">
      <c r="A47" s="370"/>
      <c r="B47" s="378" t="s">
        <v>702</v>
      </c>
      <c r="C47" s="377"/>
      <c r="D47" s="377"/>
      <c r="E47" s="377"/>
      <c r="F47" s="377"/>
      <c r="G47" s="720" t="s">
        <v>439</v>
      </c>
      <c r="H47" s="166">
        <f>'NS(S2)'!J30</f>
        <v>0</v>
      </c>
      <c r="I47" s="391" t="s">
        <v>792</v>
      </c>
      <c r="J47" s="371"/>
      <c r="K47" s="371"/>
    </row>
    <row r="48" spans="1:11" ht="15.75">
      <c r="A48" s="370"/>
      <c r="B48" s="377" t="s">
        <v>967</v>
      </c>
      <c r="C48" s="377"/>
      <c r="D48" s="377"/>
      <c r="E48" s="720" t="s">
        <v>968</v>
      </c>
      <c r="F48" s="279"/>
      <c r="G48" s="391" t="s">
        <v>969</v>
      </c>
      <c r="H48" s="371"/>
      <c r="I48" s="393"/>
      <c r="J48" s="371"/>
      <c r="K48" s="371"/>
    </row>
    <row r="49" spans="1:11" ht="15.75">
      <c r="A49" s="370"/>
      <c r="B49" s="377" t="s">
        <v>703</v>
      </c>
      <c r="C49" s="377"/>
      <c r="D49" s="377"/>
      <c r="E49" s="371"/>
      <c r="F49" s="167">
        <f>MINA(1637,0.03*'T1 GEN-2-3-4'!K84)</f>
        <v>0</v>
      </c>
      <c r="G49" s="391" t="s">
        <v>794</v>
      </c>
      <c r="H49" s="371"/>
      <c r="I49" s="393"/>
      <c r="J49" s="371"/>
      <c r="K49" s="371"/>
    </row>
    <row r="50" spans="1:11" ht="15.75">
      <c r="A50" s="370"/>
      <c r="B50" s="377" t="s">
        <v>100</v>
      </c>
      <c r="C50" s="377"/>
      <c r="D50" s="377"/>
      <c r="E50" s="371"/>
      <c r="F50" s="167">
        <f>MAXA(0,F48-F49)</f>
        <v>0</v>
      </c>
      <c r="G50" s="391" t="s">
        <v>970</v>
      </c>
      <c r="H50" s="371"/>
      <c r="I50" s="393"/>
      <c r="J50" s="371"/>
      <c r="K50" s="371"/>
    </row>
    <row r="51" spans="1:11" ht="15.75">
      <c r="A51" s="370"/>
      <c r="B51" s="377" t="s">
        <v>101</v>
      </c>
      <c r="C51" s="377"/>
      <c r="D51" s="380"/>
      <c r="E51" s="720" t="s">
        <v>103</v>
      </c>
      <c r="F51" s="167">
        <f>'NS WRK'!G85</f>
        <v>0</v>
      </c>
      <c r="G51" s="391" t="s">
        <v>971</v>
      </c>
      <c r="H51" s="371"/>
      <c r="I51" s="393"/>
      <c r="J51" s="371"/>
      <c r="K51" s="371"/>
    </row>
    <row r="52" spans="1:11" ht="15.75">
      <c r="A52" s="370"/>
      <c r="B52" s="377" t="s">
        <v>102</v>
      </c>
      <c r="C52" s="377"/>
      <c r="D52" s="377"/>
      <c r="E52" s="720" t="s">
        <v>104</v>
      </c>
      <c r="F52" s="167">
        <f>MAXA(0,F50-F51)</f>
        <v>0</v>
      </c>
      <c r="G52" s="371"/>
      <c r="H52" s="166">
        <f>F52</f>
        <v>0</v>
      </c>
      <c r="I52" s="391" t="s">
        <v>972</v>
      </c>
      <c r="J52" s="371"/>
      <c r="K52" s="371"/>
    </row>
    <row r="53" spans="1:11" ht="15.75">
      <c r="A53" s="370"/>
      <c r="B53" s="374" t="s">
        <v>105</v>
      </c>
      <c r="C53" s="374"/>
      <c r="D53" s="374"/>
      <c r="E53" s="374"/>
      <c r="F53" s="374"/>
      <c r="G53" s="720" t="s">
        <v>106</v>
      </c>
      <c r="H53" s="167">
        <f>SUM(H28:H52)</f>
        <v>7231</v>
      </c>
      <c r="I53" s="393"/>
      <c r="J53" s="166">
        <f>H53</f>
        <v>7231</v>
      </c>
      <c r="K53" s="391" t="s">
        <v>94</v>
      </c>
    </row>
    <row r="54" spans="1:11" ht="15.75">
      <c r="A54" s="370"/>
      <c r="B54" s="374" t="s">
        <v>1242</v>
      </c>
      <c r="C54" s="374"/>
      <c r="D54" s="374"/>
      <c r="E54" s="374"/>
      <c r="F54" s="374"/>
      <c r="G54" s="374"/>
      <c r="H54" s="374"/>
      <c r="I54" s="393"/>
      <c r="J54" s="452">
        <v>0.0977</v>
      </c>
      <c r="K54" s="391" t="s">
        <v>95</v>
      </c>
    </row>
    <row r="55" spans="1:11" ht="15.75">
      <c r="A55" s="370"/>
      <c r="B55" s="377" t="s">
        <v>704</v>
      </c>
      <c r="C55" s="377"/>
      <c r="D55" s="377"/>
      <c r="E55" s="377"/>
      <c r="F55" s="377"/>
      <c r="G55" s="377"/>
      <c r="H55" s="377"/>
      <c r="I55" s="720" t="s">
        <v>92</v>
      </c>
      <c r="J55" s="167">
        <f>J53*J54</f>
        <v>706.4687</v>
      </c>
      <c r="K55" s="391" t="s">
        <v>96</v>
      </c>
    </row>
    <row r="56" spans="1:11" ht="15">
      <c r="A56" s="370"/>
      <c r="B56" s="371" t="s">
        <v>1243</v>
      </c>
      <c r="C56" s="371"/>
      <c r="D56" s="371"/>
      <c r="E56" s="371"/>
      <c r="F56" s="371"/>
      <c r="G56" s="371"/>
      <c r="H56" s="371"/>
      <c r="I56" s="393"/>
      <c r="J56" s="371"/>
      <c r="K56" s="371"/>
    </row>
    <row r="57" spans="1:11" ht="15.75">
      <c r="A57" s="370"/>
      <c r="B57" s="374" t="s">
        <v>83</v>
      </c>
      <c r="C57" s="374"/>
      <c r="D57" s="374"/>
      <c r="E57" s="374"/>
      <c r="F57" s="166">
        <f>Sch9!E26</f>
        <v>0</v>
      </c>
      <c r="G57" s="721" t="s">
        <v>705</v>
      </c>
      <c r="H57" s="166">
        <f>0.0977*F57</f>
        <v>0</v>
      </c>
      <c r="I57" s="391" t="s">
        <v>87</v>
      </c>
      <c r="J57" s="371"/>
      <c r="K57" s="371"/>
    </row>
    <row r="58" spans="1:11" ht="15.75">
      <c r="A58" s="370"/>
      <c r="B58" s="377" t="s">
        <v>84</v>
      </c>
      <c r="C58" s="377"/>
      <c r="D58" s="377"/>
      <c r="E58" s="377"/>
      <c r="F58" s="167">
        <f>Sch9!E27</f>
        <v>0</v>
      </c>
      <c r="G58" s="721" t="s">
        <v>706</v>
      </c>
      <c r="H58" s="167">
        <f>0.1667*F58</f>
        <v>0</v>
      </c>
      <c r="I58" s="391" t="s">
        <v>88</v>
      </c>
      <c r="J58" s="371"/>
      <c r="K58" s="371"/>
    </row>
    <row r="59" spans="1:11" ht="15.75">
      <c r="A59" s="370"/>
      <c r="B59" s="374" t="s">
        <v>85</v>
      </c>
      <c r="C59" s="374"/>
      <c r="D59" s="374"/>
      <c r="E59" s="374"/>
      <c r="F59" s="374"/>
      <c r="G59" s="720" t="s">
        <v>90</v>
      </c>
      <c r="H59" s="167">
        <f>H57+H58</f>
        <v>0</v>
      </c>
      <c r="I59" s="393"/>
      <c r="J59" s="166">
        <f>H59</f>
        <v>0</v>
      </c>
      <c r="K59" s="391" t="s">
        <v>89</v>
      </c>
    </row>
    <row r="60" spans="1:11" ht="15">
      <c r="A60" s="370"/>
      <c r="B60" s="371"/>
      <c r="C60" s="371"/>
      <c r="D60" s="371"/>
      <c r="E60" s="371"/>
      <c r="F60" s="371"/>
      <c r="G60" s="371"/>
      <c r="H60" s="371"/>
      <c r="I60" s="393"/>
      <c r="J60" s="371"/>
      <c r="K60" s="371"/>
    </row>
    <row r="61" spans="1:11" ht="15.75">
      <c r="A61" s="370"/>
      <c r="B61" s="374" t="s">
        <v>86</v>
      </c>
      <c r="C61" s="374"/>
      <c r="D61" s="374"/>
      <c r="E61" s="374"/>
      <c r="F61" s="374"/>
      <c r="G61" s="374"/>
      <c r="H61" s="388" t="s">
        <v>707</v>
      </c>
      <c r="I61" s="720" t="s">
        <v>91</v>
      </c>
      <c r="J61" s="166">
        <f>J55+J59</f>
        <v>706.4687</v>
      </c>
      <c r="K61" s="391" t="s">
        <v>93</v>
      </c>
    </row>
    <row r="62" spans="1:11" ht="15.75">
      <c r="A62" s="370"/>
      <c r="B62" s="371"/>
      <c r="C62" s="371"/>
      <c r="D62" s="371"/>
      <c r="E62" s="371"/>
      <c r="F62" s="371"/>
      <c r="G62" s="371"/>
      <c r="H62" s="371"/>
      <c r="I62" s="393"/>
      <c r="J62" s="394" t="s">
        <v>97</v>
      </c>
      <c r="K62" s="371"/>
    </row>
    <row r="63" spans="1:11" ht="15.75">
      <c r="A63" s="370"/>
      <c r="B63" s="371"/>
      <c r="C63" s="371"/>
      <c r="D63" s="371"/>
      <c r="E63" s="371"/>
      <c r="F63" s="371"/>
      <c r="G63" s="371"/>
      <c r="H63" s="371"/>
      <c r="I63" s="393"/>
      <c r="J63" s="394"/>
      <c r="K63" s="371"/>
    </row>
    <row r="64" spans="1:11" ht="15.75">
      <c r="A64" s="370"/>
      <c r="B64" s="371"/>
      <c r="C64" s="371"/>
      <c r="D64" s="371"/>
      <c r="E64" s="371"/>
      <c r="F64" s="371"/>
      <c r="G64" s="371"/>
      <c r="H64" s="371"/>
      <c r="I64" s="393"/>
      <c r="J64" s="394"/>
      <c r="K64" s="371"/>
    </row>
    <row r="65" spans="1:11" ht="15">
      <c r="A65" s="370"/>
      <c r="B65" s="371"/>
      <c r="C65" s="371"/>
      <c r="D65" s="371"/>
      <c r="E65" s="371"/>
      <c r="F65" s="371"/>
      <c r="G65" s="371"/>
      <c r="H65" s="371"/>
      <c r="I65" s="393"/>
      <c r="J65" s="371"/>
      <c r="K65" s="371"/>
    </row>
    <row r="66" spans="1:11" ht="20.25">
      <c r="A66" s="370"/>
      <c r="B66" s="372" t="s">
        <v>708</v>
      </c>
      <c r="C66" s="371"/>
      <c r="D66" s="371"/>
      <c r="E66" s="371"/>
      <c r="F66" s="371"/>
      <c r="G66" s="371"/>
      <c r="H66" s="371"/>
      <c r="I66" s="393"/>
      <c r="J66" s="371"/>
      <c r="K66" s="371"/>
    </row>
    <row r="67" spans="1:11" ht="17.25" customHeight="1">
      <c r="A67" s="370"/>
      <c r="B67" s="374" t="s">
        <v>709</v>
      </c>
      <c r="C67" s="374"/>
      <c r="D67" s="374"/>
      <c r="E67" s="374"/>
      <c r="F67" s="374"/>
      <c r="G67" s="374"/>
      <c r="H67" s="374"/>
      <c r="I67" s="393"/>
      <c r="J67" s="166">
        <f>MAXA(F20,H20,J20)</f>
        <v>0</v>
      </c>
      <c r="K67" s="391" t="s">
        <v>522</v>
      </c>
    </row>
    <row r="68" spans="1:11" ht="15.75">
      <c r="A68" s="370"/>
      <c r="B68" s="377" t="s">
        <v>710</v>
      </c>
      <c r="C68" s="377"/>
      <c r="D68" s="377"/>
      <c r="E68" s="377"/>
      <c r="F68" s="377"/>
      <c r="G68" s="377"/>
      <c r="H68" s="377"/>
      <c r="I68" s="720" t="s">
        <v>1803</v>
      </c>
      <c r="J68" s="279"/>
      <c r="K68" s="391" t="s">
        <v>1802</v>
      </c>
    </row>
    <row r="69" spans="1:11" ht="15.75">
      <c r="A69" s="370"/>
      <c r="B69" s="377" t="s">
        <v>98</v>
      </c>
      <c r="C69" s="377"/>
      <c r="D69" s="377"/>
      <c r="E69" s="377"/>
      <c r="F69" s="377"/>
      <c r="G69" s="377"/>
      <c r="H69" s="377"/>
      <c r="I69" s="393"/>
      <c r="J69" s="167">
        <f>J67+J68</f>
        <v>0</v>
      </c>
      <c r="K69" s="391" t="s">
        <v>525</v>
      </c>
    </row>
    <row r="70" spans="1:11" ht="15">
      <c r="A70" s="370"/>
      <c r="B70" s="371"/>
      <c r="C70" s="371"/>
      <c r="D70" s="371"/>
      <c r="E70" s="371"/>
      <c r="F70" s="371"/>
      <c r="G70" s="371"/>
      <c r="H70" s="371"/>
      <c r="I70" s="393"/>
      <c r="J70" s="371"/>
      <c r="K70" s="371"/>
    </row>
    <row r="71" spans="1:11" ht="15.75">
      <c r="A71" s="370"/>
      <c r="B71" s="374" t="s">
        <v>711</v>
      </c>
      <c r="C71" s="374"/>
      <c r="D71" s="374"/>
      <c r="E71" s="374"/>
      <c r="F71" s="374"/>
      <c r="G71" s="371"/>
      <c r="H71" s="166">
        <f>J61</f>
        <v>706.4687</v>
      </c>
      <c r="I71" s="391" t="s">
        <v>1804</v>
      </c>
      <c r="J71" s="371"/>
      <c r="K71" s="371"/>
    </row>
    <row r="72" spans="1:11" ht="15">
      <c r="A72" s="370"/>
      <c r="B72" s="371" t="s">
        <v>712</v>
      </c>
      <c r="C72" s="371"/>
      <c r="D72" s="371"/>
      <c r="E72" s="371"/>
      <c r="F72" s="371"/>
      <c r="G72" s="371"/>
      <c r="H72" s="371"/>
      <c r="I72" s="393"/>
      <c r="J72" s="371"/>
      <c r="K72" s="371"/>
    </row>
    <row r="73" spans="1:11" ht="15.75">
      <c r="A73" s="370"/>
      <c r="B73" s="374" t="s">
        <v>903</v>
      </c>
      <c r="C73" s="374"/>
      <c r="D73" s="166">
        <f>'T1 GEN-2-3-4'!I21</f>
        <v>0</v>
      </c>
      <c r="E73" s="374"/>
      <c r="F73" s="374" t="s">
        <v>713</v>
      </c>
      <c r="G73" s="720" t="s">
        <v>1805</v>
      </c>
      <c r="H73" s="166">
        <f>0.077*D73</f>
        <v>0</v>
      </c>
      <c r="I73" s="391" t="s">
        <v>528</v>
      </c>
      <c r="J73" s="371"/>
      <c r="K73" s="371"/>
    </row>
    <row r="74" spans="1:11" ht="15">
      <c r="A74" s="370"/>
      <c r="B74" s="371" t="s">
        <v>714</v>
      </c>
      <c r="C74" s="371"/>
      <c r="D74" s="371"/>
      <c r="E74" s="371"/>
      <c r="F74" s="371"/>
      <c r="G74" s="371"/>
      <c r="H74" s="371"/>
      <c r="I74" s="393"/>
      <c r="J74" s="371"/>
      <c r="K74" s="371"/>
    </row>
    <row r="75" spans="1:11" ht="15.75">
      <c r="A75" s="370"/>
      <c r="B75" s="374" t="s">
        <v>1828</v>
      </c>
      <c r="C75" s="374"/>
      <c r="D75" s="166">
        <f>Sch1!H63</f>
        <v>0</v>
      </c>
      <c r="E75" s="374"/>
      <c r="F75" s="374" t="s">
        <v>715</v>
      </c>
      <c r="G75" s="720" t="s">
        <v>1806</v>
      </c>
      <c r="H75" s="166">
        <f>0.575*D75</f>
        <v>0</v>
      </c>
      <c r="I75" s="391" t="s">
        <v>631</v>
      </c>
      <c r="J75" s="371"/>
      <c r="K75" s="371"/>
    </row>
    <row r="76" spans="1:11" ht="15.75">
      <c r="A76" s="370"/>
      <c r="B76" s="375" t="s">
        <v>716</v>
      </c>
      <c r="C76" s="375"/>
      <c r="D76" s="375"/>
      <c r="E76" s="375"/>
      <c r="F76" s="375"/>
      <c r="G76" s="371"/>
      <c r="H76" s="389"/>
      <c r="I76" s="391"/>
      <c r="J76" s="371"/>
      <c r="K76" s="371"/>
    </row>
    <row r="77" spans="1:11" ht="15.75">
      <c r="A77" s="370"/>
      <c r="B77" s="374" t="s">
        <v>81</v>
      </c>
      <c r="C77" s="374"/>
      <c r="D77" s="166">
        <f>Sch1!H64</f>
        <v>0</v>
      </c>
      <c r="E77" s="374"/>
      <c r="F77" s="371" t="s">
        <v>715</v>
      </c>
      <c r="G77" s="720" t="s">
        <v>1807</v>
      </c>
      <c r="H77" s="166">
        <f>0.575*D77</f>
        <v>0</v>
      </c>
      <c r="I77" s="391" t="s">
        <v>1808</v>
      </c>
      <c r="J77" s="371"/>
      <c r="K77" s="371"/>
    </row>
    <row r="78" spans="1:11" ht="15.75">
      <c r="A78" s="370"/>
      <c r="B78" s="377" t="s">
        <v>373</v>
      </c>
      <c r="C78" s="377"/>
      <c r="D78" s="377"/>
      <c r="E78" s="377"/>
      <c r="F78" s="377"/>
      <c r="G78" s="371"/>
      <c r="H78" s="167">
        <f>SUM(H71:H76)</f>
        <v>706.4687</v>
      </c>
      <c r="I78" s="393"/>
      <c r="J78" s="166">
        <f>H78</f>
        <v>706.4687</v>
      </c>
      <c r="K78" s="391" t="s">
        <v>633</v>
      </c>
    </row>
    <row r="79" spans="1:11" ht="15.75">
      <c r="A79" s="370"/>
      <c r="B79" s="374" t="s">
        <v>1829</v>
      </c>
      <c r="C79" s="374"/>
      <c r="D79" s="374"/>
      <c r="E79" s="374"/>
      <c r="F79" s="374"/>
      <c r="G79" s="374"/>
      <c r="H79" s="374"/>
      <c r="I79" s="393"/>
      <c r="J79" s="167">
        <f>MAXA(0,J69-J78)</f>
        <v>0</v>
      </c>
      <c r="K79" s="391" t="s">
        <v>1809</v>
      </c>
    </row>
    <row r="80" spans="1:11" ht="15.75">
      <c r="A80" s="370"/>
      <c r="B80" s="377" t="s">
        <v>2008</v>
      </c>
      <c r="C80" s="377"/>
      <c r="D80" s="377"/>
      <c r="E80" s="377"/>
      <c r="F80" s="377"/>
      <c r="G80" s="377"/>
      <c r="H80" s="377"/>
      <c r="I80" s="393"/>
      <c r="J80" s="279"/>
      <c r="K80" s="391" t="s">
        <v>635</v>
      </c>
    </row>
    <row r="81" spans="1:11" ht="15.75">
      <c r="A81" s="370"/>
      <c r="B81" s="377" t="s">
        <v>2078</v>
      </c>
      <c r="C81" s="377"/>
      <c r="D81" s="377"/>
      <c r="E81" s="377"/>
      <c r="F81" s="377"/>
      <c r="G81" s="377"/>
      <c r="H81" s="377"/>
      <c r="I81" s="393"/>
      <c r="J81" s="167">
        <f>J79+J80</f>
        <v>0</v>
      </c>
      <c r="K81" s="391" t="s">
        <v>1810</v>
      </c>
    </row>
    <row r="82" spans="1:11" ht="15.75">
      <c r="A82" s="370"/>
      <c r="B82" s="389" t="s">
        <v>2009</v>
      </c>
      <c r="C82" s="389"/>
      <c r="D82" s="389"/>
      <c r="E82" s="389"/>
      <c r="F82" s="389"/>
      <c r="G82" s="389"/>
      <c r="H82" s="389"/>
      <c r="I82" s="393"/>
      <c r="J82" s="389"/>
      <c r="K82" s="391"/>
    </row>
    <row r="83" spans="1:11" ht="15.75">
      <c r="A83" s="370"/>
      <c r="B83" s="374" t="s">
        <v>2010</v>
      </c>
      <c r="C83" s="166">
        <f>J81</f>
        <v>0</v>
      </c>
      <c r="D83" s="374" t="s">
        <v>2011</v>
      </c>
      <c r="E83" s="374"/>
      <c r="F83" s="374"/>
      <c r="G83" s="374"/>
      <c r="H83" s="374"/>
      <c r="I83" s="393"/>
      <c r="J83" s="166">
        <f>0.1*MAXA(0,C83-10000)</f>
        <v>0</v>
      </c>
      <c r="K83" s="391" t="s">
        <v>1811</v>
      </c>
    </row>
    <row r="84" spans="1:11" ht="15.75">
      <c r="A84" s="370"/>
      <c r="B84" s="377" t="s">
        <v>2012</v>
      </c>
      <c r="C84" s="377"/>
      <c r="D84" s="377"/>
      <c r="E84" s="377"/>
      <c r="F84" s="377"/>
      <c r="G84" s="377"/>
      <c r="H84" s="377"/>
      <c r="I84" s="393"/>
      <c r="J84" s="167">
        <f>J81+J83</f>
        <v>0</v>
      </c>
      <c r="K84" s="391" t="s">
        <v>1812</v>
      </c>
    </row>
    <row r="85" spans="1:11" ht="15.75">
      <c r="A85" s="370"/>
      <c r="B85" s="377" t="s">
        <v>476</v>
      </c>
      <c r="C85" s="377"/>
      <c r="D85" s="377"/>
      <c r="E85" s="377"/>
      <c r="F85" s="377"/>
      <c r="G85" s="377"/>
      <c r="H85" s="377"/>
      <c r="I85" s="393"/>
      <c r="J85" s="279"/>
      <c r="K85" s="391" t="s">
        <v>1813</v>
      </c>
    </row>
    <row r="86" spans="1:11" ht="15.75">
      <c r="A86" s="370"/>
      <c r="B86" s="377" t="s">
        <v>2013</v>
      </c>
      <c r="C86" s="377"/>
      <c r="D86" s="377"/>
      <c r="E86" s="377"/>
      <c r="F86" s="377"/>
      <c r="G86" s="377"/>
      <c r="H86" s="377"/>
      <c r="I86" s="393"/>
      <c r="J86" s="167">
        <f>J84-J85</f>
        <v>0</v>
      </c>
      <c r="K86" s="391" t="s">
        <v>1814</v>
      </c>
    </row>
    <row r="87" spans="1:11" ht="15.75">
      <c r="A87" s="370"/>
      <c r="B87" s="375"/>
      <c r="C87" s="375"/>
      <c r="D87" s="375"/>
      <c r="E87" s="375"/>
      <c r="F87" s="375"/>
      <c r="G87" s="375"/>
      <c r="H87" s="375"/>
      <c r="I87" s="375"/>
      <c r="J87" s="719" t="s">
        <v>2014</v>
      </c>
      <c r="K87" s="391"/>
    </row>
    <row r="88" spans="1:11" ht="15.75">
      <c r="A88" s="370"/>
      <c r="B88" s="375"/>
      <c r="C88" s="375"/>
      <c r="D88" s="375"/>
      <c r="E88" s="375"/>
      <c r="F88" s="375"/>
      <c r="G88" s="375"/>
      <c r="H88" s="375"/>
      <c r="I88" s="375"/>
      <c r="J88" s="719"/>
      <c r="K88" s="391"/>
    </row>
    <row r="89" spans="1:11" ht="15.75">
      <c r="A89" s="370"/>
      <c r="B89" s="375"/>
      <c r="C89" s="375"/>
      <c r="D89" s="375"/>
      <c r="E89" s="375"/>
      <c r="F89" s="375"/>
      <c r="G89" s="375"/>
      <c r="H89" s="375"/>
      <c r="I89" s="375"/>
      <c r="J89" s="719"/>
      <c r="K89" s="391"/>
    </row>
    <row r="90" spans="1:11" ht="20.25">
      <c r="A90" s="370"/>
      <c r="B90" s="407" t="s">
        <v>2015</v>
      </c>
      <c r="C90" s="375"/>
      <c r="D90" s="375"/>
      <c r="E90" s="375"/>
      <c r="F90" s="375"/>
      <c r="G90" s="375"/>
      <c r="H90" s="375"/>
      <c r="I90" s="393"/>
      <c r="J90" s="375"/>
      <c r="K90" s="391"/>
    </row>
    <row r="91" spans="1:11" ht="15.75">
      <c r="A91" s="370"/>
      <c r="B91" s="375"/>
      <c r="C91" s="375"/>
      <c r="D91" s="375"/>
      <c r="E91" s="375"/>
      <c r="F91" s="375"/>
      <c r="G91" s="375"/>
      <c r="H91" s="375"/>
      <c r="I91" s="393"/>
      <c r="J91" s="719"/>
      <c r="K91" s="391"/>
    </row>
    <row r="92" spans="1:11" ht="15.75">
      <c r="A92" s="370"/>
      <c r="B92" s="375" t="s">
        <v>2016</v>
      </c>
      <c r="C92" s="375"/>
      <c r="D92" s="375"/>
      <c r="E92" s="375"/>
      <c r="F92" s="375"/>
      <c r="G92" s="375"/>
      <c r="H92" s="375"/>
      <c r="I92" s="393"/>
      <c r="J92" s="719"/>
      <c r="K92" s="391"/>
    </row>
    <row r="93" spans="1:11" ht="15.75">
      <c r="A93" s="370"/>
      <c r="B93" s="375" t="s">
        <v>2017</v>
      </c>
      <c r="C93" s="375"/>
      <c r="D93" s="375"/>
      <c r="E93" s="375"/>
      <c r="F93" s="375"/>
      <c r="G93" s="375"/>
      <c r="H93" s="375"/>
      <c r="I93" s="393"/>
      <c r="J93" s="371"/>
      <c r="K93" s="391"/>
    </row>
    <row r="94" spans="1:11" ht="15.75">
      <c r="A94" s="370"/>
      <c r="B94" s="406"/>
      <c r="C94" s="375"/>
      <c r="D94" s="375"/>
      <c r="E94" s="375"/>
      <c r="F94" s="375"/>
      <c r="G94" s="375"/>
      <c r="H94" s="375"/>
      <c r="I94" s="393"/>
      <c r="J94" s="371"/>
      <c r="K94" s="391"/>
    </row>
    <row r="95" spans="1:11" ht="15.75">
      <c r="A95" s="370"/>
      <c r="B95" s="374" t="s">
        <v>2079</v>
      </c>
      <c r="C95" s="374"/>
      <c r="D95" s="374"/>
      <c r="E95" s="374"/>
      <c r="F95" s="381" t="s">
        <v>2018</v>
      </c>
      <c r="G95" s="720">
        <v>6195</v>
      </c>
      <c r="H95" s="278"/>
      <c r="I95" s="391" t="s">
        <v>636</v>
      </c>
      <c r="J95" s="371"/>
      <c r="K95" s="391"/>
    </row>
    <row r="96" spans="1:11" ht="15.75">
      <c r="A96" s="370"/>
      <c r="B96" s="377" t="s">
        <v>2019</v>
      </c>
      <c r="C96" s="377"/>
      <c r="D96" s="377"/>
      <c r="E96" s="377"/>
      <c r="F96" s="381" t="s">
        <v>2018</v>
      </c>
      <c r="G96" s="720">
        <v>6197</v>
      </c>
      <c r="H96" s="278"/>
      <c r="I96" s="391" t="s">
        <v>638</v>
      </c>
      <c r="J96" s="371"/>
      <c r="K96" s="391"/>
    </row>
    <row r="97" spans="1:11" ht="15.75">
      <c r="A97" s="370"/>
      <c r="B97" s="375"/>
      <c r="C97" s="375"/>
      <c r="D97" s="375"/>
      <c r="E97" s="375"/>
      <c r="F97" s="375"/>
      <c r="G97" s="375"/>
      <c r="H97" s="375"/>
      <c r="I97" s="393"/>
      <c r="J97" s="371"/>
      <c r="K97" s="391"/>
    </row>
    <row r="98" spans="1:11" ht="15.75">
      <c r="A98" s="370"/>
      <c r="B98" s="374" t="s">
        <v>2020</v>
      </c>
      <c r="C98" s="374"/>
      <c r="D98" s="374"/>
      <c r="E98" s="374"/>
      <c r="F98" s="381" t="s">
        <v>2018</v>
      </c>
      <c r="G98" s="720">
        <v>6199</v>
      </c>
      <c r="H98" s="278"/>
      <c r="I98" s="391" t="s">
        <v>1815</v>
      </c>
      <c r="J98" s="371"/>
      <c r="K98" s="391"/>
    </row>
    <row r="99" spans="1:11" ht="15.75">
      <c r="A99" s="370"/>
      <c r="B99" s="375" t="s">
        <v>2021</v>
      </c>
      <c r="C99" s="375"/>
      <c r="D99" s="375"/>
      <c r="E99" s="375"/>
      <c r="F99" s="375"/>
      <c r="G99" s="375"/>
      <c r="H99" s="722"/>
      <c r="I99" s="393"/>
      <c r="J99" s="371"/>
      <c r="K99" s="391"/>
    </row>
    <row r="100" spans="1:11" ht="15.75">
      <c r="A100" s="370"/>
      <c r="B100" s="374"/>
      <c r="C100" s="374"/>
      <c r="D100" s="381" t="s">
        <v>2022</v>
      </c>
      <c r="E100" s="720" t="s">
        <v>2023</v>
      </c>
      <c r="F100" s="723"/>
      <c r="G100" s="385" t="s">
        <v>2024</v>
      </c>
      <c r="H100" s="166">
        <f>F100*165</f>
        <v>0</v>
      </c>
      <c r="I100" s="391" t="s">
        <v>1816</v>
      </c>
      <c r="J100" s="371"/>
      <c r="K100" s="391"/>
    </row>
    <row r="101" spans="1:11" ht="15.75">
      <c r="A101" s="370"/>
      <c r="B101" s="374" t="s">
        <v>2025</v>
      </c>
      <c r="C101" s="374"/>
      <c r="D101" s="374"/>
      <c r="E101" s="374"/>
      <c r="F101" s="374"/>
      <c r="G101" s="375"/>
      <c r="H101" s="167">
        <f>SUM(H95:H100)</f>
        <v>0</v>
      </c>
      <c r="I101" s="391" t="s">
        <v>1817</v>
      </c>
      <c r="J101" s="371"/>
      <c r="K101" s="391"/>
    </row>
    <row r="102" spans="1:11" ht="15.75">
      <c r="A102" s="370"/>
      <c r="B102" s="375"/>
      <c r="C102" s="375"/>
      <c r="D102" s="375"/>
      <c r="E102" s="375"/>
      <c r="F102" s="375"/>
      <c r="G102" s="375"/>
      <c r="H102" s="375"/>
      <c r="I102" s="393"/>
      <c r="J102" s="371"/>
      <c r="K102" s="391"/>
    </row>
    <row r="103" spans="1:11" ht="15.75" customHeight="1">
      <c r="A103" s="370"/>
      <c r="B103" s="374" t="s">
        <v>2026</v>
      </c>
      <c r="C103" s="374"/>
      <c r="D103" s="374"/>
      <c r="E103" s="375"/>
      <c r="F103" s="167">
        <f>'T1 GEN-2-3-4'!K84</f>
        <v>0</v>
      </c>
      <c r="G103" s="391" t="s">
        <v>1818</v>
      </c>
      <c r="H103" s="375"/>
      <c r="I103" s="393"/>
      <c r="J103" s="371"/>
      <c r="K103" s="391"/>
    </row>
    <row r="104" spans="1:11" ht="15.75">
      <c r="A104" s="370"/>
      <c r="B104" s="375" t="s">
        <v>2027</v>
      </c>
      <c r="C104" s="375"/>
      <c r="D104" s="375"/>
      <c r="E104" s="375"/>
      <c r="F104" s="375"/>
      <c r="G104" s="375"/>
      <c r="H104" s="375"/>
      <c r="I104" s="393"/>
      <c r="J104" s="371"/>
      <c r="K104" s="391"/>
    </row>
    <row r="105" spans="1:11" ht="15.75">
      <c r="A105" s="370"/>
      <c r="B105" s="374" t="s">
        <v>2028</v>
      </c>
      <c r="C105" s="374"/>
      <c r="D105" s="374"/>
      <c r="E105" s="375"/>
      <c r="F105" s="167">
        <f>'T1 GEN-1'!U30</f>
        <v>0</v>
      </c>
      <c r="G105" s="391" t="s">
        <v>1819</v>
      </c>
      <c r="H105" s="375"/>
      <c r="I105" s="393"/>
      <c r="J105" s="371"/>
      <c r="K105" s="391"/>
    </row>
    <row r="106" spans="1:11" ht="15.75">
      <c r="A106" s="370"/>
      <c r="B106" s="377" t="s">
        <v>2029</v>
      </c>
      <c r="C106" s="377"/>
      <c r="D106" s="377"/>
      <c r="E106" s="375"/>
      <c r="F106" s="167">
        <f>F103+F105</f>
        <v>0</v>
      </c>
      <c r="G106" s="391" t="s">
        <v>1820</v>
      </c>
      <c r="H106" s="375"/>
      <c r="I106" s="393"/>
      <c r="J106" s="371"/>
      <c r="K106" s="391"/>
    </row>
    <row r="107" spans="1:11" ht="15.75">
      <c r="A107" s="370"/>
      <c r="B107" s="377" t="s">
        <v>1393</v>
      </c>
      <c r="C107" s="377"/>
      <c r="D107" s="377"/>
      <c r="E107" s="375"/>
      <c r="F107" s="167">
        <v>15000</v>
      </c>
      <c r="G107" s="391" t="s">
        <v>1821</v>
      </c>
      <c r="H107" s="375"/>
      <c r="I107" s="393"/>
      <c r="J107" s="371"/>
      <c r="K107" s="391"/>
    </row>
    <row r="108" spans="1:11" ht="15.75">
      <c r="A108" s="370"/>
      <c r="B108" s="377" t="s">
        <v>2030</v>
      </c>
      <c r="C108" s="377"/>
      <c r="D108" s="377"/>
      <c r="E108" s="375"/>
      <c r="F108" s="167">
        <f>MAXA(0,F106-F107)</f>
        <v>0</v>
      </c>
      <c r="G108" s="391" t="s">
        <v>1822</v>
      </c>
      <c r="H108" s="375"/>
      <c r="I108" s="393"/>
      <c r="J108" s="371"/>
      <c r="K108" s="391"/>
    </row>
    <row r="109" spans="1:11" ht="15.75">
      <c r="A109" s="370"/>
      <c r="B109" s="377" t="s">
        <v>1002</v>
      </c>
      <c r="C109" s="377"/>
      <c r="D109" s="377"/>
      <c r="E109" s="375"/>
      <c r="F109" s="724">
        <v>0.05</v>
      </c>
      <c r="G109" s="391" t="s">
        <v>1823</v>
      </c>
      <c r="H109" s="375"/>
      <c r="I109" s="393"/>
      <c r="J109" s="371"/>
      <c r="K109" s="391"/>
    </row>
    <row r="110" spans="1:11" ht="15.75">
      <c r="A110" s="370"/>
      <c r="B110" s="377" t="s">
        <v>2031</v>
      </c>
      <c r="C110" s="377"/>
      <c r="D110" s="377"/>
      <c r="E110" s="375"/>
      <c r="F110" s="167">
        <f>F108*F109</f>
        <v>0</v>
      </c>
      <c r="G110" s="375"/>
      <c r="H110" s="167">
        <f>F110</f>
        <v>0</v>
      </c>
      <c r="I110" s="391" t="s">
        <v>1824</v>
      </c>
      <c r="J110" s="371"/>
      <c r="K110" s="391"/>
    </row>
    <row r="111" spans="1:11" ht="15.75">
      <c r="A111" s="370"/>
      <c r="B111" s="375" t="s">
        <v>2032</v>
      </c>
      <c r="C111" s="375"/>
      <c r="D111" s="375"/>
      <c r="E111" s="375"/>
      <c r="F111" s="375"/>
      <c r="G111" s="375"/>
      <c r="H111" s="375"/>
      <c r="I111" s="393"/>
      <c r="J111" s="371"/>
      <c r="K111" s="391"/>
    </row>
    <row r="112" spans="1:11" ht="15.75">
      <c r="A112" s="370"/>
      <c r="B112" s="374"/>
      <c r="C112" s="374"/>
      <c r="D112" s="374"/>
      <c r="E112" s="374"/>
      <c r="F112" s="388" t="s">
        <v>2033</v>
      </c>
      <c r="G112" s="375"/>
      <c r="H112" s="167">
        <f>MAXA(0,H101-H110)</f>
        <v>0</v>
      </c>
      <c r="I112" s="393"/>
      <c r="J112" s="166">
        <f>H112</f>
        <v>0</v>
      </c>
      <c r="K112" s="391" t="s">
        <v>663</v>
      </c>
    </row>
    <row r="113" spans="1:11" ht="15.75">
      <c r="A113" s="370"/>
      <c r="B113" s="375" t="s">
        <v>2034</v>
      </c>
      <c r="C113" s="375"/>
      <c r="D113" s="375"/>
      <c r="E113" s="375"/>
      <c r="F113" s="375"/>
      <c r="G113" s="375"/>
      <c r="H113" s="375"/>
      <c r="I113" s="393"/>
      <c r="J113" s="371"/>
      <c r="K113" s="391"/>
    </row>
    <row r="114" spans="1:11" ht="15.75">
      <c r="A114" s="370"/>
      <c r="B114" s="374" t="s">
        <v>1876</v>
      </c>
      <c r="C114" s="374"/>
      <c r="D114" s="374"/>
      <c r="E114" s="374"/>
      <c r="F114" s="374"/>
      <c r="G114" s="374"/>
      <c r="H114" s="388" t="s">
        <v>694</v>
      </c>
      <c r="I114" s="393"/>
      <c r="J114" s="166">
        <f>MAXA(0,J86-J112)</f>
        <v>0</v>
      </c>
      <c r="K114" s="391" t="s">
        <v>664</v>
      </c>
    </row>
    <row r="115" spans="1:11" ht="15.75">
      <c r="A115" s="370"/>
      <c r="B115" s="375"/>
      <c r="C115" s="375"/>
      <c r="D115" s="375"/>
      <c r="E115" s="375"/>
      <c r="F115" s="375"/>
      <c r="G115" s="375"/>
      <c r="H115" s="375"/>
      <c r="I115" s="393"/>
      <c r="J115" s="371"/>
      <c r="K115" s="391"/>
    </row>
    <row r="116" spans="1:11" ht="15.75">
      <c r="A116" s="370"/>
      <c r="B116" s="375"/>
      <c r="C116" s="375"/>
      <c r="D116" s="375"/>
      <c r="E116" s="375"/>
      <c r="F116" s="375"/>
      <c r="G116" s="375"/>
      <c r="H116" s="375"/>
      <c r="I116" s="393"/>
      <c r="J116" s="371"/>
      <c r="K116" s="391"/>
    </row>
    <row r="117" spans="1:11" ht="15.75">
      <c r="A117" s="370"/>
      <c r="B117" s="375"/>
      <c r="C117" s="375"/>
      <c r="D117" s="375"/>
      <c r="E117" s="375"/>
      <c r="F117" s="375"/>
      <c r="G117" s="375"/>
      <c r="H117" s="375"/>
      <c r="I117" s="393"/>
      <c r="J117" s="371"/>
      <c r="K117" s="391"/>
    </row>
    <row r="118" spans="1:11" ht="15">
      <c r="A118" s="370"/>
      <c r="B118" s="371"/>
      <c r="C118" s="371"/>
      <c r="D118" s="371"/>
      <c r="E118" s="371"/>
      <c r="F118" s="371"/>
      <c r="G118" s="371"/>
      <c r="H118" s="371"/>
      <c r="I118" s="393"/>
      <c r="J118" s="371"/>
      <c r="K118" s="371"/>
    </row>
  </sheetData>
  <sheetProtection password="EC35" sheet="1" objects="1" scenarios="1"/>
  <printOptions horizontalCentered="1"/>
  <pageMargins left="0.1" right="0.1" top="0.5" bottom="0.25" header="0.511811023622047" footer="0.15"/>
  <pageSetup fitToHeight="6" fitToWidth="1" horizontalDpi="600" verticalDpi="600" orientation="landscape" r:id="rId4"/>
  <headerFooter alignWithMargins="0">
    <oddFooter>&amp;L5003-C
</oddFooter>
  </headerFooter>
  <rowBreaks count="1" manualBreakCount="1">
    <brk id="63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Peel Technologies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MyTAX 2001.xls  V2.1</dc:title>
  <dc:subject>Live Version, April 4. 2002. </dc:subject>
  <dc:creator>Egbert Verbrugge</dc:creator>
  <cp:keywords/>
  <dc:description/>
  <cp:lastModifiedBy>Egbert Verbrugge</cp:lastModifiedBy>
  <cp:lastPrinted>2002-04-22T20:43:04Z</cp:lastPrinted>
  <dcterms:created xsi:type="dcterms:W3CDTF">1999-03-31T00:46:13Z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