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drawings/drawing9.xml" ContentType="application/vnd.openxmlformats-officedocument.drawing+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65521" windowWidth="7770" windowHeight="7935" tabRatio="704"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NS WRK" sheetId="9" r:id="rId9"/>
    <sheet name="NS428" sheetId="10" r:id="rId10"/>
    <sheet name="NS479" sheetId="11" r:id="rId11"/>
    <sheet name="NS(S2)" sheetId="12" r:id="rId12"/>
    <sheet name="NS(S11)" sheetId="13" r:id="rId13"/>
    <sheet name="Sch1" sheetId="14" r:id="rId14"/>
    <sheet name="Sch2" sheetId="15" r:id="rId15"/>
    <sheet name="Sch3" sheetId="16" r:id="rId16"/>
    <sheet name="Sch4" sheetId="17" r:id="rId17"/>
    <sheet name="Sch4-2" sheetId="18" r:id="rId18"/>
    <sheet name="Sch5" sheetId="19" r:id="rId19"/>
    <sheet name="Sch7" sheetId="20" r:id="rId20"/>
    <sheet name="Sch8" sheetId="21" r:id="rId21"/>
    <sheet name="Sch9" sheetId="22" r:id="rId22"/>
    <sheet name="Sch11" sheetId="23" r:id="rId23"/>
    <sheet name="T4" sheetId="24" r:id="rId24"/>
    <sheet name="T4A" sheetId="25" r:id="rId25"/>
    <sheet name="T4A(P)" sheetId="26" r:id="rId26"/>
    <sheet name="T4A(OAS)" sheetId="27" r:id="rId27"/>
    <sheet name="T4E" sheetId="28" r:id="rId28"/>
    <sheet name="T4PS" sheetId="29" r:id="rId29"/>
    <sheet name="T4RIF" sheetId="30" r:id="rId30"/>
    <sheet name="T4RSP" sheetId="31" r:id="rId31"/>
    <sheet name="T778" sheetId="32" r:id="rId32"/>
    <sheet name="T2204" sheetId="33" r:id="rId33"/>
    <sheet name="T2205" sheetId="34" r:id="rId34"/>
    <sheet name="T3" sheetId="35" state="hidden" r:id="rId35"/>
    <sheet name="T5" sheetId="36" state="hidden" r:id="rId36"/>
    <sheet name="T5007" sheetId="37" r:id="rId37"/>
    <sheet name="MISC" sheetId="38" r:id="rId38"/>
  </sheets>
  <definedNames>
    <definedName name="age">'T1 GEN-1'!$AB$14</definedName>
    <definedName name="daysinyear">'T1 GEN-1'!$AB$40</definedName>
    <definedName name="exemption">'T4A'!$J$46</definedName>
    <definedName name="fract">'T1 GEN-1'!$AB$42</definedName>
    <definedName name="fract1">'T1 GEN-1'!$AB$43</definedName>
    <definedName name="fract2">'T1 GEN-1'!$AB$44</definedName>
    <definedName name="lastyear">'T1 GEN-1'!$AB$16</definedName>
    <definedName name="lastyeartext">'T1 GEN-1'!$AB$17</definedName>
    <definedName name="nextyear">'T1 GEN-1'!$AB$18</definedName>
    <definedName name="nextyeartext">'T1 GEN-1'!$AB$19</definedName>
    <definedName name="numchildren">'T778'!$E$25</definedName>
    <definedName name="numchildren18andless">'T778'!$S$25</definedName>
    <definedName name="P65_887" localSheetId="1">'What''s New'!#REF!</definedName>
    <definedName name="_xlnm.Print_Area" localSheetId="7">'FED WRK'!$A$1:$K$171</definedName>
    <definedName name="_xlnm.Print_Area" localSheetId="3">'GO TO'!$A$1:$O$32</definedName>
    <definedName name="_xlnm.Print_Area" localSheetId="2">'HELP'!$A$1:$H$75</definedName>
    <definedName name="_xlnm.Print_Area" localSheetId="37">'MISC'!$A$1:$M$94</definedName>
    <definedName name="_xlnm.Print_Area" localSheetId="8">'NS WRK'!$A$1:$J$100</definedName>
    <definedName name="_xlnm.Print_Area" localSheetId="12">'NS(S11)'!$A$1:$J$56</definedName>
    <definedName name="_xlnm.Print_Area" localSheetId="11">'NS(S2)'!$A$1:$K$32</definedName>
    <definedName name="_xlnm.Print_Area" localSheetId="9">'NS428'!$A$1:$K$121</definedName>
    <definedName name="_xlnm.Print_Area" localSheetId="10">'NS479'!$A$1:$J$14</definedName>
    <definedName name="_xlnm.Print_Area" localSheetId="4">'QUAL'!$A$1:$F$30</definedName>
    <definedName name="_xlnm.Print_Area" localSheetId="0">'README'!$A$1:$H$79</definedName>
    <definedName name="_xlnm.Print_Area" localSheetId="13">'Sch1'!$B$1:$K$111</definedName>
    <definedName name="_xlnm.Print_Area" localSheetId="22">'Sch11'!$A$1:$L$62</definedName>
    <definedName name="_xlnm.Print_Area" localSheetId="14">'Sch2'!$A$1:$K$33</definedName>
    <definedName name="_xlnm.Print_Area" localSheetId="15">'Sch3'!$A$1:$K$63</definedName>
    <definedName name="_xlnm.Print_Area" localSheetId="16">'Sch4'!$A$1:$F$31</definedName>
    <definedName name="_xlnm.Print_Area" localSheetId="17">'Sch4-2'!$A$1:$F$84</definedName>
    <definedName name="_xlnm.Print_Area" localSheetId="18">'Sch5'!$A$1:$H$38</definedName>
    <definedName name="_xlnm.Print_Area" localSheetId="19">'Sch7'!$A$1:$J$58</definedName>
    <definedName name="_xlnm.Print_Area" localSheetId="20">'Sch8'!$A$1:$J$32</definedName>
    <definedName name="_xlnm.Print_Area" localSheetId="21">'Sch9'!$A$1:$J$31</definedName>
    <definedName name="_xlnm.Print_Area" localSheetId="5">'T1 GEN-1'!$A$1:$Z$65</definedName>
    <definedName name="_xlnm.Print_Area" localSheetId="6">'T1 GEN-2-3-4'!$A$1:$L$171</definedName>
    <definedName name="_xlnm.Print_Area" localSheetId="32">'T2204'!$A$1:$K$61</definedName>
    <definedName name="_xlnm.Print_Area" localSheetId="33">'T2205'!$A$1:$I$55</definedName>
    <definedName name="_xlnm.Print_Area" localSheetId="23">'T4'!$A$1:$K$123</definedName>
    <definedName name="_xlnm.Print_Area" localSheetId="24">'T4A'!$A$1:$K$64</definedName>
    <definedName name="_xlnm.Print_Area" localSheetId="26">'T4A(OAS)'!$A$1:$K$39</definedName>
    <definedName name="_xlnm.Print_Area" localSheetId="25">'T4A(P)'!$A$1:$K$35</definedName>
    <definedName name="_xlnm.Print_Area" localSheetId="27">'T4E'!$A$1:$K$76</definedName>
    <definedName name="_xlnm.Print_Area" localSheetId="28">'T4PS'!$A$1:$K$61</definedName>
    <definedName name="_xlnm.Print_Area" localSheetId="31">'T778'!$A$1:$O$141</definedName>
    <definedName name="Sch8">'GO TO'!$B$17</definedName>
    <definedName name="sin">'T1 GEN-1'!$T$11</definedName>
    <definedName name="year">'T1 GEN-1'!$V$4</definedName>
    <definedName name="year16">'T778'!$Q$42</definedName>
    <definedName name="year16text">'T778'!$Q$43</definedName>
    <definedName name="year17">'T778'!$Q$44</definedName>
    <definedName name="year17text">'T778'!$Q$45</definedName>
    <definedName name="year18">'T2204'!$M$10</definedName>
    <definedName name="year18text">'T2204'!$M$11</definedName>
    <definedName name="year6">'T778'!$Q$37</definedName>
    <definedName name="year65">'T1 GEN-1'!$AB$20</definedName>
    <definedName name="year65text">'T1 GEN-1'!$AB$21</definedName>
    <definedName name="year6text">'T778'!$Q$38</definedName>
    <definedName name="year7">'T778'!$Q$39</definedName>
    <definedName name="year70">'T2204'!$M$13</definedName>
    <definedName name="year70text">'T2204'!$M$12</definedName>
    <definedName name="year7text">'T778'!$Q$40</definedName>
    <definedName name="yearminus2">'T1 GEN-1'!$AB$7</definedName>
    <definedName name="yearminus2text">'T1 GEN-1'!$AB$9</definedName>
    <definedName name="yearminus3">'T1 GEN-1'!$AB$10</definedName>
    <definedName name="yearminus3text">'T1 GEN-1'!$AB$11</definedName>
    <definedName name="yeartext">'T1 GEN-1'!$AB$12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Revision History
Feb 26, 2007.  Rev a: Ontario released from MyTAX-136.xls
Feb 28, 2007.  Rev b: ON(S11) sheet - error in cell C22 fixed.
March 4, 2007. Rev c: Add formulae to MISC cell I58 &amp; H58 to pick up data from Sch4-2 to be included in line 425.
March 18, 2007. Rev d: Typo in line 420 fixed.
March 18, 2007. Rev d: Small error in line 330 of Sch 1 fixed.
March 24, 2007. Rev e: Fixed calc error in line 235 section of FED WRK.
April 21, 2007.  Rev f: Fixed minor calc error in ON449, line 18.
April 21, 2007. Rev f: Released for Nova Scotia.</t>
        </r>
      </text>
    </comment>
  </commentList>
</comments>
</file>

<file path=xl/comments10.xml><?xml version="1.0" encoding="utf-8"?>
<comments xmlns="http://schemas.openxmlformats.org/spreadsheetml/2006/main">
  <authors>
    <author>Egbert Verbrugge</author>
    <author>argocd</author>
  </authors>
  <commentList>
    <comment ref="H27" authorId="0">
      <text>
        <r>
          <rPr>
            <b/>
            <sz val="8"/>
            <rFont val="Tahoma"/>
            <family val="0"/>
          </rPr>
          <t>Use provincial worksheet</t>
        </r>
      </text>
    </comment>
    <comment ref="H28" authorId="0">
      <text>
        <r>
          <rPr>
            <b/>
            <sz val="8"/>
            <rFont val="Tahoma"/>
            <family val="0"/>
          </rPr>
          <t>User provincial worksheet</t>
        </r>
      </text>
    </comment>
    <comment ref="H36" authorId="0">
      <text>
        <r>
          <rPr>
            <b/>
            <sz val="8"/>
            <rFont val="Tahoma"/>
            <family val="0"/>
          </rPr>
          <t>User provincial worksheet</t>
        </r>
      </text>
    </comment>
    <comment ref="H37" authorId="0">
      <text>
        <r>
          <rPr>
            <b/>
            <sz val="10"/>
            <rFont val="Tahoma"/>
            <family val="2"/>
          </rPr>
          <t>Use provincial worksheet</t>
        </r>
        <r>
          <rPr>
            <b/>
            <sz val="8"/>
            <rFont val="Tahoma"/>
            <family val="0"/>
          </rPr>
          <t xml:space="preserve">
</t>
        </r>
      </text>
    </comment>
    <comment ref="H38" authorId="0">
      <text>
        <r>
          <rPr>
            <b/>
            <sz val="8"/>
            <rFont val="Tahoma"/>
            <family val="0"/>
          </rPr>
          <t>use provincial worksheet</t>
        </r>
      </text>
    </comment>
    <comment ref="F48" authorId="0">
      <text>
        <r>
          <rPr>
            <b/>
            <sz val="8"/>
            <rFont val="Tahoma"/>
            <family val="0"/>
          </rPr>
          <t>Use provincial worksheet</t>
        </r>
      </text>
    </comment>
    <comment ref="D23" authorId="0">
      <text>
        <r>
          <rPr>
            <b/>
            <sz val="12"/>
            <rFont val="Tahoma"/>
            <family val="2"/>
          </rPr>
          <t>Default formula:
If resident in Canada a different number of days than you, you may need to change this amount.</t>
        </r>
        <r>
          <rPr>
            <b/>
            <sz val="8"/>
            <rFont val="Tahoma"/>
            <family val="0"/>
          </rPr>
          <t xml:space="preserve">
</t>
        </r>
      </text>
    </comment>
    <comment ref="F90" authorId="0">
      <text>
        <r>
          <rPr>
            <sz val="12"/>
            <rFont val="Tahoma"/>
            <family val="2"/>
          </rPr>
          <t>Default formulae. You can change this value to zero. Data Source is from form T778.</t>
        </r>
        <r>
          <rPr>
            <sz val="8"/>
            <rFont val="Tahoma"/>
            <family val="0"/>
          </rPr>
          <t xml:space="preserve">
</t>
        </r>
      </text>
    </comment>
    <comment ref="F98" authorId="0">
      <text>
        <r>
          <rPr>
            <b/>
            <sz val="12"/>
            <rFont val="Tahoma"/>
            <family val="2"/>
          </rPr>
          <t>Default Formula
Value is from this return.</t>
        </r>
      </text>
    </comment>
    <comment ref="H85" authorId="0">
      <text>
        <r>
          <rPr>
            <b/>
            <sz val="12"/>
            <rFont val="Tahoma"/>
            <family val="2"/>
          </rPr>
          <t>Default Value.
Only one person can make this claim for the family.  You may to change it to zero.</t>
        </r>
        <r>
          <rPr>
            <sz val="8"/>
            <rFont val="Tahoma"/>
            <family val="0"/>
          </rPr>
          <t xml:space="preserve">
</t>
        </r>
      </text>
    </comment>
    <comment ref="H86" authorId="0">
      <text>
        <r>
          <rPr>
            <b/>
            <sz val="12"/>
            <rFont val="Tahoma"/>
            <family val="2"/>
          </rPr>
          <t>Default Formula:  Only one claim per family is allowed. You may have to change this to zero.</t>
        </r>
        <r>
          <rPr>
            <sz val="8"/>
            <rFont val="Tahoma"/>
            <family val="0"/>
          </rPr>
          <t xml:space="preserve">
</t>
        </r>
      </text>
    </comment>
    <comment ref="A1" authorId="1">
      <text>
        <r>
          <rPr>
            <b/>
            <sz val="12"/>
            <rFont val="Tahoma"/>
            <family val="2"/>
          </rPr>
          <t>Default Formula.  Only one claim per family allowed.  You may have to set this to zero.</t>
        </r>
      </text>
    </comment>
  </commentList>
</comments>
</file>

<file path=xl/comments13.xml><?xml version="1.0" encoding="utf-8"?>
<comments xmlns="http://schemas.openxmlformats.org/spreadsheetml/2006/main">
  <authors>
    <author>Egbert Verbrugge</author>
  </authors>
  <commentList>
    <comment ref="I50" authorId="0">
      <text>
        <r>
          <rPr>
            <sz val="12"/>
            <rFont val="Tahoma"/>
            <family val="2"/>
          </rPr>
          <t>Default Formula</t>
        </r>
        <r>
          <rPr>
            <sz val="8"/>
            <rFont val="Tahoma"/>
            <family val="0"/>
          </rPr>
          <t xml:space="preserve">
</t>
        </r>
        <r>
          <rPr>
            <sz val="12"/>
            <rFont val="Tahoma"/>
            <family val="2"/>
          </rPr>
          <t>You can change the amount.</t>
        </r>
      </text>
    </comment>
  </commentList>
</comments>
</file>

<file path=xl/comments14.xml><?xml version="1.0" encoding="utf-8"?>
<comments xmlns="http://schemas.openxmlformats.org/spreadsheetml/2006/main">
  <authors>
    <author>Egbert Verbrugge</author>
  </authors>
  <commentList>
    <comment ref="H30" authorId="0">
      <text>
        <r>
          <rPr>
            <b/>
            <sz val="8"/>
            <rFont val="Tahoma"/>
            <family val="0"/>
          </rPr>
          <t>From Federal Worksheet</t>
        </r>
        <r>
          <rPr>
            <sz val="8"/>
            <rFont val="Tahoma"/>
            <family val="0"/>
          </rPr>
          <t xml:space="preserve">
</t>
        </r>
      </text>
    </comment>
    <comment ref="H38" authorId="0">
      <text>
        <r>
          <rPr>
            <b/>
            <sz val="8"/>
            <rFont val="Tahoma"/>
            <family val="0"/>
          </rPr>
          <t>From Federal Worksheet</t>
        </r>
        <r>
          <rPr>
            <sz val="8"/>
            <rFont val="Tahoma"/>
            <family val="0"/>
          </rPr>
          <t xml:space="preserve">
</t>
        </r>
      </text>
    </comment>
    <comment ref="H39" authorId="0">
      <text>
        <r>
          <rPr>
            <b/>
            <sz val="10"/>
            <rFont val="Tahoma"/>
            <family val="2"/>
          </rPr>
          <t>From Federal Worksheet if option set on QUAL sheet</t>
        </r>
        <r>
          <rPr>
            <sz val="8"/>
            <rFont val="Tahoma"/>
            <family val="0"/>
          </rPr>
          <t xml:space="preserve">
</t>
        </r>
      </text>
    </comment>
    <comment ref="H41" authorId="0">
      <text>
        <r>
          <rPr>
            <b/>
            <sz val="10"/>
            <rFont val="Tahoma"/>
            <family val="2"/>
          </rPr>
          <t>From Federal Worksheet.  Option must be set to YES on line 318 of QUAL sheet.</t>
        </r>
      </text>
    </comment>
    <comment ref="H24" authorId="0">
      <text>
        <r>
          <rPr>
            <b/>
            <sz val="8"/>
            <rFont val="Tahoma"/>
            <family val="0"/>
          </rPr>
          <t>Enter date of birth on the T1 GEN-1 sheet and this amount here will be picked up automatically if you qualify.</t>
        </r>
      </text>
    </comment>
    <comment ref="J73" authorId="0">
      <text>
        <r>
          <rPr>
            <b/>
            <sz val="10"/>
            <rFont val="Tahoma"/>
            <family val="2"/>
          </rPr>
          <t xml:space="preserve">The default for this amount is picked up from the total box from the calculation below
</t>
        </r>
        <r>
          <rPr>
            <sz val="8"/>
            <rFont val="Tahoma"/>
            <family val="0"/>
          </rPr>
          <t xml:space="preserve">
</t>
        </r>
        <r>
          <rPr>
            <b/>
            <sz val="10"/>
            <rFont val="Tahoma"/>
            <family val="2"/>
          </rPr>
          <t>You can override it if you use Form T2209.</t>
        </r>
      </text>
    </comment>
    <comment ref="J99" authorId="0">
      <text>
        <r>
          <rPr>
            <b/>
            <sz val="10"/>
            <rFont val="Tahoma"/>
            <family val="2"/>
          </rPr>
          <t>You must manually enter here the total of your allowable foreign tax credit from the above calculations</t>
        </r>
      </text>
    </comment>
    <comment ref="H32" authorId="0">
      <text>
        <r>
          <rPr>
            <b/>
            <sz val="10"/>
            <rFont val="Tahoma"/>
            <family val="2"/>
          </rPr>
          <t>From T2204 if it applies</t>
        </r>
      </text>
    </comment>
    <comment ref="H29" authorId="0">
      <text>
        <r>
          <rPr>
            <b/>
            <sz val="10"/>
            <rFont val="Tahoma"/>
            <family val="2"/>
          </rPr>
          <t>From FED WRK if option set on QUAL sheet</t>
        </r>
      </text>
    </comment>
    <comment ref="H40" authorId="0">
      <text>
        <r>
          <rPr>
            <b/>
            <sz val="10"/>
            <rFont val="Tahoma"/>
            <family val="2"/>
          </rPr>
          <t>From FED WRK if option set on QUAL sheet</t>
        </r>
      </text>
    </comment>
    <comment ref="D26" authorId="0">
      <text>
        <r>
          <rPr>
            <b/>
            <sz val="12"/>
            <rFont val="Tahoma"/>
            <family val="2"/>
          </rPr>
          <t>Default Formula: If resident in Canada for a different number of days than you, you may need to change this amount</t>
        </r>
        <r>
          <rPr>
            <sz val="8"/>
            <rFont val="Tahoma"/>
            <family val="0"/>
          </rPr>
          <t xml:space="preserve">
</t>
        </r>
      </text>
    </comment>
    <comment ref="H35" authorId="0">
      <text>
        <r>
          <rPr>
            <b/>
            <sz val="12"/>
            <rFont val="Tahoma"/>
            <family val="2"/>
          </rPr>
          <t>Default Formulae</t>
        </r>
      </text>
    </comment>
    <comment ref="F47" authorId="0">
      <text>
        <r>
          <rPr>
            <b/>
            <sz val="12"/>
            <rFont val="Tahoma"/>
            <family val="2"/>
          </rPr>
          <t>Guide RC4064 gives detailed information about allowable medical expenses.</t>
        </r>
        <r>
          <rPr>
            <sz val="12"/>
            <rFont val="Tahoma"/>
            <family val="2"/>
          </rPr>
          <t xml:space="preserve">
</t>
        </r>
      </text>
    </comment>
  </commentList>
</comments>
</file>

<file path=xl/comments16.xml><?xml version="1.0" encoding="utf-8"?>
<comments xmlns="http://schemas.openxmlformats.org/spreadsheetml/2006/main">
  <authors>
    <author>Egbert Verbrugge</author>
  </authors>
  <commentList>
    <comment ref="K61"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G38"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G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0"/>
          </rPr>
          <t xml:space="preserve">
</t>
        </r>
      </text>
    </comment>
  </commentList>
</comments>
</file>

<file path=xl/comments25.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0"/>
            <rFont val="Tahoma"/>
            <family val="2"/>
          </rPr>
          <t xml:space="preserve">Please enter the codes if they exist on your paper T4A's.These codes (where they exist) tell MyTAX to send the data to where it properly belongs.  </t>
        </r>
      </text>
    </comment>
  </commentList>
</comments>
</file>

<file path=xl/comments28.xml><?xml version="1.0" encoding="utf-8"?>
<comments xmlns="http://schemas.openxmlformats.org/spreadsheetml/2006/main">
  <authors>
    <author>Egbert Verbrugge</author>
  </authors>
  <commentList>
    <comment ref="C25" authorId="0">
      <text>
        <r>
          <rPr>
            <b/>
            <sz val="12"/>
            <rFont val="Tahoma"/>
            <family val="2"/>
          </rPr>
          <t>This amount will end up on line 323 of Schedule 1 through the T2202 or T2202A data you enter in Schedule 11</t>
        </r>
      </text>
    </comment>
  </commentList>
</comments>
</file>

<file path=xl/comments29.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0.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0"/>
          </rPr>
          <t xml:space="preserve">
</t>
        </r>
      </text>
    </comment>
  </commentList>
</comments>
</file>

<file path=xl/comments31.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2.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0"/>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0"/>
          </rPr>
          <t xml:space="preserve">
</t>
        </r>
      </text>
    </comment>
    <comment ref="K51" authorId="0">
      <text>
        <r>
          <rPr>
            <b/>
            <sz val="12"/>
            <rFont val="Tahoma"/>
            <family val="2"/>
          </rPr>
          <t>Default formula. You can change as needed</t>
        </r>
      </text>
    </comment>
  </commentList>
</comments>
</file>

<file path=xl/comments34.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8.xml><?xml version="1.0" encoding="utf-8"?>
<comments xmlns="http://schemas.openxmlformats.org/spreadsheetml/2006/main">
  <authors>
    <author>Egbert Verbrugge</author>
  </authors>
  <commentList>
    <comment ref="D50" authorId="0">
      <text>
        <r>
          <rPr>
            <b/>
            <sz val="12"/>
            <rFont val="Tahoma"/>
            <family val="2"/>
          </rPr>
          <t>If you are not allowed to transfer full amount from line 147, then put in  -ve amount on one of the cells in this row</t>
        </r>
      </text>
    </comment>
    <comment ref="D53" authorId="0">
      <text>
        <r>
          <rPr>
            <b/>
            <sz val="12"/>
            <rFont val="Tahoma"/>
            <family val="2"/>
          </rPr>
          <t>Data from box 16 of your T4RSP slip only if you were age 65 or older on Dec 31</t>
        </r>
      </text>
    </comment>
    <comment ref="J55" authorId="0">
      <text>
        <r>
          <rPr>
            <b/>
            <sz val="10"/>
            <rFont val="Tahoma"/>
            <family val="2"/>
          </rPr>
          <t>From T2204 if it applies</t>
        </r>
      </text>
    </comment>
    <comment ref="D56"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7" authorId="0">
      <text>
        <r>
          <rPr>
            <b/>
            <sz val="12"/>
            <rFont val="Tahoma"/>
            <family val="2"/>
          </rPr>
          <t xml:space="preserve">from Schedule 3:
If this amount is &gt;$66,666. You may have to pay minimum tax.  See guide, page 30
</t>
        </r>
        <r>
          <rPr>
            <sz val="8"/>
            <rFont val="Tahoma"/>
            <family val="0"/>
          </rPr>
          <t xml:space="preserve">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0" authorId="0">
      <text>
        <r>
          <rPr>
            <b/>
            <sz val="10"/>
            <rFont val="Tahoma"/>
            <family val="2"/>
          </rPr>
          <t>from MISC</t>
        </r>
        <r>
          <rPr>
            <sz val="8"/>
            <rFont val="Tahoma"/>
            <family val="0"/>
          </rPr>
          <t xml:space="preserve">
</t>
        </r>
      </text>
    </comment>
    <comment ref="I34" authorId="0">
      <text>
        <r>
          <rPr>
            <sz val="10"/>
            <rFont val="Tahoma"/>
            <family val="2"/>
          </rPr>
          <t>from MISC</t>
        </r>
        <r>
          <rPr>
            <sz val="8"/>
            <rFont val="Tahoma"/>
            <family val="0"/>
          </rPr>
          <t xml:space="preserve">
</t>
        </r>
      </text>
    </comment>
    <comment ref="G38" authorId="0">
      <text>
        <r>
          <rPr>
            <sz val="10"/>
            <rFont val="Tahoma"/>
            <family val="2"/>
          </rPr>
          <t>from MISC</t>
        </r>
        <r>
          <rPr>
            <sz val="8"/>
            <rFont val="Tahoma"/>
            <family val="0"/>
          </rPr>
          <t xml:space="preserve">
</t>
        </r>
      </text>
    </comment>
    <comment ref="G39" authorId="0">
      <text>
        <r>
          <rPr>
            <sz val="10"/>
            <rFont val="Tahoma"/>
            <family val="2"/>
          </rPr>
          <t>from MISC</t>
        </r>
        <r>
          <rPr>
            <sz val="8"/>
            <rFont val="Tahoma"/>
            <family val="0"/>
          </rPr>
          <t xml:space="preserve">
</t>
        </r>
      </text>
    </comment>
    <comment ref="G40" authorId="0">
      <text>
        <r>
          <rPr>
            <sz val="10"/>
            <rFont val="Tahoma"/>
            <family val="2"/>
          </rPr>
          <t>from MISC</t>
        </r>
        <r>
          <rPr>
            <sz val="8"/>
            <rFont val="Tahoma"/>
            <family val="0"/>
          </rPr>
          <t xml:space="preserve">
</t>
        </r>
      </text>
    </comment>
    <comment ref="I120" authorId="0">
      <text>
        <r>
          <rPr>
            <b/>
            <sz val="10"/>
            <rFont val="Tahoma"/>
            <family val="2"/>
          </rPr>
          <t>From T2204</t>
        </r>
      </text>
    </comment>
    <comment ref="I122" authorId="0">
      <text>
        <r>
          <rPr>
            <b/>
            <sz val="10"/>
            <rFont val="Tahoma"/>
            <family val="2"/>
          </rPr>
          <t>from Federal Worksheet</t>
        </r>
      </text>
    </comment>
    <comment ref="I78" authorId="0">
      <text>
        <r>
          <rPr>
            <b/>
            <sz val="12"/>
            <rFont val="Tahoma"/>
            <family val="2"/>
          </rPr>
          <t>Enter from your paper sheet into MISC sheet.  There is a Line labelled 224 in MISC.</t>
        </r>
      </text>
    </comment>
    <comment ref="I20" authorId="0">
      <text>
        <r>
          <rPr>
            <b/>
            <sz val="10"/>
            <rFont val="Tahoma"/>
            <family val="2"/>
          </rPr>
          <t>If you had a spouse or common-law partner on Dec 31, 2006, the one with the lower net income must report the UCCB.  Otherwise you have to report the UCCB you received.</t>
        </r>
        <r>
          <rPr>
            <sz val="8"/>
            <rFont val="Tahoma"/>
            <family val="0"/>
          </rPr>
          <t xml:space="preserve">
</t>
        </r>
      </text>
    </comment>
    <comment ref="E32" authorId="0">
      <text>
        <r>
          <rPr>
            <sz val="12"/>
            <rFont val="Tahoma"/>
            <family val="2"/>
          </rPr>
          <t>Use paper form T2124 for calculations.</t>
        </r>
        <r>
          <rPr>
            <b/>
            <sz val="12"/>
            <rFont val="Tahoma"/>
            <family val="2"/>
          </rPr>
          <t xml:space="preserve">
</t>
        </r>
        <r>
          <rPr>
            <sz val="8"/>
            <rFont val="Tahoma"/>
            <family val="0"/>
          </rPr>
          <t xml:space="preserve">
</t>
        </r>
      </text>
    </comment>
    <comment ref="E33" authorId="0">
      <text>
        <r>
          <rPr>
            <sz val="12"/>
            <rFont val="Tahoma"/>
            <family val="2"/>
          </rPr>
          <t>Use paper form T2032 for calculations</t>
        </r>
        <r>
          <rPr>
            <b/>
            <sz val="8"/>
            <rFont val="Tahoma"/>
            <family val="0"/>
          </rPr>
          <t xml:space="preserve">
</t>
        </r>
      </text>
    </comment>
    <comment ref="E35" authorId="0">
      <text>
        <r>
          <rPr>
            <sz val="12"/>
            <rFont val="Tahoma"/>
            <family val="2"/>
          </rPr>
          <t>Use paper form T2042 for calculations.</t>
        </r>
      </text>
    </comment>
    <comment ref="E36"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I53" authorId="0">
      <text>
        <r>
          <rPr>
            <b/>
            <sz val="12"/>
            <rFont val="Tahoma"/>
            <family val="2"/>
          </rPr>
          <t>Complete Schedule 5</t>
        </r>
      </text>
    </comment>
    <comment ref="I166" authorId="0">
      <text>
        <r>
          <rPr>
            <b/>
            <sz val="12"/>
            <rFont val="Tahoma"/>
            <family val="2"/>
          </rPr>
          <t>This amount must be more than $2,919 
to claim</t>
        </r>
        <r>
          <rPr>
            <sz val="8"/>
            <rFont val="Tahoma"/>
            <family val="0"/>
          </rPr>
          <t xml:space="preserve">
</t>
        </r>
      </text>
    </comment>
  </commentList>
</comments>
</file>

<file path=xl/comments9.xml><?xml version="1.0" encoding="utf-8"?>
<comments xmlns="http://schemas.openxmlformats.org/spreadsheetml/2006/main">
  <authors>
    <author>Egbert Verbrugge</author>
  </authors>
  <commentList>
    <comment ref="G67" authorId="0">
      <text>
        <r>
          <rPr>
            <b/>
            <sz val="10"/>
            <rFont val="Tahoma"/>
            <family val="2"/>
          </rPr>
          <t>You must set the option for line 5848 to YES on the QUAL sheet for this amount to be transferred to line 5848</t>
        </r>
      </text>
    </comment>
  </commentList>
</comments>
</file>

<file path=xl/sharedStrings.xml><?xml version="1.0" encoding="utf-8"?>
<sst xmlns="http://schemas.openxmlformats.org/spreadsheetml/2006/main" count="3570" uniqueCount="2306">
  <si>
    <t>Welcome to the data entry interface for your T4RSP slips.</t>
  </si>
  <si>
    <t>Attach your personal label here.  Correct any wrong information.</t>
  </si>
  <si>
    <t>Protected against change</t>
  </si>
  <si>
    <t>for whom the disability amount cannot be claimed</t>
  </si>
  <si>
    <r>
      <t xml:space="preserve">Born in </t>
    </r>
  </si>
  <si>
    <t>Plain white fields are for user entered data.  You can override the default values/formulae</t>
  </si>
  <si>
    <t>Part1,4</t>
  </si>
  <si>
    <t>1           No</t>
  </si>
  <si>
    <t xml:space="preserve">Yes  </t>
  </si>
  <si>
    <t>(read the "Foreign income" section in the guide for details) . . .. . . . . . . . . . . . . . . . . . . . . . . .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</si>
  <si>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</si>
  <si>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</si>
  <si>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</si>
  <si>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t>Line 150 minus line 233 (if negative enter "0").</t>
  </si>
  <si>
    <t>Employee home relocation loan deduction (box 37 on all T4 Slips)</t>
  </si>
  <si>
    <t>territorial tax on Form 428</t>
  </si>
  <si>
    <t>Use your taxable income to calculate your federal tax on Schedule 1 and your provincial or</t>
  </si>
  <si>
    <t>this area                     487                488</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</si>
  <si>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</si>
  <si>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</si>
  <si>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</si>
  <si>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</si>
  <si>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</si>
  <si>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</si>
  <si>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</si>
  <si>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</si>
  <si>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 xml:space="preserve">Add lines 340 and 342 </t>
  </si>
  <si>
    <t>If this return is for a deceased</t>
  </si>
  <si>
    <t>person, enter the date of death:</t>
  </si>
  <si>
    <t>Do not use this area</t>
  </si>
  <si>
    <t>Your guide contains valuable information to help you complete your return.</t>
  </si>
  <si>
    <r>
      <t xml:space="preserve">Net federal tax: enter the amount from line 50 of Schedule 1 </t>
    </r>
    <r>
      <rPr>
        <b/>
        <sz val="12"/>
        <color indexed="8"/>
        <rFont val="Arial"/>
        <family val="2"/>
      </rPr>
      <t>(attach</t>
    </r>
    <r>
      <rPr>
        <sz val="12"/>
        <color indexed="8"/>
        <rFont val="Arial"/>
        <family val="2"/>
      </rPr>
      <t xml:space="preserve"> Schedule 1 even if the result is "0")</t>
    </r>
  </si>
  <si>
    <r>
      <t xml:space="preserve">  Minus: $1,884 or 3% of line 236, whichever is </t>
    </r>
    <r>
      <rPr>
        <b/>
        <sz val="12"/>
        <color indexed="8"/>
        <rFont val="Arial"/>
        <family val="2"/>
      </rPr>
      <t>less</t>
    </r>
  </si>
  <si>
    <t>Your language of correspondence:</t>
  </si>
  <si>
    <t>Tuition and education amounts:</t>
  </si>
  <si>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</si>
  <si>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</si>
  <si>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</si>
  <si>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</si>
  <si>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</si>
  <si>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</si>
  <si>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</si>
  <si>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</si>
  <si>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</si>
  <si>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</si>
  <si>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</si>
  <si>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</si>
  <si>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Total pensionable earnings (add lines 3 and 4)</t>
  </si>
  <si>
    <t>Unprotected cell</t>
  </si>
  <si>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</si>
  <si>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r>
      <t>Attach a copy of this schedule to your return.</t>
    </r>
    <r>
      <rPr>
        <sz val="12"/>
        <color indexed="8"/>
        <rFont val="Arial"/>
        <family val="2"/>
      </rPr>
      <t xml:space="preserve">  See line 326 in the guide for more information.</t>
    </r>
  </si>
  <si>
    <r>
      <t xml:space="preserve">Complete this schedule to </t>
    </r>
    <r>
      <rPr>
        <b/>
        <sz val="12"/>
        <color indexed="8"/>
        <rFont val="Arial"/>
        <family val="2"/>
      </rPr>
      <t>claim</t>
    </r>
    <r>
      <rPr>
        <sz val="12"/>
        <color indexed="8"/>
        <rFont val="Arial"/>
        <family val="2"/>
      </rPr>
      <t xml:space="preserve"> a transfer of the unused amount from your spouse or common-law partner's age amount, pension</t>
    </r>
  </si>
  <si>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</si>
  <si>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Enter your spouse or common-law partner's net income</t>
  </si>
  <si>
    <r>
      <t xml:space="preserve">$59.180, </t>
    </r>
    <r>
      <rPr>
        <sz val="10"/>
        <color indexed="8"/>
        <rFont val="Arial"/>
        <family val="2"/>
      </rPr>
      <t>but not</t>
    </r>
  </si>
  <si>
    <r>
      <t xml:space="preserve">more than </t>
    </r>
    <r>
      <rPr>
        <b/>
        <sz val="10"/>
        <color indexed="8"/>
        <rFont val="Arial"/>
        <family val="2"/>
      </rPr>
      <t>$93,000</t>
    </r>
  </si>
  <si>
    <r>
      <t xml:space="preserve">$29,590, </t>
    </r>
    <r>
      <rPr>
        <sz val="10"/>
        <color indexed="8"/>
        <rFont val="Arial"/>
        <family val="2"/>
      </rPr>
      <t>but not</t>
    </r>
  </si>
  <si>
    <r>
      <t xml:space="preserve">more than </t>
    </r>
    <r>
      <rPr>
        <b/>
        <sz val="10"/>
        <color indexed="8"/>
        <rFont val="Arial"/>
        <family val="2"/>
      </rPr>
      <t>$59,180</t>
    </r>
  </si>
  <si>
    <r>
      <t xml:space="preserve">than </t>
    </r>
    <r>
      <rPr>
        <b/>
        <sz val="11"/>
        <color indexed="8"/>
        <rFont val="Arial"/>
        <family val="2"/>
      </rPr>
      <t>$93,000</t>
    </r>
  </si>
  <si>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</si>
  <si>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</si>
  <si>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</si>
  <si>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</si>
  <si>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</si>
  <si>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</si>
  <si>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</si>
  <si>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</si>
  <si>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</si>
  <si>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</si>
  <si>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income amount, disability amount, and tuition, education and textbook amounts.</t>
  </si>
  <si>
    <t>If his or her net income is $30,270 or less, enter $5,066; otherwise enter his or her amount for line 301</t>
  </si>
  <si>
    <t>Tuition, education and textbook amounts:</t>
  </si>
  <si>
    <t>Enter the total of lines 300, 308, 310, and 312 of his or her Schedule 1, plus line 17 of</t>
  </si>
  <si>
    <t>Universal Child Care Benefit income</t>
  </si>
  <si>
    <r>
      <t>●</t>
    </r>
    <r>
      <rPr>
        <b/>
        <sz val="12"/>
        <color indexed="8"/>
        <rFont val="Arial"/>
        <family val="2"/>
      </rPr>
      <t>17</t>
    </r>
  </si>
  <si>
    <r>
      <t>●</t>
    </r>
    <r>
      <rPr>
        <b/>
        <sz val="12"/>
        <color indexed="8"/>
        <rFont val="Arial"/>
        <family val="2"/>
      </rPr>
      <t>16</t>
    </r>
  </si>
  <si>
    <t>Universal Child Care Benefit (UCCB) (line 117 of your return) or the benefit of your spouse</t>
  </si>
  <si>
    <t>or common-law partner from page 1 or your return</t>
  </si>
  <si>
    <t>Adjusted family net income: line 3 minus line 4</t>
  </si>
  <si>
    <t>Line 5 minus line 6 (if negative, enter "0"</t>
  </si>
  <si>
    <r>
      <t xml:space="preserve">Multiply the amount on </t>
    </r>
    <r>
      <rPr>
        <b/>
        <sz val="14"/>
        <color indexed="8"/>
        <rFont val="Arial"/>
        <family val="2"/>
      </rPr>
      <t>line 7</t>
    </r>
    <r>
      <rPr>
        <sz val="14"/>
        <color indexed="8"/>
        <rFont val="Arial"/>
        <family val="2"/>
      </rPr>
      <t xml:space="preserve"> by 5%</t>
    </r>
  </si>
  <si>
    <t>Line 8 minus line 9 (if negative, enter "0").  Enter this amount on line 452 of your return.</t>
  </si>
  <si>
    <t>Net income of your spouse or common-law partner from page 1 of your return</t>
  </si>
  <si>
    <t>on line 8 will be transferred to line 452.  See page 49 in the guide.</t>
  </si>
  <si>
    <t>Net Self-employment income (not including losses) from lines 135 to 143</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</si>
  <si>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</si>
  <si>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</si>
  <si>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</si>
  <si>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</si>
  <si>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</si>
  <si>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</si>
  <si>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</si>
  <si>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r>
      <t>income</t>
    </r>
    <r>
      <rPr>
        <sz val="12"/>
        <rFont val="Arial MT"/>
        <family val="0"/>
      </rPr>
      <t xml:space="preserve">.  For more details, see interpretation Bulletin IT-495, </t>
    </r>
    <r>
      <rPr>
        <i/>
        <sz val="12"/>
        <rFont val="Arial MT"/>
        <family val="0"/>
      </rPr>
      <t>Child Care Expenses.</t>
    </r>
  </si>
  <si>
    <t>overnight camps</t>
  </si>
  <si>
    <t>You must attach a copy of this schedule to your return.</t>
  </si>
  <si>
    <r>
      <t xml:space="preserve">Use the amount on line 1 to determine which </t>
    </r>
    <r>
      <rPr>
        <b/>
        <sz val="12"/>
        <color indexed="8"/>
        <rFont val="Arial"/>
        <family val="2"/>
      </rPr>
      <t>ONE</t>
    </r>
  </si>
  <si>
    <t>Spousal or common-law partner amount:</t>
  </si>
  <si>
    <t>Maximum amount</t>
  </si>
  <si>
    <t xml:space="preserve">Basic exemption             </t>
  </si>
  <si>
    <t>Schedule 9</t>
  </si>
  <si>
    <t>Note: If the amount on line 1 is less than the amount on line 2, enter the amount from line 1 on line 340 below and continue</t>
  </si>
  <si>
    <t>Amount enclosed</t>
  </si>
  <si>
    <t xml:space="preserve">         </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</si>
  <si>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</si>
  <si>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</si>
  <si>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</si>
  <si>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</si>
  <si>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</si>
  <si>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</si>
  <si>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</si>
  <si>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</si>
  <si>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</si>
  <si>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</si>
  <si>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</si>
  <si>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</si>
  <si>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</si>
  <si>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</si>
  <si>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</si>
  <si>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If the amount on line 1 is:</t>
  </si>
  <si>
    <t>but not more than</t>
  </si>
  <si>
    <t>more than</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</si>
  <si>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</si>
  <si>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</si>
  <si>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</si>
  <si>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</si>
  <si>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</si>
  <si>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</si>
  <si>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</si>
  <si>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</si>
  <si>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</si>
  <si>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</si>
  <si>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</si>
  <si>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</si>
  <si>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t>Refundable medical expense supplement</t>
  </si>
  <si>
    <t>Farming and fishing income eligible for the capital gains deduction from the disposition of eligible capital</t>
  </si>
  <si>
    <t>property (for details, see guides: farming income or fishing income)</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</si>
  <si>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</si>
  <si>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</si>
  <si>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</si>
  <si>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</si>
  <si>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</si>
  <si>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From Box 18 for T1 GEN-2</t>
  </si>
  <si>
    <r>
      <t>Otherwise,</t>
    </r>
    <r>
      <rPr>
        <sz val="12"/>
        <color indexed="8"/>
        <rFont val="Arial"/>
        <family val="2"/>
      </rPr>
      <t xml:space="preserve"> enter the amount from line 16 on line 21</t>
    </r>
  </si>
  <si>
    <t>you are missing and print them out on your local printer.</t>
  </si>
  <si>
    <t>3) Frequent Questions &amp; Comments</t>
  </si>
  <si>
    <t>any of the white cells in that row.</t>
  </si>
  <si>
    <r>
      <t>filing a return.</t>
    </r>
    <r>
      <rPr>
        <sz val="12"/>
        <rFont val="Arial MT"/>
        <family val="0"/>
      </rPr>
      <t xml:space="preserve">  Attach his or her information slips, but do not attach the return or schedules.</t>
    </r>
  </si>
  <si>
    <t>CPP - QPP Exempt</t>
  </si>
  <si>
    <t>EI Exempt</t>
  </si>
  <si>
    <t>PPIP Exempt</t>
  </si>
  <si>
    <t>Residents of Quebec, see line 375 in your tax guide.</t>
  </si>
  <si>
    <t>Residents of provinces or territories other than Quebec, see line 312 in your tax guide.</t>
  </si>
  <si>
    <t>450</t>
  </si>
  <si>
    <t>for whom the disability amount can be claimed *</t>
  </si>
  <si>
    <t>Basic reduction</t>
  </si>
  <si>
    <t>Public transit pass</t>
  </si>
  <si>
    <t>Mortgage foreclosures and conditional sales         Prov/Terr.</t>
  </si>
  <si>
    <t>Address or legal description                                   Prov/Terr.</t>
  </si>
  <si>
    <r>
      <t xml:space="preserve">Enter the amount from line 5 or line 13, whichever is </t>
    </r>
    <r>
      <rPr>
        <b/>
        <sz val="14"/>
        <color indexed="8"/>
        <rFont val="Arial"/>
        <family val="2"/>
      </rPr>
      <t>less</t>
    </r>
  </si>
  <si>
    <t>Add lines 14 and 15.  Enter this amount on lines 235 and 422 of your  return.</t>
  </si>
  <si>
    <t>Annuity payments from line 129 of your return (box 16 of your T4RSP slip) only if you were 65 or older 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</si>
  <si>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</si>
  <si>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</si>
  <si>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</si>
  <si>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</si>
  <si>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Line 3 minus line 7</t>
  </si>
  <si>
    <r>
      <t xml:space="preserve">Line 1 minus line 2; if it is more than $3,933, </t>
    </r>
    <r>
      <rPr>
        <b/>
        <sz val="14"/>
        <color indexed="8"/>
        <rFont val="Arial"/>
        <family val="2"/>
      </rPr>
      <t>enter</t>
    </r>
    <r>
      <rPr>
        <sz val="14"/>
        <color indexed="8"/>
        <rFont val="Arial"/>
        <family val="2"/>
      </rPr>
      <t xml:space="preserve"> </t>
    </r>
    <r>
      <rPr>
        <b/>
        <sz val="14"/>
        <color indexed="8"/>
        <rFont val="Arial"/>
        <family val="2"/>
      </rPr>
      <t>$3,933.</t>
    </r>
  </si>
  <si>
    <t>If you claimed this dependant on line 305 of Schedule 1, enter the amount claimed</t>
  </si>
  <si>
    <t xml:space="preserve">Enter on line 315 of Schedule 1, the total amount claimed for all dependants. </t>
  </si>
  <si>
    <t xml:space="preserve"> unless this chart is being completed for the chart for line 318.</t>
  </si>
  <si>
    <r>
      <t xml:space="preserve">Enter on line 316 of Schedule 1, $6,741 </t>
    </r>
    <r>
      <rPr>
        <b/>
        <sz val="14"/>
        <color indexed="8"/>
        <rFont val="Arial"/>
        <family val="2"/>
      </rPr>
      <t>plus</t>
    </r>
    <r>
      <rPr>
        <sz val="14"/>
        <color indexed="8"/>
        <rFont val="Arial"/>
        <family val="2"/>
      </rPr>
      <t xml:space="preserve"> the amount on line 5 (maximum claim $10,674)</t>
    </r>
  </si>
  <si>
    <t>_</t>
  </si>
  <si>
    <t>Yes</t>
  </si>
  <si>
    <t xml:space="preserve"> 2</t>
  </si>
  <si>
    <t>T3012A,T2205</t>
  </si>
  <si>
    <t>chart is being completed for the claim on line 5848.</t>
  </si>
  <si>
    <t>Line 1 minus line 2 (if negative, enter "0").  If it is more than $2,386, enter $2,386.</t>
  </si>
  <si>
    <t>Total of amounts your dependant can claim on lines 5804 to 5840 of his or her Form NS428</t>
  </si>
  <si>
    <r>
      <t xml:space="preserve">Enter, on line 5848 of Form NS428, the amount on line 3 or line 7, whichever is </t>
    </r>
    <r>
      <rPr>
        <b/>
        <sz val="12"/>
        <color indexed="8"/>
        <rFont val="Arial"/>
        <family val="2"/>
      </rPr>
      <t>less.</t>
    </r>
  </si>
  <si>
    <t>Number of Children:</t>
  </si>
  <si>
    <t xml:space="preserve">You can work in one section of the screen, having scrolled the other screen for viewing the result. </t>
  </si>
  <si>
    <t>All screens are updated whenever a change occurs.</t>
  </si>
  <si>
    <t>Step 2 - Nova Scotia non-refundable tax credits</t>
  </si>
  <si>
    <t>claim $7,231</t>
  </si>
  <si>
    <r>
      <t xml:space="preserve">  Enter $1,637 or 3% of line 236, whichever is </t>
    </r>
    <r>
      <rPr>
        <b/>
        <sz val="12"/>
        <color indexed="8"/>
        <rFont val="Arial"/>
        <family val="2"/>
      </rPr>
      <t>less</t>
    </r>
  </si>
  <si>
    <t>Nova Scotia non-refundable tax credits</t>
  </si>
  <si>
    <t>Step 3 - Nova Scotia tax</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</si>
  <si>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</si>
  <si>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</si>
  <si>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</si>
  <si>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</si>
  <si>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Updates as needed are available from our website.</t>
  </si>
  <si>
    <t>Another way to navigate is using the invisible Navigation bar beside the right side of each sheet.</t>
  </si>
  <si>
    <t>From there you can click on the name of the sheet you want next.  These hyperlinks will send you to the sheet.</t>
  </si>
  <si>
    <t>Free email support is available:               support@peeltech.ca</t>
  </si>
  <si>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</si>
  <si>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</si>
  <si>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</si>
  <si>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called "Who can</t>
    </r>
  </si>
  <si>
    <r>
      <t xml:space="preserve">claim child care expenses?"), he or she must also have been enrolled in a </t>
    </r>
    <r>
      <rPr>
        <b/>
        <sz val="12"/>
        <rFont val="Arial MT"/>
        <family val="0"/>
      </rPr>
      <t>full-time</t>
    </r>
    <r>
      <rPr>
        <sz val="12"/>
        <rFont val="Arial MT"/>
        <family val="0"/>
      </rPr>
      <t xml:space="preserve"> educational program</t>
    </r>
  </si>
  <si>
    <r>
      <t xml:space="preserve">during the </t>
    </r>
    <r>
      <rPr>
        <b/>
        <sz val="12"/>
        <rFont val="Arial MT"/>
        <family val="0"/>
      </rPr>
      <t>same weeks.</t>
    </r>
  </si>
  <si>
    <t>Add lines 1 and 2</t>
  </si>
  <si>
    <t xml:space="preserve">     Repayment under the HBP</t>
  </si>
  <si>
    <t xml:space="preserve">     Repayment under the LLP</t>
  </si>
  <si>
    <t>(box 52 on all T4 slips and box 34 on all T4A slips)</t>
  </si>
  <si>
    <t>infirmity for whom the disability amount cannot be claimed)</t>
  </si>
  <si>
    <t>Add lines 1 to 3</t>
  </si>
  <si>
    <t>Deduction and tax credit for CPP contributions on self-employment and other earnings:</t>
  </si>
  <si>
    <t>314-2</t>
  </si>
  <si>
    <t>Registered pension plan deduction (box 20 on all T4 slips and box 32 on all T4A slips)</t>
  </si>
  <si>
    <t>Non-resident tax deducted</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</si>
  <si>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</si>
  <si>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</si>
  <si>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</si>
  <si>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</si>
  <si>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</si>
  <si>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(If not from work or invention put on 14 above)</t>
  </si>
  <si>
    <t>Common Data Items &amp; Where to Put Them</t>
  </si>
  <si>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</si>
  <si>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</si>
  <si>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r>
      <t xml:space="preserve">Amount from line 7 of Form T1170 </t>
    </r>
    <r>
      <rPr>
        <b/>
        <sz val="12"/>
        <color indexed="8"/>
        <rFont val="Arial"/>
        <family val="2"/>
      </rPr>
      <t>(attach</t>
    </r>
    <r>
      <rPr>
        <sz val="12"/>
        <color indexed="8"/>
        <rFont val="Arial"/>
        <family val="2"/>
      </rPr>
      <t xml:space="preserve"> Form T1170)</t>
    </r>
  </si>
  <si>
    <t>191</t>
  </si>
  <si>
    <t>192</t>
  </si>
  <si>
    <t>193</t>
  </si>
  <si>
    <t>197</t>
  </si>
  <si>
    <t>199</t>
  </si>
  <si>
    <t>Total capital gains (or losses)</t>
  </si>
  <si>
    <t>Total of all gains (or losses) in column 5 before reserves</t>
  </si>
  <si>
    <t>Net gain only</t>
  </si>
  <si>
    <r>
      <t xml:space="preserve">       Gain only</t>
    </r>
    <r>
      <rPr>
        <b/>
        <sz val="12"/>
        <color indexed="8"/>
        <rFont val="Arial"/>
        <family val="2"/>
      </rPr>
      <t xml:space="preserve"> </t>
    </r>
    <r>
      <rPr>
        <sz val="12"/>
        <color indexed="8"/>
        <rFont val="Arial"/>
        <family val="2"/>
      </rPr>
      <t xml:space="preserve"> </t>
    </r>
  </si>
  <si>
    <t>3.  Publicly traded shares, mutual fund units, deferral of eligible small business corporation shares, and other
     shares</t>
  </si>
  <si>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</si>
  <si>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</si>
  <si>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</si>
  <si>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</si>
  <si>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</si>
  <si>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</si>
  <si>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</si>
  <si>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</si>
  <si>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</si>
  <si>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</si>
  <si>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</si>
  <si>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</si>
  <si>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</si>
  <si>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</si>
  <si>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</si>
  <si>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</si>
  <si>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</si>
  <si>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STATEMENT OF EMPLOYMENT INSURANCE BENEFITS</t>
  </si>
  <si>
    <t xml:space="preserve">STATEMENT OF EMPLOYEE PROFIT-SHARING </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</si>
  <si>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</si>
  <si>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</si>
  <si>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</si>
  <si>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</si>
  <si>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</si>
  <si>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r>
      <t>Basic federal tax</t>
    </r>
    <r>
      <rPr>
        <sz val="12"/>
        <color indexed="8"/>
        <rFont val="Arial"/>
        <family val="2"/>
      </rPr>
      <t xml:space="preserve">: Line 35 minus line 40 (if negative, enter "0")  </t>
    </r>
  </si>
  <si>
    <r>
      <t xml:space="preserve">Where you </t>
    </r>
    <r>
      <rPr>
        <b/>
        <sz val="12"/>
        <color indexed="8"/>
        <rFont val="Arial"/>
        <family val="2"/>
      </rPr>
      <t>only</t>
    </r>
    <r>
      <rPr>
        <sz val="12"/>
        <color indexed="8"/>
        <rFont val="Arial"/>
        <family val="2"/>
      </rPr>
      <t xml:space="preserve"> have foreign non-business income, calculate your federal foreign tax credit below.  Otherwise,</t>
    </r>
  </si>
  <si>
    <r>
      <t>Federal tax</t>
    </r>
    <r>
      <rPr>
        <sz val="12"/>
        <color indexed="8"/>
        <rFont val="Arial"/>
        <family val="2"/>
      </rPr>
      <t>: Line 41 minus line 42 (if negative, enter "0")</t>
    </r>
  </si>
  <si>
    <t>Add lines 44 to 46.</t>
  </si>
  <si>
    <t>Line 43 minus line 47 (if negative, enter "0")</t>
  </si>
  <si>
    <t>(if you have an amount on line 34 above, see Form T1206)</t>
  </si>
  <si>
    <r>
      <t>Net federal tax:</t>
    </r>
    <r>
      <rPr>
        <sz val="12"/>
        <color indexed="8"/>
        <rFont val="Arial"/>
        <family val="2"/>
      </rPr>
      <t xml:space="preserve"> Add lines 48 and 49</t>
    </r>
  </si>
  <si>
    <r>
      <t xml:space="preserve">  Make a separate calculation for each foreign country.  </t>
    </r>
    <r>
      <rPr>
        <sz val="12"/>
        <color indexed="8"/>
        <rFont val="Arial"/>
        <family val="2"/>
      </rPr>
      <t xml:space="preserve">Enter on line 42 above the result from line (i) or (ii) whichever is </t>
    </r>
    <r>
      <rPr>
        <b/>
        <sz val="12"/>
        <color indexed="8"/>
        <rFont val="Arial"/>
        <family val="2"/>
      </rPr>
      <t>less.</t>
    </r>
  </si>
  <si>
    <t xml:space="preserve"> ** Line 236 plus the amount on line 4 of Form T1206, minus the total of the amounts on lines 244, 248, 249, 250, 253, 254, and minus any amount</t>
  </si>
  <si>
    <t xml:space="preserve"> ***Line 41 plus the amount on lines 37 and 38, and minus any refundable Quebec abatement (line 440) and any federal refundable First Nations</t>
  </si>
  <si>
    <r>
      <t xml:space="preserve">   enter your </t>
    </r>
    <r>
      <rPr>
        <b/>
        <sz val="11"/>
        <color indexed="8"/>
        <rFont val="Arial"/>
        <family val="2"/>
      </rPr>
      <t>Basic federal tax ***</t>
    </r>
    <r>
      <rPr>
        <sz val="11"/>
        <color indexed="8"/>
        <rFont val="Arial"/>
        <family val="2"/>
      </rPr>
      <t xml:space="preserve"> on line (ii).</t>
    </r>
  </si>
  <si>
    <t>Security options deduction
 (110(1)(d.))</t>
  </si>
  <si>
    <t xml:space="preserve">Note: There are a number of conditions to be met before the amount </t>
  </si>
  <si>
    <t>You can also adjust the top &amp; bottom and left &amp; right margins to suit your printer.</t>
  </si>
  <si>
    <t>If a sheet has user related data, then you will likely want to print it sometime.</t>
  </si>
  <si>
    <r>
      <t>Age amount</t>
    </r>
    <r>
      <rPr>
        <sz val="12"/>
        <rFont val="Arial MT"/>
        <family val="0"/>
      </rPr>
      <t xml:space="preserve"> </t>
    </r>
  </si>
  <si>
    <t>You can use MyTAX to prepare an unlimited number of income tax returns.</t>
  </si>
  <si>
    <t>130 T1172</t>
  </si>
  <si>
    <t>N/A</t>
  </si>
  <si>
    <t xml:space="preserve">Schedule 5 </t>
  </si>
  <si>
    <t>Part A – Total child care expenses</t>
  </si>
  <si>
    <t>Enter the amount from line 9 (in Part B) or line 14 (in Part C), whichever applies to you</t>
  </si>
  <si>
    <t>Refund 484</t>
  </si>
  <si>
    <r>
      <t xml:space="preserve">Enter your </t>
    </r>
    <r>
      <rPr>
        <b/>
        <sz val="12"/>
        <color indexed="8"/>
        <rFont val="Arial"/>
        <family val="2"/>
      </rPr>
      <t>net income</t>
    </r>
    <r>
      <rPr>
        <sz val="12"/>
        <color indexed="8"/>
        <rFont val="Arial"/>
        <family val="2"/>
      </rPr>
      <t xml:space="preserve"> from line 236 of your return</t>
    </r>
  </si>
  <si>
    <t>x 2.5% =</t>
  </si>
  <si>
    <t>X $60</t>
  </si>
  <si>
    <t>X $200</t>
  </si>
  <si>
    <t>If you completed Part C: Line 13 (in Part C) minus line 6 (in Part B)</t>
  </si>
  <si>
    <t>(amount from line 312 of your federal Schedule 1)</t>
  </si>
  <si>
    <t xml:space="preserve">Interest paid on your student loans </t>
  </si>
  <si>
    <t>(amount from line 319 of your federal Schedule 1)</t>
  </si>
  <si>
    <t xml:space="preserve">Amounts transferred from your spouse or common-law partner </t>
  </si>
  <si>
    <t>Line 7 minus line 8 (if negative, enter "0")</t>
  </si>
  <si>
    <t/>
  </si>
  <si>
    <t>Federal Tax</t>
  </si>
  <si>
    <t>Data  Slips or Forms</t>
  </si>
  <si>
    <t>whether or not you had child care expenses for all of them.</t>
  </si>
  <si>
    <t>First name of each</t>
  </si>
  <si>
    <t>child for whom</t>
  </si>
  <si>
    <t>payments were made</t>
  </si>
  <si>
    <t>Child care</t>
  </si>
  <si>
    <t>expenses paid</t>
  </si>
  <si>
    <r>
      <t>h) Medical Expenses:</t>
    </r>
    <r>
      <rPr>
        <sz val="14"/>
        <rFont val="Arial MT"/>
        <family val="0"/>
      </rPr>
      <t xml:space="preserve">     Schedule 1, item 330</t>
    </r>
  </si>
  <si>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</si>
  <si>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</si>
  <si>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</si>
  <si>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</si>
  <si>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</si>
  <si>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(i)</t>
  </si>
  <si>
    <t>Number</t>
  </si>
  <si>
    <t>Complete the calculation for each dependant.</t>
  </si>
  <si>
    <t>If you are not attaching a label, print your name and address below.</t>
  </si>
  <si>
    <t xml:space="preserve">  through employment from box 16 and box 17 on all T4 slips </t>
  </si>
  <si>
    <t>Unused federal amount available to carry forward to a future year</t>
  </si>
  <si>
    <t xml:space="preserve">                 her Schedule 1, you cannot transfer an amount to your or your spouse or common-law partner's</t>
  </si>
  <si>
    <t xml:space="preserve">                 parent or grandparent.</t>
  </si>
  <si>
    <r>
      <t xml:space="preserve">Note:      </t>
    </r>
    <r>
      <rPr>
        <sz val="13"/>
        <color indexed="8"/>
        <rFont val="Arial"/>
        <family val="2"/>
      </rPr>
      <t xml:space="preserve">  If your spouse or common-law partner is claiming an amount for you on line 303 or line 326 of his or</t>
    </r>
  </si>
  <si>
    <t>5905</t>
  </si>
  <si>
    <t>5907</t>
  </si>
  <si>
    <t>5909</t>
  </si>
  <si>
    <t>If line 1 is</t>
  </si>
  <si>
    <t>Line 2 minus line 3 (cannot be negative)</t>
  </si>
  <si>
    <t>Multiply line 4 by line 5</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</si>
  <si>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</si>
  <si>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</si>
  <si>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</si>
  <si>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</si>
  <si>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</si>
  <si>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</si>
  <si>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</si>
  <si>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</si>
  <si>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</si>
  <si>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</si>
  <si>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</si>
  <si>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</si>
  <si>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</si>
  <si>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</si>
  <si>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</si>
  <si>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</si>
  <si>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</si>
  <si>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</si>
  <si>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</si>
  <si>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</si>
  <si>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</si>
  <si>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and Revenue Agency</t>
  </si>
  <si>
    <t>Income Tax and Benefit Return</t>
  </si>
  <si>
    <t>Identification</t>
  </si>
  <si>
    <t>Reserves from line 6706 of Form T2017 (if negative, show it in brackets and subtract it)</t>
  </si>
  <si>
    <t>(if it applies)</t>
  </si>
  <si>
    <t xml:space="preserve">   abatement (line 441 on the return for residents of Yukon).</t>
  </si>
  <si>
    <t xml:space="preserve">  Net foreign non-business income* </t>
  </si>
  <si>
    <t>Net</t>
  </si>
  <si>
    <t xml:space="preserve">Amounts deemed received by the </t>
  </si>
  <si>
    <t>annuitant; Deregistration</t>
  </si>
  <si>
    <t>Pick up amt from form T1229 here</t>
  </si>
  <si>
    <t>where they are needed.  If you have more than one T4A slip, then enter the amounts from each T4A into one set of columns.</t>
  </si>
  <si>
    <t>Amount from line 6</t>
  </si>
  <si>
    <t>Amount from line 13</t>
  </si>
  <si>
    <t>On the line in the title of this form, enter the calendar year indicated on your spousal or common-law partner T4RSP or T4RIF slips. To find out if your RRSP or</t>
  </si>
  <si>
    <t xml:space="preserve"> RRIF is such a plan or fund, see box 24 of your T4RSP, or box 26 of your T4RIF slip. For more information and instructions, see the back of this form.</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</si>
  <si>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</si>
  <si>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</si>
  <si>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</si>
  <si>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</si>
  <si>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</si>
  <si>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</si>
  <si>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</si>
  <si>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r>
      <t xml:space="preserve">a)  The other person attended school and was enrolled in a </t>
    </r>
    <r>
      <rPr>
        <b/>
        <sz val="12"/>
        <rFont val="Arial MT"/>
        <family val="0"/>
      </rPr>
      <t>part-time</t>
    </r>
    <r>
      <rPr>
        <sz val="12"/>
        <rFont val="Arial MT"/>
        <family val="0"/>
      </rPr>
      <t xml:space="preserve"> educational program as defined in the section called "Are</t>
    </r>
  </si>
  <si>
    <r>
      <t xml:space="preserve">b) The other person attended school and was enrolled in a </t>
    </r>
    <r>
      <rPr>
        <b/>
        <sz val="12"/>
        <rFont val="Arial MT"/>
        <family val="0"/>
      </rPr>
      <t>full-time</t>
    </r>
    <r>
      <rPr>
        <sz val="12"/>
        <rFont val="Arial MT"/>
        <family val="0"/>
      </rPr>
      <t xml:space="preserve"> educational program as defined in the section called "Are</t>
    </r>
  </si>
  <si>
    <t>e) The other person was confined to a prison or similar institution for a period of at least two weeks.</t>
  </si>
  <si>
    <t xml:space="preserve">Add lines 11 and 12 </t>
  </si>
  <si>
    <t xml:space="preserve">   Learning Plan (LLP).</t>
  </si>
  <si>
    <t>(If nonzero, this amount will be posted to line 208)</t>
  </si>
  <si>
    <t>See line 208 in the guide for more information.</t>
  </si>
  <si>
    <r>
      <t>claim on lines 305, 306, or 315, complete the applicable chart on the</t>
    </r>
    <r>
      <rPr>
        <i/>
        <sz val="12"/>
        <color indexed="8"/>
        <rFont val="Arial"/>
        <family val="2"/>
      </rPr>
      <t xml:space="preserve"> Federal Worksheet</t>
    </r>
    <r>
      <rPr>
        <sz val="12"/>
        <color indexed="8"/>
        <rFont val="Arial"/>
        <family val="2"/>
      </rPr>
      <t xml:space="preserve"> which you will find in the forms book.</t>
    </r>
  </si>
  <si>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 of</t>
    </r>
  </si>
  <si>
    <t xml:space="preserve">    that was, under a tax treaty, either exempt from tax in that country or deductible as exempt income in Canada (included on line 256).  Also reduce</t>
  </si>
  <si>
    <t xml:space="preserve">    this amount by the lesser of lines E and F on Form T626</t>
  </si>
  <si>
    <t>mm-dd</t>
  </si>
  <si>
    <t xml:space="preserve">  Line 27 minus line 28 (if negative, enter "0")</t>
  </si>
  <si>
    <t>5872</t>
  </si>
  <si>
    <t>5876</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</si>
  <si>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</si>
  <si>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</si>
  <si>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</si>
  <si>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</si>
  <si>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</si>
  <si>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 xml:space="preserve">           see line 217 in the General guide.</t>
  </si>
  <si>
    <t xml:space="preserve"> (from dispositions)</t>
  </si>
  <si>
    <t>Adjusted cost</t>
  </si>
  <si>
    <t>base</t>
  </si>
  <si>
    <t>Line 5816 - Amount for an eligible dependant</t>
  </si>
  <si>
    <t>Dependent's net income (from line 236 of his or her return)</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</si>
  <si>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</si>
  <si>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</si>
  <si>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</si>
  <si>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</si>
  <si>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</si>
  <si>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</si>
  <si>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</si>
  <si>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</si>
  <si>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</si>
  <si>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Name of Issuer</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</si>
  <si>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</si>
  <si>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</si>
  <si>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</si>
  <si>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</si>
  <si>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</si>
  <si>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</si>
  <si>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</si>
  <si>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</si>
  <si>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Line 1 minus line 2 (if negative, enter "0")</t>
  </si>
  <si>
    <t>tax credit</t>
  </si>
  <si>
    <t>(attach Form CPT20)</t>
  </si>
  <si>
    <t>Multiply the amount on line 7 by 9.9%</t>
  </si>
  <si>
    <t>Equity tax credit</t>
  </si>
  <si>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</si>
  <si>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</si>
  <si>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</si>
  <si>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</si>
  <si>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 for an eligible dependent (</t>
    </r>
    <r>
      <rPr>
        <b/>
        <sz val="12"/>
        <color indexed="8"/>
        <rFont val="Arial"/>
        <family val="2"/>
      </rPr>
      <t>attach</t>
    </r>
    <r>
      <rPr>
        <sz val="12"/>
        <color indexed="8"/>
        <rFont val="Arial"/>
        <family val="2"/>
      </rPr>
      <t xml:space="preserve"> Schedule 5)</t>
    </r>
  </si>
  <si>
    <r>
      <t>Amount for infirm dependants age 18 or older (</t>
    </r>
    <r>
      <rPr>
        <b/>
        <sz val="12"/>
        <color indexed="8"/>
        <rFont val="Arial"/>
        <family val="2"/>
      </rPr>
      <t>attach</t>
    </r>
    <r>
      <rPr>
        <sz val="12"/>
        <color indexed="8"/>
        <rFont val="Arial"/>
        <family val="2"/>
      </rPr>
      <t xml:space="preserve"> Schedule 5)</t>
    </r>
  </si>
  <si>
    <r>
      <t>Caregiver amount (</t>
    </r>
    <r>
      <rPr>
        <b/>
        <sz val="12"/>
        <color indexed="8"/>
        <rFont val="Arial"/>
        <family val="2"/>
      </rPr>
      <t>attach</t>
    </r>
    <r>
      <rPr>
        <sz val="12"/>
        <color indexed="8"/>
        <rFont val="Arial"/>
        <family val="2"/>
      </rPr>
      <t xml:space="preserve"> Schedule 5)</t>
    </r>
  </si>
  <si>
    <r>
      <t>Tuition and education amounts (</t>
    </r>
    <r>
      <rPr>
        <b/>
        <sz val="12"/>
        <color indexed="8"/>
        <rFont val="Arial"/>
        <family val="2"/>
      </rPr>
      <t>attach</t>
    </r>
    <r>
      <rPr>
        <sz val="12"/>
        <color indexed="8"/>
        <rFont val="Arial"/>
        <family val="2"/>
      </rPr>
      <t xml:space="preserve"> Schedule 11)</t>
    </r>
  </si>
  <si>
    <r>
      <t>Amounts transferred from your spouse or common-law partner (</t>
    </r>
    <r>
      <rPr>
        <b/>
        <sz val="12"/>
        <color indexed="8"/>
        <rFont val="Arial"/>
        <family val="2"/>
      </rPr>
      <t>attach</t>
    </r>
    <r>
      <rPr>
        <sz val="12"/>
        <color indexed="8"/>
        <rFont val="Arial"/>
        <family val="2"/>
      </rPr>
      <t xml:space="preserve"> Schedule 2)</t>
    </r>
  </si>
  <si>
    <t>(A)</t>
  </si>
  <si>
    <t>(B)</t>
  </si>
  <si>
    <t>(see the "Marital status" section in the guide for details)</t>
  </si>
  <si>
    <t>Married</t>
  </si>
  <si>
    <t>Widowed</t>
  </si>
  <si>
    <t>Divorced</t>
  </si>
  <si>
    <t>Separated</t>
  </si>
  <si>
    <t>Single</t>
  </si>
  <si>
    <t>Information about your residence</t>
  </si>
  <si>
    <t>Information about your spouse or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</si>
  <si>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</si>
  <si>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</si>
  <si>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</si>
  <si>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Refund and GST/HST credit -</t>
    </r>
    <r>
      <rPr>
        <sz val="12"/>
        <color indexed="8"/>
        <rFont val="Arial"/>
        <family val="2"/>
      </rPr>
      <t xml:space="preserve"> To start direct deposit or to change account</t>
    </r>
  </si>
  <si>
    <t xml:space="preserve">               against LPP gains.</t>
  </si>
  <si>
    <r>
      <t>Note</t>
    </r>
    <r>
      <rPr>
        <sz val="12"/>
        <color indexed="8"/>
        <rFont val="Arial"/>
        <family val="2"/>
      </rPr>
      <t>: You can only apply LPP losses</t>
    </r>
  </si>
  <si>
    <t>common-law partner</t>
  </si>
  <si>
    <t>(if you checked box 1 or 2 above)</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</si>
  <si>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</si>
  <si>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</si>
  <si>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</si>
  <si>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</si>
  <si>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</si>
  <si>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</si>
  <si>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T2124</t>
  </si>
  <si>
    <t>MISCELLANEOUS INCOME DATA ENTRY AND COLLECTOR</t>
  </si>
  <si>
    <t>Nova Scotia low-income tax reduction</t>
  </si>
  <si>
    <t>NS479</t>
  </si>
  <si>
    <t>Nova Scotia Credits</t>
  </si>
  <si>
    <t>Canada Pension Plan or Quebec Pension Plan contributions:</t>
  </si>
  <si>
    <t>T2205</t>
  </si>
  <si>
    <t>T3012A</t>
  </si>
  <si>
    <t>Interest paid on your student loans</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</si>
  <si>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</si>
  <si>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</si>
  <si>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</si>
  <si>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</si>
  <si>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</si>
  <si>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</si>
  <si>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</si>
  <si>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</si>
  <si>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</si>
  <si>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</si>
  <si>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</si>
  <si>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Minimum tax carry-over (</t>
    </r>
    <r>
      <rPr>
        <b/>
        <sz val="12"/>
        <color indexed="8"/>
        <rFont val="Arial"/>
        <family val="2"/>
      </rPr>
      <t>attach</t>
    </r>
    <r>
      <rPr>
        <sz val="12"/>
        <color indexed="8"/>
        <rFont val="Arial"/>
        <family val="2"/>
      </rPr>
      <t xml:space="preserve"> Form T691)</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</si>
  <si>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</si>
  <si>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</si>
  <si>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</si>
  <si>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</si>
  <si>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</si>
  <si>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indicated in the title.</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</si>
  <si>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</si>
  <si>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</si>
  <si>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</si>
  <si>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</si>
  <si>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Taxable income from line 1 of your Form NS428</t>
  </si>
  <si>
    <t>Total of lines 5804 to 5848 of your Form NS428</t>
  </si>
  <si>
    <t xml:space="preserve">Add lines 10 and 12.  </t>
  </si>
  <si>
    <t xml:space="preserve">Nova Scotia tuition and education amounts </t>
  </si>
  <si>
    <t>Enter this amount on line 5856 of your Form NS428.</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</si>
  <si>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</si>
  <si>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</si>
  <si>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 xml:space="preserve">Tuition and education amounts transferred from a child </t>
  </si>
  <si>
    <t>Part1,1</t>
  </si>
  <si>
    <t xml:space="preserve"> 5000-S11</t>
  </si>
  <si>
    <t>Your net income from line 236 of your return</t>
  </si>
  <si>
    <t>Line 305 - Amount for an eligible dependant</t>
  </si>
  <si>
    <t>Canada Customs</t>
  </si>
  <si>
    <t>Limited partnership losses of other years</t>
  </si>
  <si>
    <t>Non-capital losses of other years</t>
  </si>
  <si>
    <t>Complete this schedule to claim your federal non-refundable tax credits and to calculate your net federal tax.</t>
  </si>
  <si>
    <t>Your Spouse or Common-law Partner</t>
  </si>
  <si>
    <t>Line 1</t>
  </si>
  <si>
    <t>Line 2</t>
  </si>
  <si>
    <t>Line 3</t>
  </si>
  <si>
    <t>Maximum amount of total</t>
  </si>
  <si>
    <t>CPP Pensionable earnings</t>
  </si>
  <si>
    <t>basic CPP Exemption</t>
  </si>
  <si>
    <t>Maximum amount of</t>
  </si>
  <si>
    <t>If you claimed this dependant on line 5816, enter the amount claimed</t>
  </si>
  <si>
    <t>(not to exceed the amount on line 236 of your return)</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</si>
  <si>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</si>
  <si>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</si>
  <si>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</si>
  <si>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</si>
  <si>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</si>
  <si>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</si>
  <si>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</si>
  <si>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</si>
  <si>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</si>
  <si>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</si>
  <si>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</si>
  <si>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</si>
  <si>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</si>
  <si>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</si>
  <si>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</si>
  <si>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</si>
  <si>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</si>
  <si>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</si>
  <si>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r>
      <t>Elections Canada</t>
    </r>
    <r>
      <rPr>
        <b/>
        <sz val="12"/>
        <color indexed="48"/>
        <rFont val="Arial"/>
        <family val="2"/>
      </rPr>
      <t xml:space="preserve"> </t>
    </r>
  </si>
  <si>
    <t>When you come to a line on the return that applies to you, look up the line number in the guide for more information.</t>
  </si>
  <si>
    <t>For forms not finished yet or not included you can use a hybrid MyTAX - paper form approach as follows.</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</si>
  <si>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</si>
  <si>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</si>
  <si>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t>2)  Links in the GOTO sheet to pdf forms on CRA site for forms not included in MyTAX.</t>
  </si>
  <si>
    <t xml:space="preserve">     Includes hyperlinks to CRA Website for each item.</t>
  </si>
  <si>
    <t>All CRA Forms</t>
  </si>
  <si>
    <t>PDF</t>
  </si>
  <si>
    <t>PDF Fillable</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</si>
  <si>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</si>
  <si>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</si>
  <si>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</si>
  <si>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</si>
  <si>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</si>
  <si>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</si>
  <si>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</si>
  <si>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</si>
  <si>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</si>
  <si>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</si>
  <si>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r>
      <t>This is your</t>
    </r>
    <r>
      <rPr>
        <b/>
        <sz val="12"/>
        <color indexed="8"/>
        <rFont val="Arial"/>
        <family val="2"/>
      </rPr>
      <t xml:space="preserve"> </t>
    </r>
    <r>
      <rPr>
        <b/>
        <sz val="12"/>
        <color indexed="48"/>
        <rFont val="Arial"/>
        <family val="2"/>
      </rPr>
      <t>total income.</t>
    </r>
  </si>
  <si>
    <t>Add lines 101, 104 to 143, and 147.</t>
  </si>
  <si>
    <r>
      <t xml:space="preserve">RRSP deduction (see Schedule 7 and </t>
    </r>
    <r>
      <rPr>
        <b/>
        <sz val="12"/>
        <color indexed="8"/>
        <rFont val="Arial"/>
        <family val="2"/>
      </rPr>
      <t>attach</t>
    </r>
    <r>
      <rPr>
        <sz val="12"/>
        <color indexed="8"/>
        <rFont val="Arial"/>
        <family val="2"/>
      </rPr>
      <t xml:space="preserve"> receipts)</t>
    </r>
  </si>
  <si>
    <r>
      <t>This is your</t>
    </r>
    <r>
      <rPr>
        <b/>
        <sz val="12"/>
        <color indexed="8"/>
        <rFont val="Arial"/>
        <family val="2"/>
      </rPr>
      <t xml:space="preserve"> </t>
    </r>
    <r>
      <rPr>
        <b/>
        <sz val="12"/>
        <color indexed="48"/>
        <rFont val="Arial"/>
        <family val="2"/>
      </rPr>
      <t>net income.</t>
    </r>
  </si>
  <si>
    <t>T2222</t>
  </si>
  <si>
    <t>WHAT'S NEW</t>
  </si>
  <si>
    <t>T1229</t>
  </si>
  <si>
    <r>
      <t>This is your</t>
    </r>
    <r>
      <rPr>
        <b/>
        <sz val="12"/>
        <color indexed="8"/>
        <rFont val="Arial"/>
        <family val="2"/>
      </rPr>
      <t xml:space="preserve"> </t>
    </r>
    <r>
      <rPr>
        <b/>
        <sz val="12"/>
        <color indexed="48"/>
        <rFont val="Arial"/>
        <family val="2"/>
      </rPr>
      <t>taxable income.</t>
    </r>
  </si>
  <si>
    <t>Privacy Act Personal Information Bank number CRA/P-PU-005</t>
  </si>
  <si>
    <r>
      <t xml:space="preserve">This is your </t>
    </r>
    <r>
      <rPr>
        <b/>
        <sz val="12"/>
        <color indexed="48"/>
        <rFont val="Arial"/>
        <family val="2"/>
      </rPr>
      <t>total payable</t>
    </r>
  </si>
  <si>
    <r>
      <t xml:space="preserve">These are your </t>
    </r>
    <r>
      <rPr>
        <b/>
        <sz val="12"/>
        <color indexed="48"/>
        <rFont val="Arial"/>
        <family val="2"/>
      </rPr>
      <t>total credits.</t>
    </r>
  </si>
  <si>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</si>
  <si>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</si>
  <si>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</si>
  <si>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</si>
  <si>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r>
      <t xml:space="preserve">territorial payments) into the </t>
    </r>
    <r>
      <rPr>
        <b/>
        <sz val="12"/>
        <color indexed="8"/>
        <rFont val="Arial"/>
        <family val="2"/>
      </rPr>
      <t>same</t>
    </r>
    <r>
      <rPr>
        <sz val="12"/>
        <color indexed="8"/>
        <rFont val="Arial"/>
        <family val="2"/>
      </rPr>
      <t xml:space="preserve"> account, also check box 463.</t>
    </r>
  </si>
  <si>
    <r>
      <t xml:space="preserve">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check box 491.</t>
    </r>
  </si>
  <si>
    <t>UCCB</t>
  </si>
  <si>
    <t xml:space="preserve">Telephone   </t>
  </si>
  <si>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</si>
  <si>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</si>
  <si>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</si>
  <si>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</si>
  <si>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</si>
  <si>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</si>
  <si>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</si>
  <si>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t>Enter the total of lines 5804, 5824, 5828, 5832 and 5856 of your spouse or</t>
  </si>
  <si>
    <t xml:space="preserve">Your tuition and education amounts </t>
  </si>
  <si>
    <t>Caregiver amount</t>
  </si>
  <si>
    <t>Disability amount</t>
  </si>
  <si>
    <t>Tax on base amount</t>
  </si>
  <si>
    <t>His or her adjusted taxable income: line 6 minus line 7 (if negative, enter "0")</t>
  </si>
  <si>
    <t xml:space="preserve">Enter this amount on line 326 of your Schedule 1. </t>
  </si>
  <si>
    <t>Age Amount</t>
  </si>
  <si>
    <t>1. Qualified small business corporation shares</t>
  </si>
  <si>
    <t>eligible small business corporation shares, and other shares.)</t>
  </si>
  <si>
    <t xml:space="preserve"> (report in "3" below, publicly traded shares, mutual fund units, deferral of</t>
  </si>
  <si>
    <r>
      <t xml:space="preserve">2. </t>
    </r>
    <r>
      <rPr>
        <sz val="12"/>
        <color indexed="8"/>
        <rFont val="Arial"/>
        <family val="2"/>
      </rPr>
      <t>Qualified farm property and qualified fishing property</t>
    </r>
  </si>
  <si>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</si>
  <si>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</si>
  <si>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</si>
  <si>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</si>
  <si>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</si>
  <si>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</si>
  <si>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r>
      <t xml:space="preserve">Enter, on line 305 of Schedule 1, </t>
    </r>
    <r>
      <rPr>
        <b/>
        <sz val="14"/>
        <rFont val="Arial"/>
        <family val="2"/>
      </rPr>
      <t>$7,505</t>
    </r>
    <r>
      <rPr>
        <sz val="14"/>
        <color indexed="8"/>
        <rFont val="Arial"/>
        <family val="2"/>
      </rPr>
      <t xml:space="preserve"> or the amount on line 3, whichever is </t>
    </r>
    <r>
      <rPr>
        <b/>
        <sz val="14"/>
        <color indexed="8"/>
        <rFont val="Arial"/>
        <family val="2"/>
      </rPr>
      <t>less</t>
    </r>
  </si>
  <si>
    <t>Attach Schedule 5 to your return to provide details for this dependant.</t>
  </si>
  <si>
    <t>must set the option for line 305  to YES on the QUAL sheet</t>
  </si>
  <si>
    <t>Note:  For MyTAX to transfer this amount to line 305 you</t>
  </si>
  <si>
    <t>Line 306 - Amount for Infirm dependants age 18 or older</t>
  </si>
  <si>
    <t>Enter on line 306 of Schedule 1, the total amount claimed for all dependants.</t>
  </si>
  <si>
    <t>Spouse or common-law partner's adjusted taxable income:</t>
  </si>
  <si>
    <t>STATEMENT OF INCOME FROM A</t>
  </si>
  <si>
    <t>REGISTERED RETIREMENT INCOME FUND</t>
  </si>
  <si>
    <t>STATEMENT OF RRSP INCOME</t>
  </si>
  <si>
    <t>STATEMENT OF INVESTMENT INCOME</t>
  </si>
  <si>
    <t>STATEMENT OF EMPLOYEE PROFIT-SHARING</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</si>
  <si>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</si>
  <si>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</si>
  <si>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</si>
  <si>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</si>
  <si>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</si>
  <si>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</si>
  <si>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Prov/Terr.</t>
  </si>
  <si>
    <t>repossessions - Address or legal description</t>
  </si>
  <si>
    <t>completing the schedule from line 340.</t>
  </si>
  <si>
    <r>
      <t xml:space="preserve">(from Chart 1 in Pamphlet P113 </t>
    </r>
    <r>
      <rPr>
        <i/>
        <sz val="12"/>
        <color indexed="8"/>
        <rFont val="Arial"/>
        <family val="2"/>
      </rPr>
      <t>Gifts and Income Tax</t>
    </r>
    <r>
      <rPr>
        <sz val="12"/>
        <color indexed="8"/>
        <rFont val="Arial"/>
        <family val="2"/>
      </rPr>
      <t>)</t>
    </r>
  </si>
  <si>
    <t xml:space="preserve">Total donations limit:  Add lines 2 and 5. </t>
  </si>
  <si>
    <t>X 15.25% =</t>
  </si>
  <si>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</si>
  <si>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</si>
  <si>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</si>
  <si>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</si>
  <si>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</si>
  <si>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</si>
  <si>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</si>
  <si>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</si>
  <si>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</si>
  <si>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</si>
  <si>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</si>
  <si>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</si>
  <si>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</si>
  <si>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</si>
  <si>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</si>
  <si>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</si>
  <si>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</si>
  <si>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</si>
  <si>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</si>
  <si>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</si>
  <si>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</si>
  <si>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 xml:space="preserve">  Qualified Dispositions</t>
  </si>
  <si>
    <t>Total of all data</t>
  </si>
  <si>
    <t>Disability amount transferred from a dependant</t>
  </si>
  <si>
    <t>Repayment Rate</t>
  </si>
  <si>
    <t>Total benefits paid</t>
  </si>
  <si>
    <t>Regular and other benefits paid</t>
  </si>
  <si>
    <t xml:space="preserve"> 5000-S2</t>
  </si>
  <si>
    <t>Amount from line 234 of your return</t>
  </si>
  <si>
    <t>Enter the amount from box 30</t>
  </si>
  <si>
    <t>Enter the amount from line 234 of your return</t>
  </si>
  <si>
    <t>Minus: Base amount</t>
  </si>
  <si>
    <t>NS WRK</t>
  </si>
  <si>
    <t>NS(S2)</t>
  </si>
  <si>
    <t>NS(S11)</t>
  </si>
  <si>
    <t>T1 GENERAL</t>
  </si>
  <si>
    <t>T626</t>
  </si>
  <si>
    <t>T657</t>
  </si>
  <si>
    <t>T777</t>
  </si>
  <si>
    <t>T1139</t>
  </si>
  <si>
    <t>42</t>
  </si>
  <si>
    <t>102</t>
  </si>
  <si>
    <t>44</t>
  </si>
  <si>
    <t>212</t>
  </si>
  <si>
    <t>46</t>
  </si>
  <si>
    <t>52</t>
  </si>
  <si>
    <t>206</t>
  </si>
  <si>
    <t>53</t>
  </si>
  <si>
    <t>Deferred stock option benefits</t>
  </si>
  <si>
    <t>6520</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</si>
  <si>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</si>
  <si>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</si>
  <si>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</si>
  <si>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</si>
  <si>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</si>
  <si>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</si>
  <si>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</si>
  <si>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</si>
  <si>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</si>
  <si>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r>
      <t>$29,590</t>
    </r>
    <r>
      <rPr>
        <sz val="11"/>
        <color indexed="8"/>
        <rFont val="Arial"/>
        <family val="2"/>
      </rPr>
      <t xml:space="preserve"> or less</t>
    </r>
  </si>
  <si>
    <t>Nova Scotia tax</t>
  </si>
  <si>
    <t>Nova Scotia overseas employment tax credit:</t>
  </si>
  <si>
    <t>x 57.5%</t>
  </si>
  <si>
    <t>Nova Scotia minimum tax carry-over;</t>
  </si>
  <si>
    <t>Nova Scotia surtax:</t>
  </si>
  <si>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</si>
  <si>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</si>
  <si>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</si>
  <si>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(cannot be more than line 19)</t>
  </si>
  <si>
    <t>First name and initial</t>
  </si>
  <si>
    <t>Year</t>
  </si>
  <si>
    <t>Month</t>
  </si>
  <si>
    <t>Day</t>
  </si>
  <si>
    <t>Add line 1 and 2</t>
  </si>
  <si>
    <t>LLP student</t>
  </si>
  <si>
    <t>Employment Insurance (EI) benefits repayment chart</t>
  </si>
  <si>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</si>
  <si>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</si>
  <si>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</si>
  <si>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</si>
  <si>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</si>
  <si>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</si>
  <si>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</si>
  <si>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</si>
  <si>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</si>
  <si>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</si>
  <si>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</si>
  <si>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</si>
  <si>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Nature of the infirmity</t>
  </si>
  <si>
    <t>First name</t>
  </si>
  <si>
    <t>Year-Month-Day</t>
  </si>
  <si>
    <t>to you</t>
  </si>
  <si>
    <t>Address:</t>
  </si>
  <si>
    <t xml:space="preserve"> 5000-S5</t>
  </si>
  <si>
    <t>RRSP Unused Contributions</t>
  </si>
  <si>
    <t>Schedule 7</t>
  </si>
  <si>
    <t>Enter the total amount here:</t>
  </si>
  <si>
    <t>Number of months</t>
  </si>
  <si>
    <r>
      <t xml:space="preserve"> </t>
    </r>
    <r>
      <rPr>
        <i/>
        <sz val="12"/>
        <color indexed="8"/>
        <rFont val="Arial"/>
        <family val="2"/>
      </rPr>
      <t xml:space="preserve">Notice of Assessment </t>
    </r>
    <r>
      <rPr>
        <sz val="12"/>
        <color indexed="8"/>
        <rFont val="Arial"/>
        <family val="2"/>
      </rPr>
      <t xml:space="preserve">or </t>
    </r>
    <r>
      <rPr>
        <i/>
        <sz val="12"/>
        <color indexed="8"/>
        <rFont val="Arial"/>
        <family val="2"/>
      </rPr>
      <t>Notice of Reassessment*</t>
    </r>
  </si>
  <si>
    <t>Total available tuition and education amounts</t>
  </si>
  <si>
    <r>
      <t xml:space="preserve">Complete this form and </t>
    </r>
    <r>
      <rPr>
        <b/>
        <sz val="12"/>
        <color indexed="8"/>
        <rFont val="Arial"/>
        <family val="2"/>
      </rPr>
      <t xml:space="preserve">attach a copy </t>
    </r>
    <r>
      <rPr>
        <sz val="12"/>
        <color indexed="8"/>
        <rFont val="Arial"/>
        <family val="2"/>
      </rPr>
      <t xml:space="preserve">of it to your return.  For details, see the </t>
    </r>
    <r>
      <rPr>
        <i/>
        <sz val="12"/>
        <color indexed="8"/>
        <rFont val="Arial"/>
        <family val="2"/>
      </rPr>
      <t>Provincial Worksheet</t>
    </r>
    <r>
      <rPr>
        <sz val="12"/>
        <color indexed="8"/>
        <rFont val="Arial"/>
        <family val="2"/>
      </rPr>
      <t xml:space="preserve"> and pages 1 to 6 in the forms book.</t>
    </r>
  </si>
  <si>
    <r>
      <t xml:space="preserve">  Result:</t>
    </r>
    <r>
      <rPr>
        <sz val="12"/>
        <color indexed="8"/>
        <rFont val="Arial"/>
        <family val="2"/>
      </rPr>
      <t xml:space="preserve"> (if negative, enter "0")    </t>
    </r>
  </si>
  <si>
    <r>
      <t xml:space="preserve">  </t>
    </r>
    <r>
      <rPr>
        <b/>
        <sz val="12"/>
        <color indexed="8"/>
        <rFont val="Arial"/>
        <family val="2"/>
      </rPr>
      <t>Minus</t>
    </r>
    <r>
      <rPr>
        <sz val="12"/>
        <color indexed="8"/>
        <rFont val="Arial"/>
        <family val="2"/>
      </rPr>
      <t xml:space="preserve"> his or her net income</t>
    </r>
  </si>
  <si>
    <r>
      <t xml:space="preserve">  </t>
    </r>
    <r>
      <rPr>
        <sz val="12"/>
        <color indexed="8"/>
        <rFont val="Arial"/>
        <family val="2"/>
      </rPr>
      <t>from page 1 of your return</t>
    </r>
  </si>
  <si>
    <r>
      <t>●</t>
    </r>
    <r>
      <rPr>
        <b/>
        <sz val="12"/>
        <color indexed="8"/>
        <rFont val="Arial"/>
        <family val="2"/>
      </rPr>
      <t>40</t>
    </r>
  </si>
  <si>
    <r>
      <t>●</t>
    </r>
    <r>
      <rPr>
        <b/>
        <sz val="12"/>
        <color indexed="8"/>
        <rFont val="Arial"/>
        <family val="2"/>
      </rPr>
      <t>44</t>
    </r>
  </si>
  <si>
    <r>
      <t>●</t>
    </r>
    <r>
      <rPr>
        <b/>
        <sz val="12"/>
        <color indexed="8"/>
        <rFont val="Arial"/>
        <family val="2"/>
      </rPr>
      <t>45</t>
    </r>
  </si>
  <si>
    <t>x$100</t>
  </si>
  <si>
    <r>
      <t xml:space="preserve">(maximum $6,140) </t>
    </r>
    <r>
      <rPr>
        <b/>
        <sz val="11"/>
        <color indexed="8"/>
        <rFont val="Arial"/>
        <family val="0"/>
      </rPr>
      <t>►</t>
    </r>
  </si>
  <si>
    <t>(See line 5823 in the forms book)</t>
  </si>
  <si>
    <r>
      <t xml:space="preserve">Pension income amount  </t>
    </r>
    <r>
      <rPr>
        <b/>
        <sz val="12"/>
        <color indexed="8"/>
        <rFont val="Arial"/>
        <family val="2"/>
      </rPr>
      <t>(maximum $1,000)</t>
    </r>
  </si>
  <si>
    <t>Add lines 29 and 30</t>
  </si>
  <si>
    <t>Add lines 9 through 26, and line 31</t>
  </si>
  <si>
    <t>Multiply line 32 by line 33</t>
  </si>
  <si>
    <t>Add lines 35 and 36</t>
  </si>
  <si>
    <t>Add lines 34 and 37</t>
  </si>
  <si>
    <t>Add lines 39 and 40</t>
  </si>
  <si>
    <t>Enter your Nova Scotia non-refundable tax credits from line 38</t>
  </si>
  <si>
    <t>Determine the amount to enter on line 6152 of Form NS428 by completing one of the two following calculations:</t>
  </si>
  <si>
    <t xml:space="preserve">   Enter the result on line 6152 of Form NS428.</t>
  </si>
  <si>
    <t>X 8.85%</t>
  </si>
  <si>
    <t>X  7.7%</t>
  </si>
  <si>
    <t xml:space="preserve">X  8.85%  </t>
  </si>
  <si>
    <r>
      <t>●</t>
    </r>
    <r>
      <rPr>
        <sz val="12"/>
        <color indexed="8"/>
        <rFont val="Arial"/>
        <family val="2"/>
      </rP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</si>
  <si>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t>
    </r>
    <r>
      <rPr>
        <sz val="12"/>
        <color indexed="8"/>
        <rFont val="Arial"/>
        <family val="2"/>
      </rPr>
      <t xml:space="preserve">  If you have amounts at lines 180 </t>
    </r>
    <r>
      <rPr>
        <b/>
        <sz val="12"/>
        <color indexed="8"/>
        <rFont val="Arial"/>
        <family val="2"/>
      </rPr>
      <t>and</t>
    </r>
    <r>
      <rPr>
        <sz val="12"/>
        <color indexed="8"/>
        <rFont val="Arial"/>
        <family val="2"/>
      </rPr>
      <t xml:space="preserve"> 120 of your return, complete the following:</t>
    </r>
  </si>
  <si>
    <r>
      <t xml:space="preserve">Credit calculated from for line 6152 on the </t>
    </r>
    <r>
      <rPr>
        <i/>
        <sz val="12"/>
        <color indexed="8"/>
        <rFont val="Arial"/>
        <family val="2"/>
      </rPr>
      <t>Provincial Worksheet</t>
    </r>
  </si>
  <si>
    <t>Add lines 42 through 45</t>
  </si>
  <si>
    <t>Line 41 minus line 46 (if negative, enter "0")</t>
  </si>
  <si>
    <t>(Amount from line 49</t>
  </si>
  <si>
    <t>Add lines 49 and 50</t>
  </si>
  <si>
    <t>Line 51 minus line 52</t>
  </si>
  <si>
    <r>
      <t xml:space="preserve">tax reduction as </t>
    </r>
    <r>
      <rPr>
        <b/>
        <sz val="12"/>
        <color indexed="8"/>
        <rFont val="Arial"/>
        <family val="2"/>
      </rPr>
      <t>only one of you</t>
    </r>
    <r>
      <rPr>
        <sz val="12"/>
        <color indexed="8"/>
        <rFont val="Arial"/>
        <family val="2"/>
      </rPr>
      <t xml:space="preserve"> can make this claim for your family.</t>
    </r>
  </si>
  <si>
    <t>Add lines 54 through 57</t>
  </si>
  <si>
    <t>Add lines 59 and 60</t>
  </si>
  <si>
    <t>Enter the amount from line 117 of your return</t>
  </si>
  <si>
    <t>or your spouse or common-law partner's return</t>
  </si>
  <si>
    <t>Net family income:  Line 61 minus line 62</t>
  </si>
  <si>
    <t>Line 63 minus line 64 (if negative, enter "0")</t>
  </si>
  <si>
    <t>Political contribution tax credit</t>
  </si>
  <si>
    <t>12. Enter the portion of the amount on line 11 that was directly transferred</t>
  </si>
  <si>
    <t>Basic personal amount</t>
  </si>
  <si>
    <t>5804</t>
  </si>
  <si>
    <t>5808</t>
  </si>
  <si>
    <t>9</t>
  </si>
  <si>
    <t>Specify:</t>
  </si>
  <si>
    <t xml:space="preserve">     Non-business-income tax paid to a foreign country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</si>
  <si>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</si>
  <si>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</si>
  <si>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</si>
  <si>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</si>
  <si>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Line 1 minus line 6 (if negative, enter "0").  Enter this amount on line 5808 of Form NS428.</t>
  </si>
  <si>
    <t xml:space="preserve">Net capital losses of other years </t>
  </si>
  <si>
    <t>Capital gains deduction</t>
  </si>
  <si>
    <t>(Allowable entries are: Yes or No)</t>
  </si>
  <si>
    <t>Contributor spouse or</t>
  </si>
  <si>
    <r>
      <t xml:space="preserve">common-law partner: </t>
    </r>
    <r>
      <rPr>
        <sz val="14"/>
        <color indexed="8"/>
        <rFont val="Arial"/>
        <family val="2"/>
      </rPr>
      <t>(Yes or No)</t>
    </r>
  </si>
  <si>
    <t>Enter your social insurance number (SIN)</t>
  </si>
  <si>
    <t>Annuities NOT from death of spouse or common law partner</t>
  </si>
  <si>
    <t xml:space="preserve">Amounts deemed received by </t>
  </si>
  <si>
    <t>the annuitant; Deceased</t>
  </si>
  <si>
    <t>10,18</t>
  </si>
  <si>
    <t>Annuitant is your spouse</t>
  </si>
  <si>
    <r>
      <t xml:space="preserve">Enter the amount from line 7 (in Part B) or line 13, whichever is </t>
    </r>
    <r>
      <rPr>
        <b/>
        <sz val="12"/>
        <rFont val="Arial MT"/>
        <family val="0"/>
      </rPr>
      <t>less.</t>
    </r>
  </si>
  <si>
    <t xml:space="preserve"> RRSPs in the two preceding years and indicated in income for one of those preceding years. If</t>
  </si>
  <si>
    <t xml:space="preserve"> you completed Part 1 above, add the line 5 and line 8 amounts and enter the  result.</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</si>
  <si>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</si>
  <si>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</si>
  <si>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</si>
  <si>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</si>
  <si>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</si>
  <si>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</si>
  <si>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</si>
  <si>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</si>
  <si>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</si>
  <si>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</si>
  <si>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</si>
  <si>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</si>
  <si>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</si>
  <si>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</si>
  <si>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</si>
  <si>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Line 4 (in Part B)</t>
  </si>
  <si>
    <t>Refund of Premiums</t>
  </si>
  <si>
    <t>Schedules &amp; Forms</t>
  </si>
  <si>
    <t>Transfers, and HBP or LLP Activities</t>
  </si>
  <si>
    <r>
      <t xml:space="preserve">Provincial or territorial tax credits </t>
    </r>
    <r>
      <rPr>
        <sz val="12"/>
        <rFont val="Arial MT"/>
        <family val="0"/>
      </rPr>
      <t>(</t>
    </r>
    <r>
      <rPr>
        <b/>
        <sz val="12"/>
        <rFont val="Arial MT"/>
        <family val="0"/>
      </rPr>
      <t>attach</t>
    </r>
    <r>
      <rPr>
        <sz val="12"/>
        <rFont val="Arial MT"/>
        <family val="2"/>
      </rPr>
      <t xml:space="preserve"> Form 479 if it applies)</t>
    </r>
  </si>
  <si>
    <t xml:space="preserve"> RRSPs in the two preceding years, and included in income for one of those two preceding years.</t>
  </si>
  <si>
    <t>7. Enter the amount from line 1.</t>
  </si>
  <si>
    <t xml:space="preserve"> of his or her return for the year you indicated in the title.</t>
  </si>
  <si>
    <t>Part 2 -- RRIFs</t>
  </si>
  <si>
    <t>10. Enter the total of the amounts in box 20 of your T4RIF slips for spousal or common-law partner</t>
  </si>
  <si>
    <t xml:space="preserve">11. Enter the total of the amounts in box 24 of the T4RIF slips that you  </t>
  </si>
  <si>
    <t xml:space="preserve">received from spousal or common-law partner RRIFs in the year you </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</si>
  <si>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</si>
  <si>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</si>
  <si>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</si>
  <si>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</si>
  <si>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</si>
  <si>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</si>
  <si>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</si>
  <si>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</si>
  <si>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</si>
  <si>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</si>
  <si>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</si>
  <si>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</si>
  <si>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</si>
  <si>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</si>
  <si>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</si>
  <si>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</si>
  <si>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</si>
  <si>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</si>
  <si>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</si>
  <si>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</si>
  <si>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box 21 minus box 30</t>
  </si>
  <si>
    <t>STATEMENT OF TRUST INCOME ALLOCATIONS &amp; DESIGNATIONS</t>
  </si>
  <si>
    <t>Line 5840 - Caregiver amount</t>
  </si>
  <si>
    <t>Enter the amount from box 26 (or if blank, box 14) on all T4 slips</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</si>
  <si>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</si>
  <si>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</si>
  <si>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</si>
  <si>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</si>
  <si>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</si>
  <si>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</si>
  <si>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</si>
  <si>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</si>
  <si>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</si>
  <si>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</si>
  <si>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</si>
  <si>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CPP contributions payable on self-employment and other earnings:</t>
  </si>
  <si>
    <t>Line 8 minus line 9 (if negative, enter "0") Enter this amount on line 421 of your return.</t>
  </si>
  <si>
    <r>
      <t>Only the student</t>
    </r>
    <r>
      <rPr>
        <sz val="12"/>
        <color indexed="8"/>
        <rFont val="Arial"/>
        <family val="2"/>
      </rPr>
      <t xml:space="preserve"> must complete this schedule.  Use it to:</t>
    </r>
  </si>
  <si>
    <t xml:space="preserve">and date of birth to Elections Canada for the National Register of Electors </t>
  </si>
  <si>
    <t>Your authorization is required each year.  This information will be used only for purposes permitted</t>
  </si>
  <si>
    <t>T2032</t>
  </si>
  <si>
    <t>(details on following sheet,  Sch4-2)</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</si>
  <si>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</si>
  <si>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</si>
  <si>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Name of corp. and class of shares</t>
  </si>
  <si>
    <t>Name of fund/corp. and class of shares</t>
  </si>
  <si>
    <t>Capital gains deferral from qualifying dispositions of eligible small business corporation shares (included in 3 above)</t>
  </si>
  <si>
    <t>If it is a net capital loss, see line 127 in the guide.</t>
  </si>
  <si>
    <t>Notice of Assessment.</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</si>
  <si>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</si>
  <si>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</si>
  <si>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</si>
  <si>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</si>
  <si>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If you find MyTAX useful, I request a voluntary donation of $10. for making MyTAX available.</t>
  </si>
  <si>
    <t xml:space="preserve">Why?    Your friends will thank you.  </t>
  </si>
  <si>
    <t>© Peel Technologies</t>
  </si>
  <si>
    <t>PE</t>
  </si>
  <si>
    <t>(see line 349 in the guide)</t>
  </si>
  <si>
    <t>WRK</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</si>
  <si>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</si>
  <si>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</si>
  <si>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</si>
  <si>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</si>
  <si>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</si>
  <si>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</si>
  <si>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</si>
  <si>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</si>
  <si>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</si>
  <si>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</si>
  <si>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</si>
  <si>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</si>
  <si>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</si>
  <si>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</si>
  <si>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</si>
  <si>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</si>
  <si>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r>
      <t xml:space="preserve">Amount from line 1 or 2, whichever is </t>
    </r>
    <r>
      <rPr>
        <b/>
        <sz val="14"/>
        <color indexed="8"/>
        <rFont val="Arial"/>
        <family val="2"/>
      </rPr>
      <t>less</t>
    </r>
  </si>
  <si>
    <t>repayment rate in box 7 is 30%</t>
  </si>
  <si>
    <t>Maximum supplement</t>
  </si>
  <si>
    <t>If, at the end of the year you and your spouse or common-law partner were not resident of Nova Scotia, special rules may apply.</t>
  </si>
  <si>
    <t>Enter the amount from line 1 in the</t>
  </si>
  <si>
    <t>applicable column</t>
  </si>
  <si>
    <t>Go to Step 2                  on taxable income</t>
  </si>
  <si>
    <t>Bursary and Scholarship Exemption</t>
  </si>
  <si>
    <t xml:space="preserve">You must enter your T5 data into this form.  As your enter data, it is posted to the cells in the schedules and forms </t>
  </si>
  <si>
    <r>
      <t xml:space="preserve">Medical expenses for </t>
    </r>
    <r>
      <rPr>
        <b/>
        <sz val="12"/>
        <color indexed="8"/>
        <rFont val="Arial"/>
        <family val="2"/>
      </rPr>
      <t>self, spouse or common-law partner, and your</t>
    </r>
  </si>
  <si>
    <t>Line 5872 - Allowable amount of medical expenses for other dependants</t>
  </si>
  <si>
    <t>As a Canadian citizen, I authorize the Canada Revenue Agency to provide my name, address,</t>
  </si>
  <si>
    <t>Canada Revenue</t>
  </si>
  <si>
    <t>Agency</t>
  </si>
  <si>
    <t>Agence du revenu</t>
  </si>
  <si>
    <t>du Canada</t>
  </si>
  <si>
    <t>Complete all the sections that apply to you in order to benefit from amounts to which you are entitled</t>
  </si>
  <si>
    <t>Enter the amount of Universal Child Care Benefit included in his or</t>
  </si>
  <si>
    <t>her net income above (see the guide for details):</t>
  </si>
  <si>
    <t>address of the home you purchased under the HBP</t>
  </si>
  <si>
    <t>X 50%</t>
  </si>
  <si>
    <t>Data
T3 #5</t>
  </si>
  <si>
    <t>STATEMENT OF OLD AGE SECURITY</t>
  </si>
  <si>
    <t>Welcome to the data entry interface for your T4E slips.</t>
  </si>
  <si>
    <t>MyTAX does NOT allow you to enter T4E data directly to other sheets and forms and schedules</t>
  </si>
  <si>
    <r>
      <t xml:space="preserve">T11A and Tl11C; (only one claim per month, </t>
    </r>
    <r>
      <rPr>
        <b/>
        <sz val="12"/>
        <color indexed="8"/>
        <rFont val="Arial"/>
        <family val="2"/>
      </rPr>
      <t>maximum 12 months</t>
    </r>
    <r>
      <rPr>
        <sz val="12"/>
        <color indexed="8"/>
        <rFont val="Arial"/>
        <family val="2"/>
      </rPr>
      <t>)</t>
    </r>
  </si>
  <si>
    <t xml:space="preserve">  (do not include any month that is also included in column C)</t>
  </si>
  <si>
    <t>Transfer / Carry forward or unused amount</t>
  </si>
  <si>
    <t xml:space="preserve"> Notice of Assessment or Notice of Reassessment.</t>
  </si>
  <si>
    <t>Enter the amount you are transferring</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</si>
  <si>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 </t>
    </r>
    <r>
      <rPr>
        <b/>
        <sz val="12"/>
        <color indexed="8"/>
        <rFont val="Arial"/>
        <family val="2"/>
      </rPr>
      <t>specify</t>
    </r>
  </si>
  <si>
    <r>
      <t>the provincial amount</t>
    </r>
    <r>
      <rPr>
        <sz val="12"/>
        <color indexed="8"/>
        <rFont val="Arial"/>
        <family val="2"/>
      </rPr>
      <t xml:space="preserve"> that you are transferring to him or her  on Form T2202, T2202A, TL11A, or TL11C.</t>
    </r>
  </si>
  <si>
    <r>
      <t>Note:</t>
    </r>
    <r>
      <rPr>
        <sz val="12"/>
        <color indexed="8"/>
        <rFont val="Arial"/>
        <family val="2"/>
      </rPr>
      <t xml:space="preserve">  If you have a spouse or common-law partner, special rules may apply.  See line 5856 in the forms book.</t>
    </r>
  </si>
  <si>
    <t>Multiply the amount on line 197 by 50%.  Enter the total taxable capital gains on line 127 of your return.</t>
  </si>
  <si>
    <t>you would position the cursor the data entry line 104 below, and then key in</t>
  </si>
  <si>
    <t>tax preparers</t>
  </si>
  <si>
    <t>only.</t>
  </si>
  <si>
    <t>Name:</t>
  </si>
  <si>
    <t>Account number</t>
  </si>
  <si>
    <t xml:space="preserve"> For example, if you have the following amounts in three box 11's:  21500.00, 1467.33, 991.56, </t>
  </si>
  <si>
    <t>you would position the cursor the data entry line 120 below, and then key in</t>
  </si>
  <si>
    <r>
      <t xml:space="preserve">Enter, on line 5848 the total amount claimed for </t>
    </r>
    <r>
      <rPr>
        <b/>
        <sz val="12"/>
        <color indexed="8"/>
        <rFont val="Arial"/>
        <family val="2"/>
      </rPr>
      <t>all</t>
    </r>
    <r>
      <rPr>
        <sz val="12"/>
        <color indexed="8"/>
        <rFont val="Arial"/>
        <family val="2"/>
      </rPr>
      <t xml:space="preserve"> disabled dependants.</t>
    </r>
  </si>
  <si>
    <t>Amount for this dependant:</t>
  </si>
  <si>
    <t xml:space="preserve">Eligible amount of cultural and ecological gifts  </t>
  </si>
  <si>
    <t>Enter the amount on line 20 below.</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</si>
  <si>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</si>
  <si>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</si>
  <si>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</si>
  <si>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t>where they are needed.  If you have more than one T4RSP slip, then enter the amounts from each T4RSP.</t>
  </si>
  <si>
    <t>Line 305 -</t>
  </si>
  <si>
    <t>Enter your total contributions:</t>
  </si>
  <si>
    <t>1</t>
  </si>
  <si>
    <t>64</t>
  </si>
  <si>
    <t>65</t>
  </si>
  <si>
    <t>66</t>
  </si>
  <si>
    <t>67</t>
  </si>
  <si>
    <t>68</t>
  </si>
  <si>
    <t>YES</t>
  </si>
  <si>
    <t>NO</t>
  </si>
  <si>
    <t>The person claiming the transfer should not attach this schedule to his or her return.</t>
  </si>
  <si>
    <t>For internal use only</t>
  </si>
  <si>
    <t>MB</t>
  </si>
  <si>
    <t>(maximum $500)</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</si>
  <si>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</si>
  <si>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X $120</t>
  </si>
  <si>
    <t>X $400</t>
  </si>
  <si>
    <t>Line 234 minus line 235 (if negative enter "0").  If you have a spouse or common-law partner, see line 236 in the guide.</t>
  </si>
  <si>
    <t xml:space="preserve">Are you applying for the GST/HST credit? </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</si>
  <si>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</si>
  <si>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</si>
  <si>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</si>
  <si>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70</t>
  </si>
  <si>
    <t>69</t>
  </si>
  <si>
    <t>71</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</si>
  <si>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</si>
  <si>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</si>
  <si>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</si>
  <si>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</si>
  <si>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</si>
  <si>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</si>
  <si>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</si>
  <si>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</si>
  <si>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A3.</t>
    </r>
    <r>
      <rPr>
        <sz val="10"/>
        <rFont val="Arial MT"/>
        <family val="0"/>
      </rPr>
      <t xml:space="preserve"> </t>
    </r>
    <r>
      <rPr>
        <sz val="14"/>
        <rFont val="Arial MT"/>
        <family val="0"/>
      </rPr>
      <t>Yes you can.  We have designed MyTAX to accommodate this situation. MyTAX includes the standard set</t>
    </r>
  </si>
  <si>
    <t>Universal Child Care Benefit (line 117) – Since July 2006, if</t>
  </si>
  <si>
    <t>you are an eligible individual responsible for the care of a</t>
  </si>
  <si>
    <t>child under 6 years of age, you are eligible to receive $100</t>
  </si>
  <si>
    <t>per month for each qualified dependant. See pages 9 and 18</t>
  </si>
  <si>
    <t>for details.</t>
  </si>
  <si>
    <t>Provincial parental insurance plan (lines 119, 223, 375, 376,</t>
  </si>
  <si>
    <t>378, and 450) – This is a new income replacement plan for</t>
  </si>
  <si>
    <t>residents of Quebec. See your guide from Revenu Québec</t>
  </si>
  <si>
    <t>Taxable amount of dividends (eligible and other than</t>
  </si>
  <si>
    <t>eligible) from taxable Canadian corporations (line 120) –</t>
  </si>
  <si>
    <t>There are now two types of dividends. See page 18 for</t>
  </si>
  <si>
    <t>Taxable capital gains (line 127) – After May 1, 2006, the</t>
  </si>
  <si>
    <t>capital gains inclusion rate for donations of publicly-listed</t>
  </si>
  <si>
    <t>securities and ecologically-sensitive land to qualified</t>
  </si>
  <si>
    <t>Line 5508 - Age Amount</t>
  </si>
  <si>
    <t>256</t>
  </si>
  <si>
    <t>Taxable tuition assistance</t>
  </si>
  <si>
    <t>Non-taxable tuition assistance</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</si>
  <si>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</si>
  <si>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</si>
  <si>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</si>
  <si>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</si>
  <si>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</si>
  <si>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</si>
  <si>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</si>
  <si>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</si>
  <si>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</si>
  <si>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</si>
  <si>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</si>
  <si>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</si>
  <si>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</si>
  <si>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</si>
  <si>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</si>
  <si>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Enter the provincial foreign tax credit from Form T2036</t>
  </si>
  <si>
    <r>
      <t xml:space="preserve">for the dependant.  If the dependant was age </t>
    </r>
    <r>
      <rPr>
        <b/>
        <sz val="12"/>
        <color indexed="8"/>
        <rFont val="Arial"/>
        <family val="2"/>
      </rPr>
      <t>18 or older,</t>
    </r>
    <r>
      <rPr>
        <sz val="12"/>
        <color indexed="8"/>
        <rFont val="Arial"/>
        <family val="2"/>
      </rPr>
      <t xml:space="preserve"> enter "0".</t>
    </r>
  </si>
  <si>
    <t>If you have more than four slips, you can add the data from the extra ones as a sum rather than a single #.</t>
  </si>
  <si>
    <t>Allocated Data</t>
  </si>
  <si>
    <t xml:space="preserve">                       Copy 1-- Your spouse or common-law partner attaches this copy to his or her income tax return for the year</t>
  </si>
  <si>
    <t>Claimed</t>
  </si>
  <si>
    <t>Add lines 47 and 48</t>
  </si>
  <si>
    <r>
      <t>4.</t>
    </r>
    <r>
      <rPr>
        <sz val="14"/>
        <color indexed="8"/>
        <rFont val="Arial"/>
        <family val="2"/>
      </rPr>
      <t xml:space="preserve">  To enter data into a schedule, go to the desired schedule, position the cursor to the appropriate box / cell and</t>
    </r>
  </si>
  <si>
    <t>(other than any month that includes a week</t>
  </si>
  <si>
    <t>●</t>
  </si>
  <si>
    <r>
      <t xml:space="preserve">and you were enrolled in a </t>
    </r>
    <r>
      <rPr>
        <b/>
        <sz val="12"/>
        <rFont val="Arial MT"/>
        <family val="0"/>
      </rPr>
      <t>part-time</t>
    </r>
    <r>
      <rPr>
        <sz val="12"/>
        <rFont val="Arial MT"/>
        <family val="0"/>
      </rPr>
      <t xml:space="preserve"> educational program; or</t>
    </r>
  </si>
  <si>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</si>
  <si>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</si>
  <si>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Add lines 16 and 17</t>
  </si>
  <si>
    <t>minus $48,750  (if negative, enter "0")</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</si>
  <si>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described in the</t>
    </r>
  </si>
  <si>
    <t>Old Age Security pension (box 18 on the T4A (OAS) slip)</t>
  </si>
  <si>
    <t>Sched 9</t>
  </si>
  <si>
    <t>*     allocated data column has a formula</t>
  </si>
  <si>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</si>
  <si>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</si>
  <si>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</si>
  <si>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</si>
  <si>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</si>
  <si>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</si>
  <si>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</si>
  <si>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</si>
  <si>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T1-4</t>
  </si>
  <si>
    <t>ADDITIONAL QUALIFICATION CALCULATIONS</t>
  </si>
  <si>
    <t>Employment from lines 101 and 104</t>
  </si>
  <si>
    <t>a</t>
  </si>
  <si>
    <t>Amounts received from a wage-loss replacement</t>
  </si>
  <si>
    <t>b</t>
  </si>
  <si>
    <t>Amounts on line 207, 212, 229, 231</t>
  </si>
  <si>
    <t>c</t>
  </si>
  <si>
    <t xml:space="preserve">You must enter your T4E data into this form.  As your enter data, it is posted to the cells in the schedules and forms </t>
  </si>
  <si>
    <t>Enter the amount from line 8 on the other side</t>
  </si>
  <si>
    <r>
      <t xml:space="preserve">Multiply the amount on line 10 by the number of </t>
    </r>
    <r>
      <rPr>
        <b/>
        <sz val="12"/>
        <rFont val="Arial MT"/>
        <family val="0"/>
      </rPr>
      <t>full months</t>
    </r>
  </si>
  <si>
    <t>Situation Index for boxes, 16,20,24</t>
  </si>
  <si>
    <t>Situation index for box 22</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</si>
  <si>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</si>
  <si>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</si>
  <si>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</si>
  <si>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</si>
  <si>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</si>
  <si>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t xml:space="preserve">If any of the following situations apply to you, determine the amounts for lines 1, 2, 3 and 5 by using the table below and your </t>
  </si>
  <si>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</si>
  <si>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</si>
  <si>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</si>
  <si>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</si>
  <si>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</si>
  <si>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P.O. Box</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</si>
  <si>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</si>
  <si>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</si>
  <si>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</si>
  <si>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</si>
  <si>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</si>
  <si>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</si>
  <si>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</si>
  <si>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</si>
  <si>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</si>
  <si>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</si>
  <si>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</si>
  <si>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</si>
  <si>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r>
      <t xml:space="preserve">Enter, on line 5816 of Form NS428, $6,140 or the amount on line 3, whichever is </t>
    </r>
    <r>
      <rPr>
        <b/>
        <sz val="12"/>
        <color indexed="8"/>
        <rFont val="Arial"/>
        <family val="2"/>
      </rPr>
      <t>less.</t>
    </r>
  </si>
  <si>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</si>
  <si>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</si>
  <si>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</si>
  <si>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</si>
  <si>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</si>
  <si>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r>
      <t xml:space="preserve">If there is </t>
    </r>
    <r>
      <rPr>
        <b/>
        <sz val="12"/>
        <rFont val="Arial MT"/>
        <family val="0"/>
      </rPr>
      <t>another person</t>
    </r>
    <r>
      <rPr>
        <sz val="12"/>
        <rFont val="Arial MT"/>
        <family val="0"/>
      </rPr>
      <t xml:space="preserve"> (as described in the section called "Who can claim child care expenses?") and you are the one with </t>
    </r>
  </si>
  <si>
    <r>
      <t xml:space="preserve">the </t>
    </r>
    <r>
      <rPr>
        <b/>
        <sz val="12"/>
        <rFont val="Arial MT"/>
        <family val="0"/>
      </rPr>
      <t>lower net income</t>
    </r>
    <r>
      <rPr>
        <sz val="12"/>
        <rFont val="Arial MT"/>
        <family val="0"/>
      </rPr>
      <t>, complete Parts A and B.</t>
    </r>
  </si>
  <si>
    <r>
      <t xml:space="preserve">the </t>
    </r>
    <r>
      <rPr>
        <b/>
        <sz val="12"/>
        <rFont val="Arial MT"/>
        <family val="0"/>
      </rPr>
      <t>higher net income</t>
    </r>
    <r>
      <rPr>
        <sz val="12"/>
        <rFont val="Arial MT"/>
        <family val="0"/>
      </rPr>
      <t>, complete Parts A, B, C, and, if it applies, D.</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</si>
  <si>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</si>
  <si>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net income was in a situation described below.  Give the name, social insurance number, and the net income of the other person, </t>
    </r>
  </si>
  <si>
    <t>Name of person with the lower net income</t>
  </si>
  <si>
    <t xml:space="preserve">Pension income amount </t>
  </si>
  <si>
    <t>Provincial amount transferred</t>
  </si>
  <si>
    <t>Enter the amount from 4 on lines 235 and 422 of your return.  However,</t>
  </si>
  <si>
    <t>if you also received Old Age Security benefits and the amount on line 234</t>
  </si>
  <si>
    <t>Required contribution: Multiply line 3 by 4.95%</t>
  </si>
  <si>
    <r>
      <t xml:space="preserve">Enter your </t>
    </r>
    <r>
      <rPr>
        <b/>
        <sz val="12"/>
        <rFont val="Arial MT"/>
        <family val="0"/>
      </rPr>
      <t xml:space="preserve">net income </t>
    </r>
    <r>
      <rPr>
        <sz val="12"/>
        <rFont val="Arial MT"/>
        <family val="0"/>
      </rPr>
      <t>not including amounts on line 214 or 235</t>
    </r>
  </si>
  <si>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</si>
  <si>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</si>
  <si>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</si>
  <si>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</si>
  <si>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</si>
  <si>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</si>
  <si>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</si>
  <si>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</si>
  <si>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</si>
  <si>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r>
      <t>Q2</t>
    </r>
    <r>
      <rPr>
        <sz val="14"/>
        <color indexed="8"/>
        <rFont val="Arial"/>
        <family val="2"/>
      </rPr>
      <t>.  I have a "T" slip for which MyTAX doesn't have a "T" input form.  What do I do?</t>
    </r>
  </si>
  <si>
    <t xml:space="preserve">  Amount from line 427 on federal Schedule 1</t>
  </si>
  <si>
    <t>If your spouse or common-law partner's net income is $26,284 or less, enter $3,531</t>
  </si>
  <si>
    <t>Otherwise, enter the amount from line 5808 of his or her Form NS428.</t>
  </si>
  <si>
    <t>Your spouse's or common-law partner's name</t>
  </si>
  <si>
    <t>Part 1 -- RRSPs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</si>
  <si>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</si>
  <si>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</si>
  <si>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</si>
  <si>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</si>
  <si>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(see note below)</t>
  </si>
  <si>
    <t xml:space="preserve"> RRIFs in the year you indicated in the title.</t>
  </si>
  <si>
    <t>T2205 E (04)</t>
  </si>
  <si>
    <t>Check this box if the address shown on page 1 of your return is the same as the</t>
  </si>
  <si>
    <r>
      <t xml:space="preserve">Enter $200, or the amount from line 344, whichever is </t>
    </r>
    <r>
      <rPr>
        <b/>
        <sz val="12"/>
        <color indexed="8"/>
        <rFont val="Arial"/>
        <family val="2"/>
      </rPr>
      <t>less</t>
    </r>
  </si>
  <si>
    <t>you would position the cursor the data entry line 115 below, and then key in</t>
  </si>
  <si>
    <t>Line 314 - Pension income amount</t>
  </si>
  <si>
    <t>Amount from line 115 of your return</t>
  </si>
  <si>
    <t>X</t>
  </si>
  <si>
    <r>
      <t xml:space="preserve">Enter on line 314 of Schedule 1, </t>
    </r>
    <r>
      <rPr>
        <b/>
        <sz val="14"/>
        <color indexed="8"/>
        <rFont val="Arial"/>
        <family val="2"/>
      </rPr>
      <t>$2,000</t>
    </r>
    <r>
      <rPr>
        <sz val="14"/>
        <color indexed="8"/>
        <rFont val="Arial"/>
        <family val="2"/>
      </rPr>
      <t xml:space="preserve"> or the amount on line 8, whichever is </t>
    </r>
    <r>
      <rPr>
        <b/>
        <sz val="14"/>
        <color indexed="8"/>
        <rFont val="Arial"/>
        <family val="2"/>
      </rPr>
      <t>less</t>
    </r>
    <r>
      <rPr>
        <sz val="14"/>
        <color indexed="8"/>
        <rFont val="Arial"/>
        <family val="2"/>
      </rPr>
      <t>.</t>
    </r>
  </si>
  <si>
    <t>Attach Schedule 5 to your return to provide details for each dependent.</t>
  </si>
  <si>
    <t>Total expenses for child care and attendant care claimed by you or for you by anyone</t>
  </si>
  <si>
    <r>
      <t xml:space="preserve">Enter </t>
    </r>
    <r>
      <rPr>
        <b/>
        <sz val="13"/>
        <color indexed="8"/>
        <rFont val="Arial"/>
        <family val="2"/>
      </rPr>
      <t>$1000,</t>
    </r>
    <r>
      <rPr>
        <sz val="13"/>
        <color indexed="8"/>
        <rFont val="Arial"/>
        <family val="2"/>
      </rPr>
      <t xml:space="preserve"> or 25% of the total of line 215 (of your return) and line 332 (of Schedule 1), whichever is </t>
    </r>
    <r>
      <rPr>
        <b/>
        <sz val="13"/>
        <color indexed="8"/>
        <rFont val="Arial"/>
        <family val="2"/>
      </rPr>
      <t>less</t>
    </r>
  </si>
  <si>
    <t>Enter his or her SIN</t>
  </si>
  <si>
    <t>Employment Insurance and other benefits (box 14 on the T4E slip)</t>
  </si>
  <si>
    <t>Schedule 1</t>
  </si>
  <si>
    <t>Use the amount on line 1 to determine which</t>
  </si>
  <si>
    <r>
      <t>ONE</t>
    </r>
    <r>
      <rPr>
        <sz val="12"/>
        <color indexed="8"/>
        <rFont val="Arial"/>
        <family val="2"/>
      </rPr>
      <t xml:space="preserve"> of the following columns you have to complete.</t>
    </r>
  </si>
  <si>
    <t>Enter the amount from line 1</t>
  </si>
  <si>
    <t>Add lines 6 and 7.</t>
  </si>
  <si>
    <r>
      <t>Federal non-refundable tax credits</t>
    </r>
    <r>
      <rPr>
        <b/>
        <sz val="14"/>
        <color indexed="8"/>
        <rFont val="Arial"/>
        <family val="2"/>
      </rPr>
      <t xml:space="preserve"> </t>
    </r>
    <r>
      <rPr>
        <sz val="14"/>
        <color indexed="8"/>
        <rFont val="Arial"/>
        <family val="2"/>
      </rPr>
      <t>(Read the guide for details about these credits.)</t>
    </r>
  </si>
  <si>
    <t xml:space="preserve"> $36,378 or less</t>
  </si>
  <si>
    <t>more than $36,378</t>
  </si>
  <si>
    <t>$72,756</t>
  </si>
  <si>
    <t>more than $72,756</t>
  </si>
  <si>
    <t>$118,285</t>
  </si>
  <si>
    <t>claim $8,839</t>
  </si>
  <si>
    <t>(maximum $7,505)</t>
  </si>
  <si>
    <t>(maximum $1,910.70)</t>
  </si>
  <si>
    <t>(maximum $729.30)</t>
  </si>
  <si>
    <t>(maximum $250)</t>
  </si>
  <si>
    <t>Public transit passes amount (see the guide)</t>
  </si>
  <si>
    <t>Canada employment amount (see the guide)</t>
  </si>
  <si>
    <t>Disability amount (for self)</t>
  </si>
  <si>
    <t xml:space="preserve">Add lines 9 to 28. </t>
  </si>
  <si>
    <t xml:space="preserve">Multiply the amount on line 335 by 15.25%. </t>
  </si>
  <si>
    <r>
      <t xml:space="preserve">Total federal non-refundable tax credits: </t>
    </r>
    <r>
      <rPr>
        <sz val="12"/>
        <color indexed="8"/>
        <rFont val="Arial"/>
        <family val="2"/>
      </rPr>
      <t>Add Lines 30 and 31.</t>
    </r>
  </si>
  <si>
    <r>
      <t>continue on the back</t>
    </r>
    <r>
      <rPr>
        <b/>
        <sz val="12"/>
        <color indexed="8"/>
        <rFont val="Arial"/>
        <family val="0"/>
      </rPr>
      <t>→</t>
    </r>
  </si>
  <si>
    <t xml:space="preserve"> For example, if you have the following amounts for box 32:  21500.00, 1467.33, 991.56, </t>
  </si>
  <si>
    <t>you would position the cursor to line 120 below, and then key in</t>
  </si>
  <si>
    <r>
      <t xml:space="preserve">Complete this schedule to </t>
    </r>
    <r>
      <rPr>
        <b/>
        <sz val="12"/>
        <color indexed="8"/>
        <rFont val="Arial"/>
        <family val="2"/>
      </rPr>
      <t>claim</t>
    </r>
    <r>
      <rPr>
        <sz val="12"/>
        <color indexed="8"/>
        <rFont val="Arial"/>
        <family val="2"/>
      </rPr>
      <t xml:space="preserve"> a transfer, of the unused part of your spouse or common-law partner's provincial amounts</t>
    </r>
  </si>
  <si>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</si>
  <si>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</si>
  <si>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</si>
  <si>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</si>
  <si>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</si>
  <si>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</si>
  <si>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</si>
  <si>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</si>
  <si>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</si>
  <si>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</si>
  <si>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</si>
  <si>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</si>
  <si>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</si>
  <si>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</si>
  <si>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Taxable amount of dividends other than eligible dividends (specify):</t>
  </si>
  <si>
    <t>Taxable amount of eligible dividends (specify):</t>
  </si>
  <si>
    <t>Federal dividend tax credit ( see line 425 in the guide)</t>
  </si>
  <si>
    <t>Federal tax on split income (from line 5 of Form T1206)</t>
  </si>
  <si>
    <r>
      <t>●</t>
    </r>
    <r>
      <rPr>
        <b/>
        <sz val="9"/>
        <color indexed="8"/>
        <rFont val="Arial"/>
        <family val="2"/>
      </rPr>
      <t>37</t>
    </r>
  </si>
  <si>
    <r>
      <t>●</t>
    </r>
    <r>
      <rPr>
        <b/>
        <sz val="9"/>
        <color indexed="8"/>
        <rFont val="Arial"/>
        <family val="2"/>
      </rPr>
      <t>39</t>
    </r>
  </si>
  <si>
    <t>405</t>
  </si>
  <si>
    <t>●44</t>
  </si>
  <si>
    <t>●45</t>
  </si>
  <si>
    <t>●46</t>
  </si>
  <si>
    <t xml:space="preserve">Add lines 33 and 34. </t>
  </si>
  <si>
    <t>Add lines 36 to 39.</t>
  </si>
  <si>
    <t>Enter your Nova Scotia tax on split income, if applicable, from Form T1206</t>
  </si>
  <si>
    <t xml:space="preserve">  Amount from line 117 of Form T691</t>
  </si>
  <si>
    <t>Nova Scotia additional tax for minimum tax purposes:</t>
  </si>
  <si>
    <t xml:space="preserve"> minus $10,000)  x 10% (if negative, enter "0")</t>
  </si>
  <si>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</si>
  <si>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</si>
  <si>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</si>
  <si>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</si>
  <si>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</si>
  <si>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6795</t>
  </si>
  <si>
    <r>
      <t xml:space="preserve">indicated below.  </t>
    </r>
    <r>
      <rPr>
        <b/>
        <sz val="12"/>
        <rFont val="Arial MT"/>
        <family val="0"/>
      </rPr>
      <t>Attach a copy</t>
    </r>
    <r>
      <rPr>
        <sz val="12"/>
        <rFont val="Arial MT"/>
        <family val="0"/>
      </rPr>
      <t xml:space="preserve"> of this schedule to your return.</t>
    </r>
  </si>
  <si>
    <t xml:space="preserve"> (5)</t>
  </si>
  <si>
    <t>Year of</t>
  </si>
  <si>
    <t>Proceeds of</t>
  </si>
  <si>
    <t>Outlays &amp; expenses</t>
  </si>
  <si>
    <t>Taxable Income</t>
  </si>
  <si>
    <t>certain credits: (see the guide for details)</t>
  </si>
  <si>
    <t>give the date of:</t>
  </si>
  <si>
    <t>If you became or ceased to be a resident of Canada in</t>
  </si>
  <si>
    <t>Enter the provincial amount designated in your name on his or her Form T2202, T2202A,TL11A or TL11C</t>
  </si>
  <si>
    <t>Enter your Nova Scotia tax on taxable income from line 8</t>
  </si>
  <si>
    <t>Total unused amount</t>
  </si>
  <si>
    <t>I -</t>
  </si>
  <si>
    <t>II -</t>
  </si>
  <si>
    <t>III -</t>
  </si>
  <si>
    <t>Provincial Worksheet</t>
  </si>
  <si>
    <t>T1 General</t>
  </si>
  <si>
    <t xml:space="preserve">             (maximum $39,000. If $2,000 or less, enter "0")</t>
  </si>
  <si>
    <t>Line 1 minus  $2,000 (if negative, enter "0")</t>
  </si>
  <si>
    <t>Earnings subject to contribution: Line 5 minus line 6 (if negative, enter "0")</t>
  </si>
  <si>
    <t>Contributions through employment</t>
  </si>
  <si>
    <t xml:space="preserve"> (from box 16 and box 17 on all T4 slips)</t>
  </si>
  <si>
    <t>X 2 =</t>
  </si>
  <si>
    <t>Donations and Gifts</t>
  </si>
  <si>
    <t xml:space="preserve">   </t>
  </si>
  <si>
    <t>pick up otherwise from 19 above</t>
  </si>
  <si>
    <t>if and but from 19 above</t>
  </si>
  <si>
    <t>lots of polaver here</t>
  </si>
  <si>
    <t>kicks in from 431, 433 - maybe</t>
  </si>
  <si>
    <t xml:space="preserve">Rental Income </t>
  </si>
  <si>
    <t>Income Tax Deducted</t>
  </si>
  <si>
    <t>If line 1 is more than</t>
  </si>
  <si>
    <t>T1 General worksheet etc.   Values needed across schedules are automatically transferred / posted.</t>
  </si>
  <si>
    <t>Line 1 minus line 4</t>
  </si>
  <si>
    <t>Base Amount</t>
  </si>
  <si>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</si>
  <si>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</si>
  <si>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</si>
  <si>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</si>
  <si>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</si>
  <si>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</si>
  <si>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</si>
  <si>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</si>
  <si>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</si>
  <si>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</si>
  <si>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</si>
  <si>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</si>
  <si>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Net cost</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</si>
  <si>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</si>
  <si>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</si>
  <si>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</si>
  <si>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</si>
  <si>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</si>
  <si>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</si>
  <si>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</si>
  <si>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</si>
  <si>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</si>
  <si>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</si>
  <si>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</si>
  <si>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</si>
  <si>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</si>
  <si>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</si>
  <si>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</si>
  <si>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</si>
  <si>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</si>
  <si>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</si>
  <si>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</si>
  <si>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</si>
  <si>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</si>
  <si>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</si>
  <si>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</si>
  <si>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</si>
  <si>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</si>
  <si>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</si>
  <si>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</si>
  <si>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</si>
  <si>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</si>
  <si>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(amount from line 310 of your federal Schedule 1)</t>
  </si>
  <si>
    <t xml:space="preserve">Employment Insurance premiums </t>
  </si>
  <si>
    <t>Tuition, Educational and Textbook Amounts</t>
  </si>
  <si>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</si>
  <si>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0"/>
      </rPr>
      <t>●</t>
    </r>
    <r>
      <rPr>
        <sz val="13"/>
        <color indexed="8"/>
        <rFont val="Arial"/>
        <family val="2"/>
      </rPr>
      <t xml:space="preserve"> calculate your tuition, education, and textbook amounts;</t>
    </r>
  </si>
  <si>
    <r>
      <t xml:space="preserve"> </t>
    </r>
    <r>
      <rPr>
        <sz val="13"/>
        <color indexed="8"/>
        <rFont val="Arial"/>
        <family val="0"/>
      </rPr>
      <t>●</t>
    </r>
    <r>
      <rPr>
        <sz val="13"/>
        <color indexed="8"/>
        <rFont val="Arial"/>
        <family val="2"/>
      </rPr>
      <t xml:space="preserve"> determine the amount available to transfer to a designated individual; and</t>
    </r>
  </si>
  <si>
    <r>
      <t xml:space="preserve"> </t>
    </r>
    <r>
      <rPr>
        <sz val="13"/>
        <color indexed="8"/>
        <rFont val="Arial"/>
        <family val="0"/>
      </rPr>
      <t>●</t>
    </r>
    <r>
      <rPr>
        <sz val="13"/>
        <color indexed="8"/>
        <rFont val="Arial"/>
        <family val="2"/>
      </rPr>
      <t xml:space="preserve"> determine the unused amount, if any, available for you to carry forward to a future year.</t>
    </r>
  </si>
  <si>
    <t>Only one claim per month (maximum 12 months)</t>
  </si>
  <si>
    <r>
      <t>Calculating your part-time amount:</t>
    </r>
    <r>
      <rPr>
        <sz val="13"/>
        <color indexed="8"/>
        <rFont val="Arial"/>
        <family val="2"/>
      </rPr>
      <t xml:space="preserve"> use column B of Forms T2202, T2202A, TL11A,</t>
    </r>
  </si>
  <si>
    <t>Education amount:</t>
  </si>
  <si>
    <t>Textbook amount:</t>
  </si>
  <si>
    <t>X  $20</t>
  </si>
  <si>
    <t>Line 3 plus line 4</t>
  </si>
  <si>
    <t>and TL11C.</t>
  </si>
  <si>
    <r>
      <t>Calculating your full-time amount:</t>
    </r>
    <r>
      <rPr>
        <sz val="13"/>
        <color indexed="8"/>
        <rFont val="Arial"/>
        <family val="2"/>
      </rPr>
      <t xml:space="preserve"> use column C of Forms T2202, T2202A, TL11A,</t>
    </r>
  </si>
  <si>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</si>
  <si>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</si>
  <si>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</si>
  <si>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</si>
  <si>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Add lines 2, 5, and 8.</t>
  </si>
  <si>
    <t xml:space="preserve">Total available tuition, education, and textbook amounts:  add lines 1 and 9. </t>
  </si>
  <si>
    <t>Total of lines 9 to 23 of Schedule 1</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</si>
  <si>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</si>
  <si>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</si>
  <si>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</si>
  <si>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</si>
  <si>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</si>
  <si>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r>
      <t>●</t>
    </r>
    <r>
      <rPr>
        <sz val="9"/>
        <color indexed="8"/>
        <rFont val="Arial"/>
        <family val="2"/>
      </rPr>
      <t xml:space="preserve"> </t>
    </r>
    <r>
      <rPr>
        <sz val="12"/>
        <color indexed="8"/>
        <rFont val="Arial"/>
        <family val="2"/>
      </rPr>
      <t>calculate your Nova Scotia tuition and educational amounts to claim on line 5856 of your Form NS428;</t>
    </r>
  </si>
  <si>
    <t>Deduction for CPP or QPP contributions on self-employment and other earnings</t>
  </si>
  <si>
    <t>Other employment expenses</t>
  </si>
  <si>
    <t xml:space="preserve">Other deductions </t>
  </si>
  <si>
    <t xml:space="preserve">Federal foreign tax credit: </t>
  </si>
  <si>
    <t>amount you calculated</t>
  </si>
  <si>
    <r>
      <t xml:space="preserve">use Form T2209, </t>
    </r>
    <r>
      <rPr>
        <i/>
        <sz val="12"/>
        <color indexed="8"/>
        <rFont val="Arial"/>
        <family val="2"/>
      </rPr>
      <t>Federal Foreign Tax Credits</t>
    </r>
    <r>
      <rPr>
        <sz val="12"/>
        <color indexed="8"/>
        <rFont val="Arial"/>
        <family val="2"/>
      </rPr>
      <t xml:space="preserve">, if you have foreign business income.  </t>
    </r>
    <r>
      <rPr>
        <b/>
        <sz val="12"/>
        <color indexed="8"/>
        <rFont val="Arial"/>
        <family val="2"/>
      </rPr>
      <t>Enter on this line the</t>
    </r>
  </si>
  <si>
    <t>Sheet
Name</t>
  </si>
  <si>
    <r>
      <t xml:space="preserve">The </t>
    </r>
    <r>
      <rPr>
        <b/>
        <sz val="12"/>
        <rFont val="Arial MT"/>
        <family val="0"/>
      </rPr>
      <t>User Data</t>
    </r>
    <r>
      <rPr>
        <sz val="12"/>
        <rFont val="Arial MT"/>
        <family val="0"/>
      </rPr>
      <t xml:space="preserve"> field has a status of YES when the sheet has received data</t>
    </r>
  </si>
  <si>
    <t>Enter the federal amount designated in your name on his or her Form T2202 or T2202A, TL11A or TL11C</t>
  </si>
  <si>
    <t>Line 315 - Caregiver amount</t>
  </si>
  <si>
    <t xml:space="preserve">    </t>
  </si>
  <si>
    <t>We welcome your suggestions on ways to improve MyTAX.</t>
  </si>
  <si>
    <t xml:space="preserve">     </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</si>
  <si>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</si>
  <si>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</si>
  <si>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</si>
  <si>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</si>
  <si>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</si>
  <si>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</si>
  <si>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For example, if you have the following amounts in three box 10's:  21500.00, 1467.33, 991.56, </t>
  </si>
  <si>
    <t>common-law partner's Form NS428</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</si>
  <si>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</si>
  <si>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</si>
  <si>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</si>
  <si>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Line 306, 315 and/or 331 - Attach a separate sheet of paper if you need more space.</t>
  </si>
  <si>
    <t>Birth</t>
  </si>
  <si>
    <t>Nature of the infirmity
(if it applies)</t>
  </si>
  <si>
    <t>charitable donations shown on your T4 and T4A slips.  See line 349 in the guide for more information.</t>
  </si>
  <si>
    <t>Provincial Tuition and Educational Amounts</t>
  </si>
  <si>
    <t>(maximum $1000)</t>
  </si>
  <si>
    <t>Enter his or her claim for the disability amount (see line 316 in the guide)</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</si>
  <si>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</si>
  <si>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</si>
  <si>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</si>
  <si>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</si>
  <si>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</si>
  <si>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</si>
  <si>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</si>
  <si>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</si>
  <si>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</si>
  <si>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</si>
  <si>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</si>
  <si>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</si>
  <si>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</si>
  <si>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</si>
  <si>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x8.79%</t>
  </si>
  <si>
    <t>x17.5%</t>
  </si>
  <si>
    <t xml:space="preserve">If, at the end of the year, you and your dependant were not residents of the same province or territory, </t>
  </si>
  <si>
    <t>Data is used only if you select the YES option on line 5820 of the QUAL spreadsheet</t>
  </si>
  <si>
    <t>Note:  For this amount to be transferred to line 306</t>
  </si>
  <si>
    <t xml:space="preserve">Other income from Canadian </t>
  </si>
  <si>
    <t>Rate</t>
  </si>
  <si>
    <r>
      <t xml:space="preserve">Add lines 6 and 7           </t>
    </r>
    <r>
      <rPr>
        <b/>
        <sz val="12"/>
        <color indexed="8"/>
        <rFont val="Arial"/>
        <family val="2"/>
      </rPr>
      <t>Nova Scotia tax</t>
    </r>
  </si>
  <si>
    <t>Medical expenses for other dependant.</t>
  </si>
  <si>
    <t>Enter dependant's net income (from line 236 of his or her return).</t>
  </si>
  <si>
    <t>Result: (a-b-c) or 0 if negative, +d</t>
  </si>
  <si>
    <t>Net Income</t>
  </si>
  <si>
    <t>Gross</t>
  </si>
  <si>
    <t>README</t>
  </si>
  <si>
    <t>THIS SHEET IS UNDER CONTSTRUCTION.  DO NOT USE.  ENTER T3 DATA DIRECTLY ON MISC SHEET</t>
  </si>
  <si>
    <t>THIS SHEET IS UNDER CONSTRUCTION.  DO NOT USE.  ENTER T5 DATA DIRECTLY ON MISC SHEET</t>
  </si>
  <si>
    <t>Telephone:</t>
  </si>
  <si>
    <t xml:space="preserve">     continue for an indefinite period. Attach a statement from the attending physician certifying this information.</t>
  </si>
  <si>
    <t>Part D does not apply to the person with the lower net income since the other person will claim this part of the deduction for both of them.</t>
  </si>
  <si>
    <t>Schedule NS(S2)</t>
  </si>
  <si>
    <t>Enter the amount from line 5836 of his or her Form NS428</t>
  </si>
  <si>
    <t>Enter the amount from line 5844 of his or her Form NS428</t>
  </si>
  <si>
    <t>Enter the amount from line 1 of his or her Form NS428</t>
  </si>
  <si>
    <t>316 set the option for line 316 to YES on the QUAL sheet</t>
  </si>
  <si>
    <t>Note: For the amount in 6 above to be transferred to line</t>
  </si>
  <si>
    <t>Note:  For the amount above to be transferred to line 315</t>
  </si>
  <si>
    <t>Add lines 4, 5, and 6.</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</si>
  <si>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</si>
  <si>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</si>
  <si>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</si>
  <si>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</si>
  <si>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</si>
  <si>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</si>
  <si>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</si>
  <si>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</si>
  <si>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</si>
  <si>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</si>
  <si>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</si>
  <si>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</si>
  <si>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</si>
  <si>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</si>
  <si>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</si>
  <si>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</si>
  <si>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</si>
  <si>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</si>
  <si>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</si>
  <si>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</si>
  <si>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</si>
  <si>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</si>
  <si>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</si>
  <si>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</si>
  <si>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</si>
  <si>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See the guide for details</t>
  </si>
  <si>
    <r>
      <t>Born in</t>
    </r>
  </si>
  <si>
    <r>
      <t>Born in</t>
    </r>
    <r>
      <rPr>
        <sz val="12"/>
        <rFont val="Arial MT"/>
        <family val="0"/>
      </rPr>
      <t xml:space="preserve"> </t>
    </r>
  </si>
  <si>
    <t>of the following columns you have to complete.</t>
  </si>
  <si>
    <t>314-Line 2</t>
  </si>
  <si>
    <t>CPT20</t>
  </si>
  <si>
    <t>Net federal tax</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</si>
  <si>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</si>
  <si>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</si>
  <si>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</si>
  <si>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</si>
  <si>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</si>
  <si>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</si>
  <si>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</si>
  <si>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</si>
  <si>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</si>
  <si>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</si>
  <si>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</si>
  <si>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</si>
  <si>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</si>
  <si>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</si>
  <si>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Living common law</t>
  </si>
  <si>
    <t>Enter your province or territory of</t>
  </si>
  <si>
    <t xml:space="preserve">Line 344 minus line 345 </t>
  </si>
  <si>
    <t>X 29% =</t>
  </si>
  <si>
    <t xml:space="preserve">Donations and gifts: </t>
  </si>
  <si>
    <t xml:space="preserve"> Add lines 7 and 8</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</si>
  <si>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</si>
  <si>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</si>
  <si>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</si>
  <si>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</si>
  <si>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</si>
  <si>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</si>
  <si>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</si>
  <si>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</si>
  <si>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</si>
  <si>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</si>
  <si>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</si>
  <si>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</si>
  <si>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</si>
  <si>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</si>
  <si>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</si>
  <si>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t>Dependant's net income (from line 236 of his or her return)</t>
  </si>
  <si>
    <t>STATEMENT(S) OF REMUNERATION PAID</t>
  </si>
  <si>
    <t>Welcome to the data entry interface for your T4 slips.</t>
  </si>
  <si>
    <t>If you are transferring an amount to another individual, continue on line 17.</t>
  </si>
  <si>
    <t>406</t>
  </si>
  <si>
    <t>Support payments received</t>
  </si>
  <si>
    <t>Other income</t>
  </si>
  <si>
    <t xml:space="preserve">  Business income</t>
  </si>
  <si>
    <t xml:space="preserve">  Professional income</t>
  </si>
  <si>
    <t xml:space="preserve">  Commission Income</t>
  </si>
  <si>
    <t xml:space="preserve">  Farming Income</t>
  </si>
  <si>
    <t xml:space="preserve">  Fishing Income</t>
  </si>
  <si>
    <r>
      <t xml:space="preserve">Enter, on line 5820 of Form NS428, the total amount claimed for </t>
    </r>
    <r>
      <rPr>
        <b/>
        <sz val="12"/>
        <color indexed="8"/>
        <rFont val="Arial"/>
        <family val="2"/>
      </rPr>
      <t>all</t>
    </r>
    <r>
      <rPr>
        <sz val="12"/>
        <color indexed="8"/>
        <rFont val="Arial"/>
        <family val="2"/>
      </rPr>
      <t xml:space="preserve"> dependants.</t>
    </r>
  </si>
  <si>
    <t>Line 1 minus line 2 (if negative, enter "0"); if it is more than $4,176, enter $4,176.</t>
  </si>
  <si>
    <t>Enter, on line 5840 of Form NS428, the total amount claimed for all dependants.</t>
  </si>
  <si>
    <r>
      <t xml:space="preserve">Line 5844 - Disability amount </t>
    </r>
    <r>
      <rPr>
        <b/>
        <sz val="12"/>
        <color indexed="8"/>
        <rFont val="Arial"/>
        <family val="2"/>
      </rPr>
      <t xml:space="preserve">(supplement </t>
    </r>
    <r>
      <rPr>
        <sz val="12"/>
        <color indexed="8"/>
        <rFont val="Arial"/>
        <family val="2"/>
      </rPr>
      <t xml:space="preserve">calculation if you were </t>
    </r>
    <r>
      <rPr>
        <b/>
        <sz val="12"/>
        <color indexed="8"/>
        <rFont val="Arial"/>
        <family val="2"/>
      </rPr>
      <t xml:space="preserve">under age 18 </t>
    </r>
    <r>
      <rPr>
        <sz val="12"/>
        <color indexed="8"/>
        <rFont val="Arial"/>
        <family val="2"/>
      </rPr>
      <t>on</t>
    </r>
  </si>
  <si>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</si>
  <si>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Refund of investment tax credit (</t>
    </r>
    <r>
      <rPr>
        <b/>
        <sz val="12"/>
        <color indexed="8"/>
        <rFont val="Arial"/>
        <family val="2"/>
      </rPr>
      <t>attach</t>
    </r>
    <r>
      <rPr>
        <sz val="12"/>
        <color indexed="8"/>
        <rFont val="Arial"/>
        <family val="2"/>
      </rPr>
      <t xml:space="preserve"> Form T2038(IND))</t>
    </r>
  </si>
  <si>
    <r>
      <t xml:space="preserve">information only, </t>
    </r>
    <r>
      <rPr>
        <b/>
        <sz val="12"/>
        <color indexed="8"/>
        <rFont val="Arial"/>
        <family val="2"/>
      </rPr>
      <t>attach</t>
    </r>
    <r>
      <rPr>
        <sz val="12"/>
        <color indexed="8"/>
        <rFont val="Arial"/>
        <family val="2"/>
      </rPr>
      <t xml:space="preserve"> a "void" cheque or complete lines 460, 461, and 462.</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</si>
  <si>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</si>
  <si>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</si>
  <si>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</si>
  <si>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</si>
  <si>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</si>
  <si>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</si>
  <si>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</si>
  <si>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</si>
  <si>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</si>
  <si>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</si>
  <si>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</si>
  <si>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</si>
  <si>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</si>
  <si>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</si>
  <si>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</si>
  <si>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</si>
  <si>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</si>
  <si>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t>What's new by Canada Revenue Agency for 2006?</t>
  </si>
  <si>
    <t>maximum amount is increased to $1,000. See page 49 for</t>
  </si>
  <si>
    <t>Universal Child Care Benefit</t>
  </si>
  <si>
    <t>Line 117</t>
  </si>
  <si>
    <t>Line 120</t>
  </si>
  <si>
    <t xml:space="preserve"> Line 378</t>
  </si>
  <si>
    <t>Line 375</t>
  </si>
  <si>
    <t>Line 119</t>
  </si>
  <si>
    <t>Line 450</t>
  </si>
  <si>
    <t>Line 223</t>
  </si>
  <si>
    <t>Line 376</t>
  </si>
  <si>
    <t>Line 127</t>
  </si>
  <si>
    <t>Pamphlet P 113</t>
  </si>
  <si>
    <t>Line 130</t>
  </si>
  <si>
    <t>Line 229</t>
  </si>
  <si>
    <t>T4044</t>
  </si>
  <si>
    <t>Line 252</t>
  </si>
  <si>
    <t>Line 254</t>
  </si>
  <si>
    <t>T4037</t>
  </si>
  <si>
    <t>Line 301</t>
  </si>
  <si>
    <t>Line 363</t>
  </si>
  <si>
    <t>Line 364</t>
  </si>
  <si>
    <t>Line 314</t>
  </si>
  <si>
    <t>Line 323</t>
  </si>
  <si>
    <t>Textbook Amount</t>
  </si>
  <si>
    <t>education amount. See textbook amount for details.</t>
  </si>
  <si>
    <t>Line 412</t>
  </si>
  <si>
    <t>apprentice in your business. See T2038(IND) for details.</t>
  </si>
  <si>
    <t>Apprentice Job Creation 
Tax Credit</t>
  </si>
  <si>
    <t>Line 425</t>
  </si>
  <si>
    <t>Line 452</t>
  </si>
  <si>
    <r>
      <t>1)</t>
    </r>
    <r>
      <rPr>
        <sz val="14"/>
        <color indexed="8"/>
        <rFont val="Arial"/>
        <family val="2"/>
      </rPr>
      <t xml:space="preserve"> Versions of MyTAX  for 2005 and later do not use macros. </t>
    </r>
  </si>
  <si>
    <t xml:space="preserve">The update features uses Macros.  Unfortunately </t>
  </si>
  <si>
    <t>Please use the Paypal button on the website or mail cheque or cash to:</t>
  </si>
  <si>
    <t>CRA Website: What's New</t>
  </si>
  <si>
    <r>
      <t xml:space="preserve">The major changes below, including income tax changes have been announced but were not law at the time of printing. If they become law as proposed, they will be effective for 2006 or as of the dates indicated. For more details on these changes, </t>
    </r>
    <r>
      <rPr>
        <b/>
        <sz val="12"/>
        <rFont val="Arial MT"/>
        <family val="0"/>
      </rPr>
      <t>make an internet connection</t>
    </r>
    <r>
      <rPr>
        <sz val="12"/>
        <rFont val="Arial MT"/>
        <family val="0"/>
      </rPr>
      <t xml:space="preserve"> and click the link to the right of each description.</t>
    </r>
  </si>
  <si>
    <t>Enter the bottom line number(s) from your paper form into the appropriate cell in MyTAX.</t>
  </si>
  <si>
    <r>
      <t>Foreign non-business income</t>
    </r>
    <r>
      <rPr>
        <sz val="14"/>
        <color indexed="8"/>
        <rFont val="Arial"/>
        <family val="2"/>
      </rPr>
      <t xml:space="preserve">  Sch1</t>
    </r>
  </si>
  <si>
    <r>
      <t>Foreign capital gains or losses</t>
    </r>
    <r>
      <rPr>
        <sz val="14"/>
        <color indexed="8"/>
        <rFont val="Arial"/>
        <family val="2"/>
      </rPr>
      <t xml:space="preserve"> Sch1</t>
    </r>
  </si>
  <si>
    <t>As a Canadian resident, you have to report your income from all sources both inside and outside Canada.</t>
  </si>
  <si>
    <t>Employment income (box 14 on all T4 Slips)</t>
  </si>
  <si>
    <t>Other employment income</t>
  </si>
  <si>
    <t>CPP or QPP benefits (box 20 on the T4A(P) slip)</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</si>
  <si>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</si>
  <si>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</si>
  <si>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</si>
  <si>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</si>
  <si>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</si>
  <si>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</si>
  <si>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</si>
  <si>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</si>
  <si>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</si>
  <si>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</si>
  <si>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    Part 2 - Calculating your Employment Insurance (EI) overpayment</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</si>
  <si>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</si>
  <si>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</si>
  <si>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</si>
  <si>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    Part 1-Calculating your Canada Pension Plan overpayment</t>
  </si>
  <si>
    <t>applicable number of months:</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</si>
  <si>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</si>
  <si>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r>
      <t>Enter the amount from line 4 or 5, whichever is less, on</t>
    </r>
    <r>
      <rPr>
        <b/>
        <sz val="9"/>
        <color indexed="8"/>
        <rFont val="Arial"/>
        <family val="2"/>
      </rPr>
      <t xml:space="preserve"> line 308</t>
    </r>
    <r>
      <rPr>
        <sz val="9"/>
        <color indexed="8"/>
        <rFont val="Arial"/>
        <family val="2"/>
      </rPr>
      <t xml:space="preserve"> of Schedule 1 and , if it applies, on line </t>
    </r>
    <r>
      <rPr>
        <b/>
        <sz val="9"/>
        <color indexed="8"/>
        <rFont val="Arial"/>
        <family val="2"/>
      </rPr>
      <t>5824</t>
    </r>
    <r>
      <rPr>
        <sz val="9"/>
        <color indexed="8"/>
        <rFont val="Arial"/>
        <family val="2"/>
      </rPr>
      <t xml:space="preserve"> of Form 428.</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</si>
  <si>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</si>
  <si>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</si>
  <si>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</si>
  <si>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</si>
  <si>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</si>
  <si>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Add lines 2, 3, and 4</t>
  </si>
  <si>
    <t xml:space="preserve">Add lines 1 and 5 </t>
  </si>
  <si>
    <t>Royalties from Canadian sources</t>
  </si>
  <si>
    <t>Capital gains dividends - Period 3</t>
  </si>
  <si>
    <t>Accured income</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</si>
  <si>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</si>
  <si>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</si>
  <si>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</si>
  <si>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</si>
  <si>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</si>
  <si>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</si>
  <si>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</si>
  <si>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</si>
  <si>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</si>
  <si>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</si>
  <si>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spouse or common-law partner's parent or grandparent.  To do this, you have to designate the individual on your</t>
  </si>
  <si>
    <t>The total 23958.89 will show in the cell.  The cell status line will still show the individual amounts in the formula you entered.</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</si>
  <si>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</si>
  <si>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</si>
  <si>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</si>
  <si>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</si>
  <si>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</si>
  <si>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</si>
  <si>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</si>
  <si>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</si>
  <si>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if line 1 is more</t>
  </si>
  <si>
    <t>Line 3 minus line 4 (if negative, enter "0")</t>
  </si>
  <si>
    <t>sources</t>
  </si>
  <si>
    <t>431,433</t>
  </si>
  <si>
    <t>115,121</t>
  </si>
  <si>
    <t>Social assistance payments or</t>
  </si>
  <si>
    <t>T2036</t>
  </si>
  <si>
    <t>Data is used only if you select the YES option on line 5840 of the QUAL spreadsheet</t>
  </si>
  <si>
    <r>
      <t>Federal foreign tax credit:</t>
    </r>
    <r>
      <rPr>
        <sz val="12"/>
        <color indexed="8"/>
        <rFont val="Arial"/>
        <family val="2"/>
      </rPr>
      <t xml:space="preserve"> (see lines 431 and 433 in the guide)</t>
    </r>
  </si>
  <si>
    <t xml:space="preserve">          Net income ** </t>
  </si>
  <si>
    <t>(ii)</t>
  </si>
  <si>
    <t>Basic federal tax***</t>
  </si>
  <si>
    <t>Sport and recreational expenses for children</t>
  </si>
  <si>
    <t>(see line 5849 in the forms book)</t>
  </si>
  <si>
    <t>Nova Scotia dividend tax credit;</t>
  </si>
  <si>
    <t>Line 1 minus line 2 (if negative, enter "0").  If it is more than $10,000, enter $10,000)</t>
  </si>
  <si>
    <t xml:space="preserve"> *  Reduce this amount by any income from that foreign country for which you claimed a capital gains deduction, and by any income from that country</t>
  </si>
  <si>
    <t>Base amount</t>
  </si>
  <si>
    <t>Line 2 minus line 3</t>
  </si>
  <si>
    <t>Do not</t>
  </si>
  <si>
    <t>use this area</t>
  </si>
  <si>
    <t>7</t>
  </si>
  <si>
    <t>Report code</t>
  </si>
  <si>
    <t>144,250</t>
  </si>
  <si>
    <t>145,250</t>
  </si>
  <si>
    <t>145</t>
  </si>
  <si>
    <t>self-employment:</t>
  </si>
  <si>
    <t>TAKE IT FROM APPROPRIATE MISC CELL.</t>
  </si>
  <si>
    <t>THIS SUMMARY DATA IS PICKED UP</t>
  </si>
  <si>
    <t>BY THE MISC SHEET.</t>
  </si>
  <si>
    <t>MISC TOTALS UP THE DATA FROM ALL</t>
  </si>
  <si>
    <t>THE INPUT SHEETS AND ALLOCATES IT.</t>
  </si>
  <si>
    <t>Total contributions</t>
  </si>
  <si>
    <r>
      <t xml:space="preserve">Line 1 minus line 2; if the result is more than $3,933, </t>
    </r>
    <r>
      <rPr>
        <b/>
        <sz val="14"/>
        <color indexed="8"/>
        <rFont val="Arial"/>
        <family val="2"/>
      </rPr>
      <t>enter $3,933</t>
    </r>
  </si>
  <si>
    <t>If you claimed this dependant on line 305 of schedule 1, enter the amount claimed.</t>
  </si>
  <si>
    <t>Allowable amount for this dependant: line 3 minus line 4 (if negative, enter "0")</t>
  </si>
  <si>
    <t>Line 318 - Disability amount transferred from a dependant</t>
  </si>
  <si>
    <t>Total of amounts your dependant can claim on lines 9 to 21 of his or her Schedule 1</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</si>
  <si>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</si>
  <si>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</si>
  <si>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</si>
  <si>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</si>
  <si>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</si>
  <si>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</si>
  <si>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Read the conditions for line 452 in your guide to determine if you can claim this credit.</t>
  </si>
  <si>
    <t>Capital loss from a reduction in your business investment loss</t>
  </si>
  <si>
    <r>
      <t xml:space="preserve">Enter the amount from line 4 or line 7, whichever is </t>
    </r>
    <r>
      <rPr>
        <b/>
        <sz val="9"/>
        <color indexed="8"/>
        <rFont val="Arial"/>
        <family val="2"/>
      </rPr>
      <t>greater</t>
    </r>
  </si>
  <si>
    <t>Allowable amount for this dependant: Line 3 minus line 4 (if negative, enter "0")</t>
  </si>
  <si>
    <t>Enter the total here:</t>
  </si>
  <si>
    <t>Number of weeks for</t>
  </si>
  <si>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</si>
  <si>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</si>
  <si>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</si>
  <si>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</si>
  <si>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Total of amounts on lines 448, 450, 457, and 476 of your return</t>
  </si>
  <si>
    <t>You may have to pay your 2007 taxes by installments if for 2007, and for either 2006 or 2005, the amount on line 5 is more than $2,000.</t>
  </si>
  <si>
    <t>Overpayment of Old Age Security benefits recovered (box 20 of your T4A(OAS) slip)</t>
  </si>
  <si>
    <t>EI benefits repayment from line 4 of the chart on the back of your T4E slip (if any)</t>
  </si>
  <si>
    <t>Universal Child Care Benefit (UCCB) (line 117 of your return)</t>
  </si>
  <si>
    <t>Line 7 plus line 8</t>
  </si>
  <si>
    <t>Line 6 minus line 9</t>
  </si>
  <si>
    <t>►</t>
  </si>
  <si>
    <t>Line 10 minus line11 (if negative, enter  "0")</t>
  </si>
  <si>
    <t>Multiply the amount on line 12 by 15%</t>
  </si>
  <si>
    <t>5914</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</si>
  <si>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</si>
  <si>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</si>
  <si>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</si>
  <si>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</si>
  <si>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</si>
  <si>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</si>
  <si>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</si>
  <si>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</si>
  <si>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</si>
  <si>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</si>
  <si>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</si>
  <si>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</si>
  <si>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</si>
  <si>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</si>
  <si>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Line 1 minus line 4 (if negative, enter "0")</t>
  </si>
  <si>
    <t>Enter the amount on line 7 on line 410 of Schedule 1.</t>
  </si>
  <si>
    <t>Line 2 minus line 3 (if negative, enter "0")</t>
  </si>
  <si>
    <t>Applicable rate</t>
  </si>
  <si>
    <t>Personal Income Tax Calculator for Canadians</t>
  </si>
  <si>
    <t>MyTAX</t>
  </si>
  <si>
    <t>Types of Fields</t>
  </si>
  <si>
    <t>350</t>
  </si>
  <si>
    <t>426</t>
  </si>
  <si>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</si>
  <si>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</si>
  <si>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</si>
  <si>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</si>
  <si>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</si>
  <si>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</si>
  <si>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above for your mailing address:</t>
  </si>
  <si>
    <t xml:space="preserve">from there.  The form will tell you what line in the main set of tax forms to enter the data. </t>
  </si>
  <si>
    <t>24</t>
  </si>
  <si>
    <t>EI insurable earnings</t>
  </si>
  <si>
    <t>26</t>
  </si>
  <si>
    <t>CPP-QPP pensionable earnings</t>
  </si>
  <si>
    <t xml:space="preserve"> 5000-S8</t>
  </si>
  <si>
    <t>claim $3,500</t>
  </si>
  <si>
    <t>T776</t>
  </si>
  <si>
    <r>
      <t xml:space="preserve">section called "Are you enrolled in an educational program?". </t>
    </r>
    <r>
      <rPr>
        <b/>
        <sz val="12"/>
        <rFont val="Arial MT"/>
        <family val="0"/>
      </rPr>
      <t>But first, complete Part C.</t>
    </r>
  </si>
  <si>
    <r>
      <t xml:space="preserve">there was no </t>
    </r>
    <r>
      <rPr>
        <b/>
        <sz val="12"/>
        <rFont val="Arial MT"/>
        <family val="0"/>
      </rPr>
      <t>other person</t>
    </r>
    <r>
      <rPr>
        <sz val="12"/>
        <rFont val="Arial MT"/>
        <family val="0"/>
      </rPr>
      <t xml:space="preserve"> (as described in the section called "Who can claim child care expenses?")</t>
    </r>
  </si>
  <si>
    <t>Enter the amount from line 18, 19, 20, 21, or (if it applies) 22, whichever is less</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</si>
  <si>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</si>
  <si>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</si>
  <si>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</si>
  <si>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</si>
  <si>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</si>
  <si>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Other payments deduction (if you reported income on line 147, see line 250 in the guide)</t>
  </si>
  <si>
    <t>Enter the amount from line 10</t>
  </si>
  <si>
    <t>Enter the amount from line 17</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</si>
  <si>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</si>
  <si>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</si>
  <si>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</si>
  <si>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</si>
  <si>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</si>
  <si>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</si>
  <si>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</si>
  <si>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t xml:space="preserve">Form T2202 or T2202A, TL11A or TL11C and specify the federal amount that you are transferring to him or her.  </t>
  </si>
  <si>
    <t>Enter the amount you are transferring on line 24 below.</t>
  </si>
  <si>
    <r>
      <t>Federal amount transferred</t>
    </r>
    <r>
      <rPr>
        <sz val="13"/>
        <color indexed="8"/>
        <rFont val="Arial"/>
        <family val="2"/>
      </rPr>
      <t xml:space="preserve"> (cannot be more than the amount on line 23)</t>
    </r>
  </si>
  <si>
    <t>Line 20 minus line 24</t>
  </si>
  <si>
    <r>
      <t xml:space="preserve">   Notice of Assessment </t>
    </r>
    <r>
      <rPr>
        <sz val="13"/>
        <color indexed="8"/>
        <rFont val="Arial"/>
        <family val="2"/>
      </rPr>
      <t>or</t>
    </r>
    <r>
      <rPr>
        <i/>
        <sz val="13"/>
        <color indexed="8"/>
        <rFont val="Arial"/>
        <family val="2"/>
      </rPr>
      <t xml:space="preserve"> Notice of Reassessment      </t>
    </r>
  </si>
  <si>
    <t>Line 6 plus line 7</t>
  </si>
  <si>
    <t xml:space="preserve"> add lines 14 and 16</t>
  </si>
  <si>
    <t>Transfer/Carry forward of unused amount</t>
  </si>
  <si>
    <t>(see line 5836 in the forms book)</t>
  </si>
  <si>
    <t>(see line 5844 in the forms book)</t>
  </si>
  <si>
    <t>special rules may apply.  Call the Canada Revenue Agency to determine the amount you can claim.</t>
  </si>
  <si>
    <t>Version 2006-1.0f</t>
  </si>
  <si>
    <t>Multiply line 65 by line 66</t>
  </si>
  <si>
    <t>Line 58 minus line 67 (if negative, enter "0")</t>
  </si>
  <si>
    <t>Line 53 minus line 68 (if negative, enter "0").</t>
  </si>
  <si>
    <t>Nova Scotia political contributions made in 2006</t>
  </si>
  <si>
    <r>
      <t xml:space="preserve">Credit calculated for line 71 on the </t>
    </r>
    <r>
      <rPr>
        <i/>
        <sz val="12"/>
        <color indexed="8"/>
        <rFont val="Arial"/>
        <family val="2"/>
      </rPr>
      <t>Provincial Worksheet</t>
    </r>
  </si>
  <si>
    <t>Labour-sponsored venture capital tax credit</t>
  </si>
  <si>
    <t>Line 72 minus line 73 (if negative, enter "0")</t>
  </si>
  <si>
    <t>Post-secondary graduate tax credit</t>
  </si>
  <si>
    <t>Post-secondary graduate tax credit (see line 75 in the forms book)</t>
  </si>
  <si>
    <t>Line 74 minus line 75 (if negative, enter "0")</t>
  </si>
  <si>
    <t>Enter the equity tax credit calculated on Form T1285</t>
  </si>
  <si>
    <t>Line 76 minus line 77 (if negative, enter "0")</t>
  </si>
  <si>
    <t>x 20% = (max $1,000)</t>
  </si>
  <si>
    <t>claim $1,000</t>
  </si>
  <si>
    <t>76</t>
  </si>
  <si>
    <r>
      <t>●</t>
    </r>
    <r>
      <rPr>
        <b/>
        <sz val="12"/>
        <color indexed="8"/>
        <rFont val="Arial"/>
        <family val="2"/>
      </rPr>
      <t>73</t>
    </r>
  </si>
  <si>
    <t>Nova Scotia</t>
  </si>
  <si>
    <t>Line 71 - Nova Scotia political contribution tax credit</t>
  </si>
  <si>
    <t>Determine the amount to enter on line 71 of Form NS428 as follows:</t>
  </si>
  <si>
    <t>Enter the result on line 71 of Form NS428.</t>
  </si>
  <si>
    <t>This form not used by Nova Scotia this year.</t>
  </si>
  <si>
    <t>Tax Credits are on NS428  &amp; NS Work Sheet instead</t>
  </si>
  <si>
    <t>Amount for young children    Number of Months</t>
  </si>
  <si>
    <r>
      <t xml:space="preserve">Use these charts to do the calculations you may need to complete Form NS428, </t>
    </r>
    <r>
      <rPr>
        <i/>
        <sz val="12"/>
        <color indexed="8"/>
        <rFont val="Arial"/>
        <family val="2"/>
      </rPr>
      <t xml:space="preserve">Nova Scotia Tax </t>
    </r>
    <r>
      <rPr>
        <sz val="12"/>
        <color indexed="8"/>
        <rFont val="Arial"/>
        <family val="2"/>
      </rPr>
      <t xml:space="preserve">and </t>
    </r>
    <r>
      <rPr>
        <i/>
        <sz val="12"/>
        <color indexed="8"/>
        <rFont val="Arial"/>
        <family val="2"/>
      </rPr>
      <t>Credits.</t>
    </r>
  </si>
  <si>
    <t>You can find more information about completing these charts on pages 1 to 5 of the forms book.</t>
  </si>
  <si>
    <t xml:space="preserve">                          (see line 5844 in the forms book)</t>
  </si>
  <si>
    <r>
      <t xml:space="preserve">Enter $1637 or 3% of dependants income, whichever is </t>
    </r>
    <r>
      <rPr>
        <b/>
        <sz val="12"/>
        <color indexed="8"/>
        <rFont val="Arial"/>
        <family val="2"/>
      </rPr>
      <t>less</t>
    </r>
  </si>
  <si>
    <t>Line 6152  -  Nova Scotia dividend tax credit</t>
  </si>
  <si>
    <r>
      <t xml:space="preserve">Enter, on line 5844 of Form NS428, </t>
    </r>
    <r>
      <rPr>
        <b/>
        <sz val="12"/>
        <color indexed="8"/>
        <rFont val="Arial"/>
        <family val="2"/>
      </rPr>
      <t>the amount on line 5 plus $4293</t>
    </r>
    <r>
      <rPr>
        <sz val="12"/>
        <color indexed="8"/>
        <rFont val="Arial"/>
        <family val="2"/>
      </rPr>
      <t xml:space="preserve"> (maximum claim $7,234), </t>
    </r>
    <r>
      <rPr>
        <b/>
        <sz val="12"/>
        <color indexed="8"/>
        <rFont val="Arial"/>
        <family val="2"/>
      </rPr>
      <t>unless</t>
    </r>
    <r>
      <rPr>
        <sz val="12"/>
        <color indexed="8"/>
        <rFont val="Arial"/>
        <family val="2"/>
      </rPr>
      <t xml:space="preserve"> this</t>
    </r>
  </si>
  <si>
    <t>Line 69 minus line  71 (if negative, enter "0")</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</si>
  <si>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</si>
  <si>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</si>
  <si>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your latest </t>
    </r>
    <r>
      <rPr>
        <i/>
        <sz val="12"/>
        <color indexed="8"/>
        <rFont val="Arial"/>
        <family val="2"/>
      </rPr>
      <t>Notice</t>
    </r>
  </si>
  <si>
    <t>Total RRSP contributions: Add lines 1 and 4.</t>
  </si>
  <si>
    <r>
      <t xml:space="preserve">line 9, </t>
    </r>
    <r>
      <rPr>
        <b/>
        <sz val="12"/>
        <color indexed="8"/>
        <rFont val="Arial"/>
        <family val="2"/>
      </rPr>
      <t>excluding transfers</t>
    </r>
    <r>
      <rPr>
        <sz val="12"/>
        <color indexed="8"/>
        <rFont val="Arial"/>
        <family val="2"/>
      </rPr>
      <t>, and your RRSP deduction limit for</t>
    </r>
  </si>
  <si>
    <r>
      <t xml:space="preserve">" on your latest </t>
    </r>
    <r>
      <rPr>
        <i/>
        <sz val="12"/>
        <color indexed="8"/>
        <rFont val="Arial"/>
        <family val="2"/>
      </rPr>
      <t>Notice of Assessment, Notice of</t>
    </r>
  </si>
  <si>
    <r>
      <t>Reassessment,</t>
    </r>
    <r>
      <rPr>
        <sz val="12"/>
        <color indexed="8"/>
        <rFont val="Arial"/>
        <family val="2"/>
      </rPr>
      <t xml:space="preserve"> or Form T1028,  RRSP</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</si>
  <si>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</si>
  <si>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</si>
  <si>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</si>
  <si>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 xml:space="preserve">   Limit Statement" on your latest </t>
    </r>
    <r>
      <rPr>
        <i/>
        <sz val="12"/>
        <color indexed="8"/>
        <rFont val="Arial"/>
        <family val="2"/>
      </rPr>
      <t>Notice of Assessment, Notice of Reassessment</t>
    </r>
    <r>
      <rPr>
        <sz val="12"/>
        <color indexed="8"/>
        <rFont val="Arial"/>
        <family val="2"/>
      </rPr>
      <t xml:space="preserve">, or Form T1028, </t>
    </r>
    <r>
      <rPr>
        <i/>
        <sz val="12"/>
        <color indexed="8"/>
        <rFont val="Arial"/>
        <family val="2"/>
      </rPr>
      <t>RRSP information</t>
    </r>
  </si>
  <si>
    <r>
      <t>Do</t>
    </r>
    <r>
      <rPr>
        <b/>
        <sz val="12"/>
        <color indexed="8"/>
        <rFont val="Arial"/>
        <family val="2"/>
      </rPr>
      <t xml:space="preserve"> not</t>
    </r>
    <r>
      <rPr>
        <sz val="12"/>
        <color indexed="8"/>
        <rFont val="Arial"/>
        <family val="2"/>
      </rPr>
      <t xml:space="preserve"> include an amount you deducted or designated as a</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</si>
  <si>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</si>
  <si>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0"/>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</si>
  <si>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0"/>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</si>
  <si>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0"/>
      </rPr>
      <t>●</t>
    </r>
    <r>
      <rPr>
        <sz val="9"/>
        <color indexed="8"/>
        <rFont val="Arial"/>
        <family val="2"/>
      </rPr>
      <t xml:space="preserve"> </t>
    </r>
    <r>
      <rPr>
        <sz val="12"/>
        <color indexed="8"/>
        <rFont val="Arial"/>
        <family val="2"/>
      </rPr>
      <t>you made an election on Form CPT20 to pay additional CPP contributions on other earnings.</t>
    </r>
  </si>
  <si>
    <t>Add lines 1 and 2 (if the result is negative, enter "0").</t>
  </si>
  <si>
    <t xml:space="preserve"> (maximum $38,600)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</si>
  <si>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</si>
  <si>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</si>
  <si>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</si>
  <si>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</si>
  <si>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</si>
  <si>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</si>
  <si>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</si>
  <si>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</si>
  <si>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</si>
  <si>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</si>
  <si>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</si>
  <si>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</si>
  <si>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</si>
  <si>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</si>
  <si>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</si>
  <si>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</si>
  <si>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t>you would position the cursor the data entry line 114 below, and then key in</t>
  </si>
  <si>
    <t>Box #</t>
  </si>
  <si>
    <t>See line 323 in the guide for more information.</t>
  </si>
  <si>
    <t xml:space="preserve">Add lines 420 to 428 </t>
  </si>
  <si>
    <t>Part XII.2 trust tax credit (box 38 on all T3 slips)</t>
  </si>
  <si>
    <t xml:space="preserve">Add lines 437 to 479  </t>
  </si>
  <si>
    <t>Description</t>
  </si>
  <si>
    <t>claim $300</t>
  </si>
  <si>
    <t>Reduction for spouse or common-law partner</t>
  </si>
  <si>
    <t>Reduction for an eligible dependant claimed at line 5816</t>
  </si>
  <si>
    <t>Number of dependent children</t>
  </si>
  <si>
    <t>6099</t>
  </si>
  <si>
    <t>x $165</t>
  </si>
  <si>
    <t>Enter your net income from line 236 of your return</t>
  </si>
  <si>
    <t>from page 1 of your return</t>
  </si>
  <si>
    <t xml:space="preserve">Line 235 - Social benefits repayment </t>
  </si>
  <si>
    <t>Amount from line 113 of your return</t>
  </si>
  <si>
    <t>Amount from line 146 of your return</t>
  </si>
  <si>
    <t>Call Canada Revenue Agency for details.</t>
  </si>
  <si>
    <t>Enter the amount from line 5; if it is more than $5,000 enter $5,000.</t>
  </si>
  <si>
    <r>
      <t>●</t>
    </r>
    <r>
      <rPr>
        <sz val="9"/>
        <color indexed="8"/>
        <rFont val="Arial"/>
        <family val="2"/>
      </rPr>
      <t xml:space="preserve"> </t>
    </r>
    <r>
      <rPr>
        <sz val="12"/>
        <color indexed="8"/>
        <rFont val="Arial"/>
        <family val="2"/>
      </rPr>
      <t>determine the provincial amount available to transfer to another designated individual; and</t>
    </r>
  </si>
  <si>
    <r>
      <t>●</t>
    </r>
    <r>
      <rPr>
        <sz val="12"/>
        <color indexed="8"/>
        <rFont val="Arial"/>
        <family val="2"/>
      </rPr>
      <t xml:space="preserve"> determine the unused provincial amount, if any, available for you to carry forward to a future year.</t>
    </r>
  </si>
  <si>
    <r>
      <t xml:space="preserve">Only the student </t>
    </r>
    <r>
      <rPr>
        <sz val="12"/>
        <color indexed="8"/>
        <rFont val="Arial"/>
        <family val="2"/>
      </rPr>
      <t>attaches this schedule to his or her return.</t>
    </r>
  </si>
  <si>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</si>
  <si>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</si>
  <si>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</si>
  <si>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 xml:space="preserve">Check this box if you want to designate your spouse or common-law partner as the </t>
  </si>
  <si>
    <t>If you have more than five T5 forms, you can add the data from the extra ones as a sum rather than a single #.</t>
  </si>
  <si>
    <t>Data
T5 #1</t>
  </si>
  <si>
    <t>If you have more than five T5007 forms, you can add the data from the extra ones as a sum rather than a single #.</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</si>
  <si>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</si>
  <si>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</si>
  <si>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</si>
  <si>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</si>
  <si>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</si>
  <si>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</si>
  <si>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</si>
  <si>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</si>
  <si>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</si>
  <si>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</si>
  <si>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</si>
  <si>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</si>
  <si>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</si>
  <si>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</si>
  <si>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</si>
  <si>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</si>
  <si>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</si>
  <si>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t>Cost of shares from Form NSLSV</t>
  </si>
  <si>
    <t>of claim</t>
  </si>
  <si>
    <t>If your spouse or common-law partner is not filing a return, use the amounts that he or she would enter on his or her return, schedules,</t>
  </si>
  <si>
    <t>T1206</t>
  </si>
  <si>
    <t>170</t>
  </si>
  <si>
    <t>STATEMENT OF FISHING INCOME</t>
  </si>
  <si>
    <t>Line 5820 - Amount for infirm dependants age 18 or older</t>
  </si>
  <si>
    <t>Dependant's net income (line 236 of his or her return)</t>
  </si>
  <si>
    <t>Provincial Amounts Transferred</t>
  </si>
  <si>
    <t>From Your Spouse or Common-law Partner</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</si>
  <si>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</si>
  <si>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</si>
  <si>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</si>
  <si>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r>
      <t xml:space="preserve">Attach to page 1 a </t>
    </r>
    <r>
      <rPr>
        <b/>
        <sz val="12"/>
        <color indexed="8"/>
        <rFont val="Arial"/>
        <family val="2"/>
      </rPr>
      <t>cheque</t>
    </r>
    <r>
      <rPr>
        <sz val="12"/>
        <color indexed="8"/>
        <rFont val="Arial"/>
        <family val="2"/>
      </rPr>
      <t xml:space="preserve"> or </t>
    </r>
    <r>
      <rPr>
        <b/>
        <sz val="12"/>
        <color indexed="8"/>
        <rFont val="Arial"/>
        <family val="2"/>
      </rPr>
      <t>money order</t>
    </r>
    <r>
      <rPr>
        <sz val="12"/>
        <color indexed="8"/>
        <rFont val="Arial"/>
        <family val="2"/>
      </rPr>
      <t xml:space="preserve"> payable to the Receiver General.</t>
    </r>
  </si>
  <si>
    <t xml:space="preserve">   Base amount</t>
  </si>
  <si>
    <t>Enter this amount on line 5864 of your Form NS428.</t>
  </si>
  <si>
    <t>Schedule NS(S11)</t>
  </si>
  <si>
    <t xml:space="preserve">Amount for line 5844: </t>
  </si>
  <si>
    <t xml:space="preserve">Total amount claimed for all dependants: </t>
  </si>
  <si>
    <t>Disability amount transferred</t>
  </si>
  <si>
    <t>Note:  For the amount above to be transferred to line 318</t>
  </si>
  <si>
    <t>set the option  for line 318 to YES in the QUAL sheet</t>
  </si>
  <si>
    <t>section called "Are you enrolled in an education program?" on the attached information sheet.</t>
  </si>
  <si>
    <r>
      <t xml:space="preserve">You were the </t>
    </r>
    <r>
      <rPr>
        <b/>
        <sz val="12"/>
        <rFont val="Arial MT"/>
        <family val="0"/>
      </rPr>
      <t>person with the higher net income,</t>
    </r>
    <r>
      <rPr>
        <sz val="12"/>
        <rFont val="Arial MT"/>
        <family val="0"/>
      </rPr>
      <t xml:space="preserve"> line 7 equals line 6 in Part B, and, at the same time in</t>
    </r>
  </si>
  <si>
    <r>
      <t>person</t>
    </r>
    <r>
      <rPr>
        <sz val="12"/>
        <rFont val="Arial MT"/>
        <family val="0"/>
      </rPr>
      <t xml:space="preserve"> (as described in the section called "Who can claim child care expenses?") were enrolled in a program described in the </t>
    </r>
  </si>
  <si>
    <t>(amount from line 308 of your federal Schedule 1)</t>
  </si>
  <si>
    <t>[attach Schedule NS(S11)]</t>
  </si>
  <si>
    <t>[attach Schedule NS(S2)]</t>
  </si>
  <si>
    <t xml:space="preserve">     Amount from line 345 of your federal Schedule 9</t>
  </si>
  <si>
    <t xml:space="preserve">     Amount from line 347 of your federal Schedule 9</t>
  </si>
  <si>
    <t>110</t>
  </si>
  <si>
    <t>174</t>
  </si>
  <si>
    <t>Sch4</t>
  </si>
  <si>
    <t>Sch7</t>
  </si>
  <si>
    <t>337</t>
  </si>
  <si>
    <t>339</t>
  </si>
  <si>
    <t>342</t>
  </si>
  <si>
    <t>T1129</t>
  </si>
  <si>
    <t xml:space="preserve"> 5000-S7</t>
  </si>
  <si>
    <t>Employment earnings not shown on a T4 slip on which you elect to pay additional CPP contributions</t>
  </si>
  <si>
    <t>(this amount already includes the amount entered on line 11 of Form CPT20, if it applies)</t>
  </si>
  <si>
    <t>Installments</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</si>
  <si>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</si>
  <si>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</si>
  <si>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</si>
  <si>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</si>
  <si>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</si>
  <si>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</si>
  <si>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</si>
  <si>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</si>
  <si>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</si>
  <si>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</si>
  <si>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</si>
  <si>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</si>
  <si>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</si>
  <si>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</si>
  <si>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enter the province or territory of</t>
  </si>
  <si>
    <t>Tax-paid amount</t>
  </si>
  <si>
    <t>Excess Amount</t>
  </si>
  <si>
    <t>T4RIF</t>
  </si>
  <si>
    <t>T5</t>
  </si>
  <si>
    <t>Refund or Balance owing</t>
  </si>
  <si>
    <t>Allowable credit</t>
  </si>
  <si>
    <t>Social benefits repayment (enter the amount from line 235)</t>
  </si>
  <si>
    <t>(Make sure you have checked the box on page 1 of your return to indicate your marital status.)</t>
  </si>
  <si>
    <t>Schedule 8</t>
  </si>
  <si>
    <t>on Self-Employment and Other Earnings</t>
  </si>
  <si>
    <t>Complete this schedule to determine the amount of your Canada Pension Plan (CPP) contributions if:</t>
  </si>
  <si>
    <t>NS428</t>
  </si>
  <si>
    <t>Nova Scotia Tax</t>
  </si>
  <si>
    <t>Step 1 - Nova Scotia tax on taxable income</t>
  </si>
  <si>
    <t>Line 14 minus line 15</t>
  </si>
  <si>
    <t>Part D.  Otherwise, enter this amount on line 214 of your return</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</si>
  <si>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</si>
  <si>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</si>
  <si>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it is not the same as that shown</t>
  </si>
  <si>
    <t>Enter his or her first name: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</si>
  <si>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</si>
  <si>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</si>
  <si>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</si>
  <si>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</si>
  <si>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</si>
  <si>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</si>
  <si>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</si>
  <si>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</si>
  <si>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</si>
  <si>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</si>
  <si>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</si>
  <si>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</si>
  <si>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</si>
  <si>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</si>
  <si>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</si>
  <si>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</si>
  <si>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</si>
  <si>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</si>
  <si>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</si>
  <si>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</si>
  <si>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</si>
  <si>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</si>
  <si>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</si>
  <si>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</si>
  <si>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</si>
  <si>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</si>
  <si>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</si>
  <si>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</si>
  <si>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</si>
  <si>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</si>
  <si>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</si>
  <si>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</si>
  <si>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</si>
  <si>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t>eligible to claim this credit. See page 36 for details.</t>
  </si>
  <si>
    <t>Public transit passes amount (line 364) – You can claim the</t>
  </si>
  <si>
    <t>cost of public transit passes after June 30, 2006. See page 37</t>
  </si>
  <si>
    <t>Pension income amount (line 314) – The maximum amount</t>
  </si>
  <si>
    <t>of eligible pension income that can be used to calculate the</t>
  </si>
  <si>
    <t>credit is increased to $2,000.</t>
  </si>
  <si>
    <t>Textbook amount (line 323) – You can now claim an</t>
  </si>
  <si>
    <t>amount for textbooks if you are entitled to claim the</t>
  </si>
  <si>
    <t>Investment tax credit (line 412) – The deadline to claim a</t>
  </si>
  <si>
    <t>tax credit for renounced Canadian exploration expenses has</t>
  </si>
  <si>
    <t>been extended. See page 45 for details.</t>
  </si>
  <si>
    <t>For investment tax credits earned in a year that ends after</t>
  </si>
  <si>
    <t>2005, the carry forward period has been extended to</t>
  </si>
  <si>
    <t>20 years.</t>
  </si>
  <si>
    <t>An apprentice job creation tax credit is available if you are</t>
  </si>
  <si>
    <t>a self-employed individual who employs an eligible</t>
  </si>
  <si>
    <t>Federal dividend tax credit (line 425) – There are new</t>
  </si>
  <si>
    <t>calculations for this credit. See page 46 for details.</t>
  </si>
  <si>
    <t>Refundable medical expense supplement (line 452) – The</t>
  </si>
  <si>
    <t>Links to CRA</t>
  </si>
  <si>
    <t>33</t>
  </si>
  <si>
    <t>34</t>
  </si>
  <si>
    <t>35</t>
  </si>
  <si>
    <t>5896</t>
  </si>
  <si>
    <t>6150</t>
  </si>
  <si>
    <t>5884</t>
  </si>
  <si>
    <t>36</t>
  </si>
  <si>
    <t>30</t>
  </si>
  <si>
    <t>31</t>
  </si>
  <si>
    <t>32</t>
  </si>
  <si>
    <t>Go to Step 3 on the back</t>
  </si>
  <si>
    <t>d</t>
  </si>
  <si>
    <t>Repayment of Overpayment Total</t>
  </si>
  <si>
    <t>Paid to Issuer</t>
  </si>
  <si>
    <t>Reversal of federal tax deducted</t>
  </si>
  <si>
    <t>details.</t>
  </si>
  <si>
    <t xml:space="preserve">Foreign non-business income tax </t>
  </si>
  <si>
    <t>set the option  for line 315 to YES in the QUAL sheet</t>
  </si>
  <si>
    <t>No. of Shares</t>
  </si>
  <si>
    <t xml:space="preserve">The "Allocated Data" is picked up by the schedules and forms where needed.  </t>
  </si>
  <si>
    <t>I certify that the information given on this return and in any documents</t>
  </si>
  <si>
    <t>attached is correct, complete, and fully discloses all my income.</t>
  </si>
  <si>
    <t>Sign here</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</si>
  <si>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</si>
  <si>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</si>
  <si>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</si>
  <si>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</si>
  <si>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</si>
  <si>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</si>
  <si>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</si>
  <si>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</si>
  <si>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</si>
  <si>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 Include your transfers and contributions that you are designating as a repayment under the HBP or LLP,
  See the guide for the list of contributions to exclude.</t>
  </si>
  <si>
    <t>PART A - Contributions</t>
  </si>
  <si>
    <t>PART B - Repayments under the HBP and the LLP</t>
  </si>
  <si>
    <t>that you will be including on the line 10 or 11 below.</t>
  </si>
  <si>
    <t>Line 5 minus line 8</t>
  </si>
  <si>
    <t xml:space="preserve">RRSP contributions available to deduct: </t>
  </si>
  <si>
    <t>PART C - RRSP deduction</t>
  </si>
  <si>
    <t>From Box 26 for T1 GEN-2</t>
  </si>
  <si>
    <t>248</t>
  </si>
  <si>
    <t>39</t>
  </si>
  <si>
    <t>249</t>
  </si>
  <si>
    <t>41</t>
  </si>
  <si>
    <t>donees is zero. See Pamphlet P113, Gifts and Income Tax, for</t>
  </si>
  <si>
    <t>Other income (line 130) – Certain scholarships, fellowships,</t>
  </si>
  <si>
    <t>and bursaries are excluded from income if you are entitled</t>
  </si>
  <si>
    <t>to claim the education amount. See page 22 for details.</t>
  </si>
  <si>
    <t>Tradesperson’s tools expenses (line 229) – A portion of the</t>
  </si>
  <si>
    <t>cost of eligible tools acquired by you as an employed</t>
  </si>
  <si>
    <t>tradesperson after May 1, 2006, is deductible. See Guide</t>
  </si>
  <si>
    <t>T4044, Employment Expenses, for details.</t>
  </si>
  <si>
    <t>Non-capital losses of other years (line 252) – For</t>
  </si>
  <si>
    <t>non-capital losses incurred in tax years after</t>
  </si>
  <si>
    <t>December 31, 2005, the loss carry forward period has been</t>
  </si>
  <si>
    <t>extended to 20 years.</t>
  </si>
  <si>
    <t>Capital gains deduction (line 254) – After May 1, 2006, a</t>
  </si>
  <si>
    <t>capital gain resulting from the disposition of qualified</t>
  </si>
  <si>
    <t>fishing property is eligible for this deduction. See Guide</t>
  </si>
  <si>
    <t>T4037, Capital Gains, for details.</t>
  </si>
  <si>
    <t>Age amount (line 301) – The maximum amount is increased</t>
  </si>
  <si>
    <t>to $5,066.</t>
  </si>
  <si>
    <t>Canada employment amount (line 363) – All employees are</t>
  </si>
  <si>
    <t>It is important that you set each QUALIFICATION correctly because MyTAX uses these settings for its calculations.</t>
  </si>
  <si>
    <t xml:space="preserve">You may need to change the default YES/NO qualification settings for your situation.  </t>
  </si>
  <si>
    <t>GO THERE</t>
  </si>
  <si>
    <t>Hyperlinks</t>
  </si>
  <si>
    <t>The "GO THERE" buttons below are hyperlinks. Click on them to send you to the appropriate sheet &amp; cell.</t>
  </si>
  <si>
    <t>Enter this amount on line 428 of your return.</t>
  </si>
  <si>
    <t>Basic person amount</t>
  </si>
  <si>
    <t xml:space="preserve">  Minus: his or her net income 
  (from page 1 of your return)</t>
  </si>
  <si>
    <t xml:space="preserve">  Federal political contribution tax credit (see the guide)</t>
  </si>
  <si>
    <t xml:space="preserve">    included on line 256 for foreign income deductible as exempt income under a tax treaty, income deductible as net employment income from a  </t>
  </si>
  <si>
    <t xml:space="preserve">    prescribed international organization or non-taxable tuition assistance from box 21 of the T4E slip.  If the result is less than the amount on line 433, </t>
  </si>
  <si>
    <t>115</t>
  </si>
  <si>
    <t>130</t>
  </si>
  <si>
    <t>166</t>
  </si>
  <si>
    <t>104,130</t>
  </si>
  <si>
    <t xml:space="preserve">  Base amount</t>
  </si>
  <si>
    <t xml:space="preserve">Add line 23 and line 24. Enter this amount on line 214 of your return </t>
  </si>
  <si>
    <t xml:space="preserve">where an additional form is needed, you need to get a paper copy of that form and fill it out manually.  Then you can </t>
  </si>
  <si>
    <t>His or her taxable income (line 260 of his or her return)</t>
  </si>
  <si>
    <t>his or her Schedule 11</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</si>
  <si>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</si>
  <si>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</si>
  <si>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</si>
  <si>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</si>
  <si>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</si>
  <si>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</si>
  <si>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</si>
  <si>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</si>
  <si>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 xml:space="preserve">Move the cursor over the invisible bar and click this bar to send you to the GO TO sheet.  </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</si>
  <si>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</si>
  <si>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</si>
  <si>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Our home page has a link to the Canada Revenue Agency website where you can download the form(s) </t>
  </si>
  <si>
    <t xml:space="preserve">      Result: (if negative enter "0") </t>
  </si>
  <si>
    <t>Subtotal (if negative, enter "0")</t>
  </si>
  <si>
    <r>
      <t xml:space="preserve"> (enter the amount from line 1 or line 6, whichever is </t>
    </r>
    <r>
      <rPr>
        <b/>
        <sz val="12"/>
        <color indexed="8"/>
        <rFont val="Arial"/>
        <family val="2"/>
      </rPr>
      <t>less</t>
    </r>
    <r>
      <rPr>
        <sz val="12"/>
        <color indexed="8"/>
        <rFont val="Arial"/>
        <family val="2"/>
      </rPr>
      <t>)</t>
    </r>
  </si>
  <si>
    <t>Medical expenses from line 330 of your federal Schedule 1</t>
  </si>
  <si>
    <t>Information about you</t>
  </si>
  <si>
    <t>Line 5 minus line 6 (if negative, enter "0")</t>
  </si>
  <si>
    <t>Schedule 11</t>
  </si>
  <si>
    <t xml:space="preserve">Gifts of capital property </t>
  </si>
  <si>
    <t>Who should complete this form?</t>
  </si>
  <si>
    <t>Complete this form if you meet both of the following conditions:</t>
  </si>
  <si>
    <t>you received an amount from a spousal or common-law partner RRSP or RRIF; and</t>
  </si>
  <si>
    <t>your spouse or common-law partner made a contribution to a spousal or common-law partner RRSP for you in the year</t>
  </si>
  <si>
    <t>you received the amount or in the two preceding years.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</si>
  <si>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</si>
  <si>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</si>
  <si>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</si>
  <si>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</si>
  <si>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</si>
  <si>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</si>
  <si>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</si>
  <si>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</si>
  <si>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the amount you received is a periodic annuity payment from an RRSP;</t>
  </si>
  <si>
    <t>the amount you received is a minimum amount payment from a RRIF; or</t>
  </si>
  <si>
    <t>your spouse or common-law partner died in the year.</t>
  </si>
  <si>
    <t>you and your spouse or common-law partner were living separate and apart because of your relationship breakdown; or</t>
  </si>
  <si>
    <t>you or your spouse or common-law partner was a non-resident.</t>
  </si>
  <si>
    <t>In any of the situations listed above, include the amounts in your own income.</t>
  </si>
  <si>
    <t>Spousal or common-law partner RRSP and RRIF</t>
  </si>
  <si>
    <t>An RRSP or RRIF is a spousal or common-law partner plan or fund if it meets any of the following conditions:</t>
  </si>
  <si>
    <t>Your spouse or common-law partner contributed an amount to the RRSP while you were the annuitant.</t>
  </si>
  <si>
    <t>It is an RRSP that has received a payment or a transfer of property from a spousal or common-law partner RRSP or</t>
  </si>
  <si>
    <t>RRIF.</t>
  </si>
  <si>
    <t>It is a RRIF that has received a payment or a transfer of property from a spousal or common-law partner RRSP or RRIF.</t>
  </si>
  <si>
    <t>For more details, see "Amounts from a spousal or common-law partner RRSP or RRIF" in Chapter 4 of Guide T4040, RRSPs</t>
  </si>
  <si>
    <t>and Other Registered Plans for Retirement.</t>
  </si>
  <si>
    <t>Lines 5 and 16</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</si>
  <si>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</si>
  <si>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</si>
  <si>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</si>
  <si>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2003: $3,000</t>
  </si>
  <si>
    <t>2004: $8,000</t>
  </si>
  <si>
    <t>2005: $ 0</t>
  </si>
  <si>
    <t>2006: $ 0</t>
  </si>
  <si>
    <t>Tania made the following withdrawals from her spousal or common-law partner RRSP.</t>
  </si>
  <si>
    <t>2005: $5,000</t>
  </si>
  <si>
    <t>2006: $4,000</t>
  </si>
  <si>
    <t>James had to include $5,000 in income for 2005. That $5,000 represented, in order, $3,000 from 2003, and</t>
  </si>
  <si>
    <t>$2,000 from the 2004 contribution of $8,000.</t>
  </si>
  <si>
    <t>When Tania completes this form for 2006, the amount on line 5 will be $2,000 (the amount James included in</t>
  </si>
  <si>
    <t>income for the 2004 contribution).</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</si>
  <si>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</si>
  <si>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</si>
  <si>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</si>
  <si>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</si>
  <si>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Form T746, Calculating Your Deduction for Refund of Unused RRSP Contributions.</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</si>
  <si>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</si>
  <si>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</si>
  <si>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</si>
  <si>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</si>
  <si>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</si>
  <si>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</si>
  <si>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</si>
  <si>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</si>
  <si>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</si>
  <si>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</si>
  <si>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</si>
  <si>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</si>
  <si>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</si>
  <si>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</si>
  <si>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</si>
  <si>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</si>
  <si>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</si>
  <si>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</si>
  <si>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</si>
  <si>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</si>
  <si>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</si>
  <si>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</si>
  <si>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</si>
  <si>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</si>
  <si>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</si>
  <si>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</si>
  <si>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</si>
  <si>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</si>
  <si>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</si>
  <si>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</si>
  <si>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r>
      <t>●</t>
    </r>
    <r>
      <rPr>
        <b/>
        <sz val="12"/>
        <color indexed="8"/>
        <rFont val="Arial"/>
        <family val="2"/>
      </rPr>
      <t>14</t>
    </r>
  </si>
  <si>
    <r>
      <t>●</t>
    </r>
    <r>
      <rPr>
        <b/>
        <sz val="12"/>
        <color indexed="8"/>
        <rFont val="Arial"/>
        <family val="2"/>
      </rPr>
      <t>15</t>
    </r>
  </si>
  <si>
    <t>●16</t>
  </si>
  <si>
    <t>●34</t>
  </si>
  <si>
    <t>404</t>
  </si>
  <si>
    <t>Enter the amount from line 32 on the other side</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</si>
  <si>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</si>
  <si>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</si>
  <si>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</si>
  <si>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</si>
  <si>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</si>
  <si>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(maximum  $42,100)</t>
  </si>
  <si>
    <t>(maximum  $38,600)</t>
  </si>
  <si>
    <t>(maximum  $1,910.70)</t>
  </si>
  <si>
    <t>To determine any overpayment of Canada Pension Plan (CPP) or Quebec Pension Plan (QPP) contributions made through employment if</t>
  </si>
  <si>
    <t xml:space="preserve">  If you were a </t>
  </si>
  <si>
    <r>
      <t xml:space="preserve">To determine any overpayment of Employment Insurance (EI) premiums, complete </t>
    </r>
    <r>
      <rPr>
        <b/>
        <sz val="9"/>
        <color indexed="8"/>
        <rFont val="Arial"/>
        <family val="2"/>
      </rPr>
      <t>Part 2</t>
    </r>
    <r>
      <rPr>
        <sz val="9"/>
        <color indexed="8"/>
        <rFont val="Arial"/>
        <family val="2"/>
      </rPr>
      <t>.  To be refunded, the amount of the EI overpayment has to be more than $1.  If you were a resident of Quebec on December 31, 2006, see your Quebec provincial income tax guide.</t>
    </r>
  </si>
  <si>
    <t>number of months in the year you did not or were not entitled to receive the pension.</t>
  </si>
  <si>
    <r>
      <t xml:space="preserve">contributions.  See "Making additional CPP contributions" on page 35 of the </t>
    </r>
    <r>
      <rPr>
        <i/>
        <sz val="9"/>
        <color indexed="8"/>
        <rFont val="Arial"/>
        <family val="2"/>
      </rPr>
      <t>General Income Tax and Benefit Guide.</t>
    </r>
  </si>
  <si>
    <t>Total EI insurable earnings (box 24 or, if blank, box 14 of your T4 slips)</t>
  </si>
  <si>
    <r>
      <t xml:space="preserve">Total premiums deducted: </t>
    </r>
    <r>
      <rPr>
        <b/>
        <sz val="9"/>
        <rFont val="Arial"/>
        <family val="0"/>
      </rPr>
      <t>Residents of other than Quebec</t>
    </r>
    <r>
      <rPr>
        <sz val="9"/>
        <rFont val="Arial"/>
        <family val="0"/>
      </rPr>
      <t xml:space="preserve"> (from box 18 and box 55 of all your T4 slips)</t>
    </r>
  </si>
  <si>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</si>
  <si>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</si>
  <si>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t>(maximum  $596.70)</t>
  </si>
  <si>
    <t>(maximum  $729.30)</t>
  </si>
  <si>
    <r>
      <t xml:space="preserve">Required premium: </t>
    </r>
    <r>
      <rPr>
        <b/>
        <sz val="9"/>
        <color indexed="8"/>
        <rFont val="Arial"/>
        <family val="2"/>
      </rPr>
      <t>Residents of other than Quebec</t>
    </r>
    <r>
      <rPr>
        <sz val="9"/>
        <color indexed="8"/>
        <rFont val="Arial"/>
        <family val="2"/>
      </rPr>
      <t xml:space="preserve"> (multiply line 1 by 1.87%)</t>
    </r>
  </si>
  <si>
    <t xml:space="preserve">           Quebec residents (multiply line 1 by 1.53%)</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</si>
  <si>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</si>
  <si>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</si>
  <si>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</si>
  <si>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Read the attached information sheet.  You will find there the definition of </t>
    </r>
    <r>
      <rPr>
        <b/>
        <sz val="12"/>
        <rFont val="Arial MT"/>
        <family val="0"/>
      </rPr>
      <t xml:space="preserve">child care expenses, eligible child, net income, </t>
    </r>
    <r>
      <rPr>
        <sz val="12"/>
        <rFont val="Arial MT"/>
        <family val="0"/>
      </rPr>
      <t>and</t>
    </r>
    <r>
      <rPr>
        <b/>
        <sz val="12"/>
        <rFont val="Arial MT"/>
        <family val="0"/>
      </rPr>
      <t xml:space="preserve"> earned</t>
    </r>
  </si>
  <si>
    <t>Each person claiming the child care expenses deduction must attach a completed Form T778 to his or her return. Do not include receipts,</t>
  </si>
  <si>
    <t>but keep them in case we ask to see them.</t>
  </si>
  <si>
    <r>
      <t xml:space="preserve">If you are the </t>
    </r>
    <r>
      <rPr>
        <b/>
        <sz val="12"/>
        <rFont val="Arial MT"/>
        <family val="0"/>
      </rPr>
      <t xml:space="preserve">only person </t>
    </r>
    <r>
      <rPr>
        <sz val="12"/>
        <rFont val="Arial MT"/>
        <family val="0"/>
      </rPr>
      <t>claiming child care expenses</t>
    </r>
    <r>
      <rPr>
        <sz val="12"/>
        <rFont val="Arial MT"/>
        <family val="0"/>
      </rPr>
      <t>, complete Part A, Part B, and, if it applies, Part D.</t>
    </r>
  </si>
  <si>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</si>
  <si>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r>
      <t>insurance number of the individual</t>
    </r>
    <r>
      <rPr>
        <sz val="12"/>
        <rFont val="Arial MT"/>
        <family val="0"/>
      </rPr>
      <t xml:space="preserve"> who received the payments.</t>
    </r>
  </si>
  <si>
    <r>
      <t xml:space="preserve">boarding schools </t>
    </r>
    <r>
      <rPr>
        <sz val="11"/>
        <rFont val="Arial MT"/>
        <family val="0"/>
      </rPr>
      <t>or</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</si>
  <si>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</si>
  <si>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</si>
  <si>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</si>
  <si>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</si>
  <si>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r>
      <t xml:space="preserve">Enter the amount from line 4, 5, or 6, whichever is </t>
    </r>
    <r>
      <rPr>
        <b/>
        <sz val="12"/>
        <rFont val="Arial MT"/>
        <family val="0"/>
      </rPr>
      <t>the less</t>
    </r>
  </si>
  <si>
    <t>If you are the person with the higher net income, go to Part C.  Leave lines 8 and 9 blank.</t>
  </si>
  <si>
    <r>
      <t>and</t>
    </r>
    <r>
      <rPr>
        <sz val="12"/>
        <rFont val="Arial MT"/>
        <family val="0"/>
      </rPr>
      <t xml:space="preserve"> check the boxes that apply.</t>
    </r>
  </si>
  <si>
    <t xml:space="preserve">     been confined for a period of at least two weeks to a bed or wheelchair, or as a patient in a hospital, an asylum, or other</t>
  </si>
  <si>
    <t xml:space="preserve">     similar institution. Attach a statement from the attending physician certifying this information.</t>
  </si>
  <si>
    <t>c) The other person was not capable of caring for children because of a mental or physical infirmity. That person must have</t>
  </si>
  <si>
    <t>d) The other person was not capable of caring for children because of a mental or physical infirmity. This situation is likely to</t>
  </si>
  <si>
    <t xml:space="preserve">Line 5 minus line 6 (if negative, enter "0") </t>
  </si>
  <si>
    <t>you would position the cursor the data entry line 144 below, and then key in</t>
  </si>
  <si>
    <t>of your return is more than $60,806, see line 235 in your tax guide.</t>
  </si>
  <si>
    <t>T4A(OAS)</t>
  </si>
  <si>
    <t>Additional deductions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</si>
  <si>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</si>
  <si>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</si>
  <si>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</si>
  <si>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</si>
  <si>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</si>
  <si>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</si>
  <si>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</si>
  <si>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</si>
  <si>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</si>
  <si>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</si>
  <si>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</si>
  <si>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</si>
  <si>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</si>
  <si>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year if your direct deposit information for your refund has not changed.</t>
  </si>
  <si>
    <r>
      <t>You do not have to complete this area every year</t>
    </r>
    <r>
      <rPr>
        <sz val="12"/>
        <color indexed="8"/>
        <rFont val="Arial"/>
        <family val="2"/>
      </rPr>
      <t>.  Do not complete it this</t>
    </r>
  </si>
  <si>
    <t>Data
T5 #2</t>
  </si>
  <si>
    <t>Data
T5 #3</t>
  </si>
  <si>
    <t>Data
T5 #4</t>
  </si>
  <si>
    <t>If you have more than five T3 forms, you can add the data from the extra ones as a sum rather than a single #.</t>
  </si>
  <si>
    <t>or her chart for line 316.  Otherwise, enter "0".</t>
  </si>
  <si>
    <t>Usage Tips:</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</si>
  <si>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</si>
  <si>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</si>
  <si>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</si>
  <si>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r>
      <t xml:space="preserve">Multiply the amount on line 10 by the number of </t>
    </r>
    <r>
      <rPr>
        <b/>
        <sz val="12"/>
        <rFont val="Arial MT"/>
        <family val="0"/>
      </rPr>
      <t>full weeks</t>
    </r>
    <r>
      <rPr>
        <sz val="12"/>
        <rFont val="Arial MT"/>
        <family val="0"/>
      </rPr>
      <t xml:space="preserve"> </t>
    </r>
  </si>
  <si>
    <t>38</t>
  </si>
  <si>
    <t>6151</t>
  </si>
  <si>
    <t>40</t>
  </si>
  <si>
    <t>6152</t>
  </si>
  <si>
    <t>6153</t>
  </si>
  <si>
    <t>6154</t>
  </si>
  <si>
    <t>43</t>
  </si>
  <si>
    <t>45</t>
  </si>
  <si>
    <t>47</t>
  </si>
  <si>
    <t>48</t>
  </si>
  <si>
    <t>49</t>
  </si>
  <si>
    <t>50</t>
  </si>
  <si>
    <t>51</t>
  </si>
  <si>
    <t>54</t>
  </si>
  <si>
    <t>55</t>
  </si>
  <si>
    <t>56</t>
  </si>
  <si>
    <t>57</t>
  </si>
  <si>
    <t>58</t>
  </si>
  <si>
    <t>59</t>
  </si>
  <si>
    <t>60</t>
  </si>
  <si>
    <t>61</t>
  </si>
  <si>
    <t>62</t>
  </si>
  <si>
    <t>63</t>
  </si>
  <si>
    <t>Amount from line 426 on federal Schedule 1</t>
  </si>
  <si>
    <t xml:space="preserve">          Employment Insurance overpayment</t>
  </si>
  <si>
    <t>Part II</t>
  </si>
  <si>
    <t>FED WRK</t>
  </si>
  <si>
    <t>T2038(IND)</t>
  </si>
  <si>
    <t>T1172</t>
  </si>
  <si>
    <t>T4E</t>
  </si>
  <si>
    <t>T4PS</t>
  </si>
  <si>
    <t>T4RSP</t>
  </si>
  <si>
    <r>
      <t xml:space="preserve">Enter, on line 5872 of Form NS428, the total amount claimed for </t>
    </r>
    <r>
      <rPr>
        <b/>
        <sz val="11"/>
        <color indexed="8"/>
        <rFont val="Arial"/>
        <family val="2"/>
      </rPr>
      <t>all</t>
    </r>
    <r>
      <rPr>
        <sz val="11"/>
        <color indexed="8"/>
        <rFont val="Arial"/>
        <family val="2"/>
      </rPr>
      <t xml:space="preserve"> dependants.</t>
    </r>
  </si>
  <si>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 xml:space="preserve">Do not attach </t>
    </r>
    <r>
      <rPr>
        <sz val="12"/>
        <color indexed="8"/>
        <rFont val="Arial"/>
        <family val="2"/>
      </rPr>
      <t xml:space="preserve">it to the return you send us. </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</si>
  <si>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</si>
  <si>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</si>
  <si>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</si>
  <si>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</si>
  <si>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</si>
  <si>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</si>
  <si>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Allocated Data for Slip # 1</t>
  </si>
  <si>
    <t xml:space="preserve">   Line 120 of your return</t>
  </si>
  <si>
    <t xml:space="preserve">   Line 180 of your return</t>
  </si>
  <si>
    <t xml:space="preserve">   Line 1 minus line 2 (if negative, enter "0")</t>
  </si>
  <si>
    <t xml:space="preserve">   Add lines 4 and 5</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</si>
  <si>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</si>
  <si>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</si>
  <si>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</si>
  <si>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</si>
  <si>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</si>
  <si>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</si>
  <si>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</si>
  <si>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</si>
  <si>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</si>
  <si>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</si>
  <si>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</si>
  <si>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</si>
  <si>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</si>
  <si>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</si>
  <si>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</si>
  <si>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</si>
  <si>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</si>
  <si>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t>
  </si>
  <si>
    <t xml:space="preserve"> the year you indicated in the title, and enter the total.</t>
  </si>
  <si>
    <t xml:space="preserve"> the year you indicated in the title, he or she reports this income on line 115 of his or her return for that year. Otherwise, your</t>
  </si>
  <si>
    <t xml:space="preserve"> spouse or common-law partner reports this amount on line 130.</t>
  </si>
  <si>
    <t xml:space="preserve"> your own return for that year. Otherwise, report this amount on line 130.</t>
  </si>
  <si>
    <r>
      <t xml:space="preserve">THIS SECTION APPLIES </t>
    </r>
    <r>
      <rPr>
        <b/>
        <u val="single"/>
        <sz val="13"/>
        <rFont val="Arial"/>
        <family val="2"/>
      </rPr>
      <t>ONLY</t>
    </r>
    <r>
      <rPr>
        <b/>
        <sz val="13"/>
        <rFont val="Arial"/>
        <family val="2"/>
      </rPr>
      <t xml:space="preserve"> TO CANADIAN CITIZENS.</t>
    </r>
  </si>
  <si>
    <r>
      <t xml:space="preserve">DO </t>
    </r>
    <r>
      <rPr>
        <b/>
        <u val="single"/>
        <sz val="13"/>
        <rFont val="Arial"/>
        <family val="2"/>
      </rPr>
      <t>NOT</t>
    </r>
    <r>
      <rPr>
        <b/>
        <sz val="13"/>
        <rFont val="Arial"/>
        <family val="2"/>
      </rPr>
      <t xml:space="preserve"> ANSWER THIS QUESTION IF YOU ARE NOT A CANADIAN CITIZEN.</t>
    </r>
  </si>
  <si>
    <t>Goods and services tax/harmonized sales tax (GST/HST) credit application</t>
  </si>
  <si>
    <r>
      <t xml:space="preserve">under the </t>
    </r>
    <r>
      <rPr>
        <i/>
        <sz val="12"/>
        <rFont val="Arial"/>
        <family val="2"/>
      </rPr>
      <t>Canada Elections Act.</t>
    </r>
  </si>
  <si>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</si>
  <si>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</si>
  <si>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</si>
  <si>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</si>
  <si>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</si>
  <si>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r>
      <t xml:space="preserve">Child care expenses </t>
    </r>
    <r>
      <rPr>
        <b/>
        <sz val="12"/>
        <color indexed="8"/>
        <rFont val="Arial"/>
        <family val="2"/>
      </rPr>
      <t>(attach</t>
    </r>
    <r>
      <rPr>
        <sz val="12"/>
        <color indexed="8"/>
        <rFont val="Arial"/>
        <family val="2"/>
      </rPr>
      <t xml:space="preserve"> Form T778)</t>
    </r>
  </si>
  <si>
    <t>Disability supports deduction</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</si>
  <si>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</si>
  <si>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</si>
  <si>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</si>
  <si>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</si>
  <si>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</si>
  <si>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</si>
  <si>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</si>
  <si>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</si>
  <si>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</si>
  <si>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</si>
  <si>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</si>
  <si>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</si>
  <si>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r>
      <t>1.</t>
    </r>
    <r>
      <rPr>
        <sz val="14"/>
        <color indexed="8"/>
        <rFont val="Arial"/>
        <family val="2"/>
      </rPr>
      <t xml:space="preserve">  Forms and Schedules are available by scrolling the tab bar on the lower part of the screen </t>
    </r>
  </si>
  <si>
    <t>Maximum transferable</t>
  </si>
  <si>
    <t>Line 17 minus line 18 (if negative enter "0")</t>
  </si>
  <si>
    <t>Multiply the amount on line 4 by 15%</t>
  </si>
  <si>
    <t>Pensionable net self-employment earnings (amounts from line 122 and lines 135 to 143 of your return)</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</si>
  <si>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</si>
  <si>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</si>
  <si>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</si>
  <si>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</si>
  <si>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</si>
  <si>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</si>
  <si>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</si>
  <si>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</si>
  <si>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</si>
  <si>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</si>
  <si>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</si>
  <si>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</si>
  <si>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</si>
  <si>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</si>
  <si>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</si>
  <si>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</si>
  <si>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</si>
  <si>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</si>
  <si>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</si>
  <si>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5832</t>
  </si>
  <si>
    <t>5836</t>
  </si>
  <si>
    <t>5840</t>
  </si>
  <si>
    <t>5844</t>
  </si>
  <si>
    <t>5848</t>
  </si>
  <si>
    <t>5852</t>
  </si>
  <si>
    <t>5856</t>
  </si>
  <si>
    <t>5860</t>
  </si>
  <si>
    <t>5864</t>
  </si>
  <si>
    <t xml:space="preserve">entry </t>
  </si>
  <si>
    <r>
      <t xml:space="preserve">Enter the province or territory where you </t>
    </r>
    <r>
      <rPr>
        <b/>
        <sz val="10"/>
        <rFont val="Arial"/>
        <family val="2"/>
      </rPr>
      <t>currently</t>
    </r>
    <r>
      <rPr>
        <sz val="10"/>
        <rFont val="Arial"/>
        <family val="0"/>
      </rPr>
      <t xml:space="preserve"> reside if</t>
    </r>
  </si>
  <si>
    <t>or     departure</t>
  </si>
  <si>
    <t>Enter the amount from line 7 above (if any)</t>
  </si>
  <si>
    <t>Sched 8</t>
  </si>
  <si>
    <t>columns 3 and 4)</t>
  </si>
  <si>
    <t>It is a serious offence to make a false return.</t>
  </si>
  <si>
    <t>Date:</t>
  </si>
  <si>
    <t>Do not use</t>
  </si>
  <si>
    <t>490</t>
  </si>
  <si>
    <t>For</t>
  </si>
  <si>
    <t>Professional</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</si>
</sst>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s>
  <fonts count="111">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b/>
      <sz val="18"/>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20"/>
      <color indexed="8"/>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b/>
      <u val="single"/>
      <sz val="13"/>
      <name val="Arial"/>
      <family val="2"/>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8"/>
      <name val="Arial MT"/>
      <family val="0"/>
    </font>
    <font>
      <sz val="12"/>
      <color indexed="12"/>
      <name val="Arial MT"/>
      <family val="0"/>
    </font>
    <font>
      <sz val="10"/>
      <color indexed="41"/>
      <name val="Arial"/>
      <family val="2"/>
    </font>
    <font>
      <u val="single"/>
      <sz val="16"/>
      <color indexed="12"/>
      <name val="Arial MT"/>
      <family val="0"/>
    </font>
    <font>
      <sz val="14"/>
      <color indexed="8"/>
      <name val="Arial MT"/>
      <family val="0"/>
    </font>
    <font>
      <sz val="12"/>
      <color indexed="9"/>
      <name val="Renfrew"/>
      <family val="2"/>
    </font>
    <font>
      <b/>
      <sz val="12"/>
      <color indexed="9"/>
      <name val="Renfrew"/>
      <family val="0"/>
    </font>
    <font>
      <b/>
      <sz val="18"/>
      <name val="Arial MT"/>
      <family val="0"/>
    </font>
    <font>
      <u val="single"/>
      <sz val="14"/>
      <color indexed="12"/>
      <name val="Arial MT"/>
      <family val="0"/>
    </font>
    <font>
      <sz val="13"/>
      <color indexed="9"/>
      <name val="Arial"/>
      <family val="0"/>
    </font>
    <font>
      <b/>
      <sz val="14"/>
      <color indexed="49"/>
      <name val="Arial"/>
      <family val="2"/>
    </font>
    <font>
      <b/>
      <sz val="26"/>
      <color indexed="48"/>
      <name val="Arial"/>
      <family val="2"/>
    </font>
    <font>
      <b/>
      <sz val="22"/>
      <color indexed="48"/>
      <name val="Arial"/>
      <family val="2"/>
    </font>
    <font>
      <b/>
      <sz val="16"/>
      <color indexed="48"/>
      <name val="Arial"/>
      <family val="2"/>
    </font>
    <font>
      <b/>
      <sz val="14"/>
      <color indexed="48"/>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b/>
      <sz val="11"/>
      <color indexed="48"/>
      <name val="Arial"/>
      <family val="2"/>
    </font>
    <font>
      <b/>
      <sz val="18"/>
      <color indexed="48"/>
      <name val="Arial"/>
      <family val="2"/>
    </font>
    <font>
      <i/>
      <sz val="9"/>
      <color indexed="8"/>
      <name val="Arial"/>
      <family val="2"/>
    </font>
    <font>
      <sz val="9"/>
      <name val="Arial"/>
      <family val="0"/>
    </font>
    <font>
      <b/>
      <sz val="9"/>
      <name val="Arial"/>
      <family val="0"/>
    </font>
    <font>
      <sz val="9"/>
      <name val="Arial MT"/>
      <family val="0"/>
    </font>
    <font>
      <sz val="12"/>
      <color indexed="8"/>
      <name val="Arial MT"/>
      <family val="0"/>
    </font>
    <font>
      <b/>
      <sz val="8"/>
      <name val="Arial MT"/>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s>
  <borders count="64">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color indexed="63"/>
      </top>
      <bottom style="dotted"/>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color indexed="8"/>
      </bottom>
    </border>
    <border>
      <left style="medium"/>
      <right>
        <color indexed="63"/>
      </right>
      <top>
        <color indexed="63"/>
      </top>
      <bottom style="thin"/>
    </border>
    <border>
      <left style="medium"/>
      <right>
        <color indexed="63"/>
      </right>
      <top style="thin"/>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color indexed="63"/>
      </top>
      <bottom style="dashed"/>
    </border>
  </borders>
  <cellStyleXfs count="30">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9" fontId="2" fillId="3" borderId="0">
      <alignment/>
      <protection hidden="1"/>
    </xf>
    <xf numFmtId="0" fontId="2" fillId="4" borderId="0">
      <alignment/>
      <protection/>
    </xf>
  </cellStyleXfs>
  <cellXfs count="1443">
    <xf numFmtId="179" fontId="0" fillId="2" borderId="0" xfId="0" applyAlignment="1">
      <alignment/>
    </xf>
    <xf numFmtId="178" fontId="9" fillId="5" borderId="1" xfId="0" applyNumberFormat="1" applyFont="1" applyFill="1" applyBorder="1" applyAlignment="1" applyProtection="1">
      <alignment/>
      <protection/>
    </xf>
    <xf numFmtId="178" fontId="9" fillId="5" borderId="0" xfId="0" applyNumberFormat="1" applyFont="1" applyFill="1" applyAlignment="1" applyProtection="1">
      <alignment/>
      <protection/>
    </xf>
    <xf numFmtId="178" fontId="9" fillId="6" borderId="0" xfId="0" applyNumberFormat="1" applyFont="1" applyFill="1" applyAlignment="1" applyProtection="1">
      <alignment/>
      <protection/>
    </xf>
    <xf numFmtId="178" fontId="9" fillId="5" borderId="2" xfId="0" applyNumberFormat="1" applyFont="1" applyFill="1" applyBorder="1" applyAlignment="1" applyProtection="1">
      <alignment/>
      <protection/>
    </xf>
    <xf numFmtId="179" fontId="2" fillId="7" borderId="0" xfId="0" applyFont="1" applyFill="1" applyBorder="1" applyAlignment="1" applyProtection="1">
      <alignment/>
      <protection/>
    </xf>
    <xf numFmtId="179" fontId="3" fillId="7" borderId="0" xfId="0" applyFont="1" applyFill="1" applyBorder="1" applyAlignment="1" applyProtection="1">
      <alignment/>
      <protection/>
    </xf>
    <xf numFmtId="179" fontId="4" fillId="7" borderId="3" xfId="0" applyFont="1" applyFill="1" applyBorder="1" applyAlignment="1" applyProtection="1">
      <alignment/>
      <protection/>
    </xf>
    <xf numFmtId="0" fontId="1" fillId="8" borderId="0" xfId="24" applyFill="1">
      <alignment/>
      <protection/>
    </xf>
    <xf numFmtId="0" fontId="1" fillId="0" borderId="0" xfId="24">
      <alignment/>
      <protection/>
    </xf>
    <xf numFmtId="0" fontId="1" fillId="8" borderId="0" xfId="24" applyFill="1" applyAlignment="1">
      <alignment horizontal="left"/>
      <protection/>
    </xf>
    <xf numFmtId="0" fontId="1" fillId="8" borderId="0" xfId="24" applyFill="1" applyAlignment="1">
      <alignment vertical="top"/>
      <protection/>
    </xf>
    <xf numFmtId="0" fontId="19" fillId="8" borderId="0" xfId="24" applyFont="1" applyFill="1" applyAlignment="1">
      <alignment horizontal="right"/>
      <protection/>
    </xf>
    <xf numFmtId="0" fontId="1" fillId="8" borderId="4" xfId="24" applyFill="1" applyBorder="1">
      <alignment/>
      <protection/>
    </xf>
    <xf numFmtId="0" fontId="1" fillId="8" borderId="5" xfId="24" applyFill="1" applyBorder="1">
      <alignment/>
      <protection/>
    </xf>
    <xf numFmtId="0" fontId="1" fillId="8" borderId="6" xfId="24" applyFill="1" applyBorder="1">
      <alignment/>
      <protection/>
    </xf>
    <xf numFmtId="0" fontId="1" fillId="8" borderId="3" xfId="24" applyFill="1" applyBorder="1">
      <alignment/>
      <protection/>
    </xf>
    <xf numFmtId="0" fontId="1" fillId="8" borderId="0" xfId="24" applyFill="1" applyBorder="1">
      <alignment/>
      <protection/>
    </xf>
    <xf numFmtId="0" fontId="1" fillId="8" borderId="7" xfId="24" applyFill="1" applyBorder="1">
      <alignment/>
      <protection/>
    </xf>
    <xf numFmtId="0" fontId="23" fillId="8" borderId="8" xfId="24" applyFont="1" applyFill="1" applyBorder="1" applyAlignment="1">
      <alignment vertical="center"/>
      <protection/>
    </xf>
    <xf numFmtId="0" fontId="1" fillId="8" borderId="0" xfId="24" applyFill="1" applyBorder="1" applyAlignment="1">
      <alignment horizontal="center"/>
      <protection/>
    </xf>
    <xf numFmtId="0" fontId="1" fillId="8" borderId="8" xfId="24" applyFill="1" applyBorder="1">
      <alignment/>
      <protection/>
    </xf>
    <xf numFmtId="0" fontId="1" fillId="8" borderId="0" xfId="24" applyFill="1" applyBorder="1" applyAlignment="1">
      <alignment vertical="center"/>
      <protection/>
    </xf>
    <xf numFmtId="0" fontId="1" fillId="8" borderId="0" xfId="24" applyFill="1" applyBorder="1" applyAlignment="1">
      <alignment vertical="top"/>
      <protection/>
    </xf>
    <xf numFmtId="0" fontId="25" fillId="8" borderId="0" xfId="24" applyFont="1" applyFill="1" applyBorder="1" applyAlignment="1" applyProtection="1">
      <alignment horizontal="center" vertical="center"/>
      <protection/>
    </xf>
    <xf numFmtId="0" fontId="24" fillId="8" borderId="8" xfId="24" applyFont="1" applyFill="1" applyBorder="1" applyAlignment="1" applyProtection="1">
      <alignment vertical="center"/>
      <protection/>
    </xf>
    <xf numFmtId="0" fontId="1" fillId="8" borderId="9" xfId="24" applyFill="1" applyBorder="1">
      <alignment/>
      <protection/>
    </xf>
    <xf numFmtId="0" fontId="1" fillId="8" borderId="10" xfId="24" applyFill="1" applyBorder="1">
      <alignment/>
      <protection/>
    </xf>
    <xf numFmtId="0" fontId="1" fillId="8" borderId="8" xfId="24" applyFill="1" applyBorder="1" applyAlignment="1">
      <alignment vertical="center"/>
      <protection/>
    </xf>
    <xf numFmtId="49" fontId="24" fillId="8" borderId="10" xfId="24" applyNumberFormat="1" applyFont="1" applyFill="1" applyBorder="1">
      <alignment/>
      <protection/>
    </xf>
    <xf numFmtId="192" fontId="24" fillId="2" borderId="11" xfId="24" applyNumberFormat="1" applyFont="1" applyFill="1" applyBorder="1" applyAlignment="1" applyProtection="1">
      <alignment horizontal="center"/>
      <protection locked="0"/>
    </xf>
    <xf numFmtId="0" fontId="1" fillId="8" borderId="0" xfId="24" applyFill="1" applyBorder="1" applyAlignment="1">
      <alignment horizontal="right"/>
      <protection/>
    </xf>
    <xf numFmtId="0" fontId="27" fillId="8" borderId="0" xfId="24" applyFont="1" applyFill="1">
      <alignment/>
      <protection/>
    </xf>
    <xf numFmtId="0" fontId="1" fillId="9" borderId="11" xfId="24" applyFill="1" applyBorder="1">
      <alignment/>
      <protection/>
    </xf>
    <xf numFmtId="179" fontId="4" fillId="8" borderId="0" xfId="22" applyFont="1" applyFill="1" applyAlignment="1" applyProtection="1">
      <alignment horizontal="center"/>
      <protection/>
    </xf>
    <xf numFmtId="179" fontId="3" fillId="8" borderId="0" xfId="22" applyFont="1" applyFill="1" applyAlignment="1" applyProtection="1">
      <alignment horizontal="left"/>
      <protection/>
    </xf>
    <xf numFmtId="179" fontId="2" fillId="8" borderId="0" xfId="22" applyFont="1" applyFill="1" applyProtection="1">
      <alignment/>
      <protection/>
    </xf>
    <xf numFmtId="179" fontId="3" fillId="8" borderId="0" xfId="22" applyFont="1" applyFill="1" applyAlignment="1" applyProtection="1" quotePrefix="1">
      <alignment horizontal="right"/>
      <protection/>
    </xf>
    <xf numFmtId="179" fontId="3" fillId="8" borderId="0" xfId="22" applyFont="1" applyFill="1" applyAlignment="1" applyProtection="1">
      <alignment horizontal="center"/>
      <protection/>
    </xf>
    <xf numFmtId="179" fontId="7" fillId="8" borderId="0" xfId="22" applyFont="1" applyFill="1" applyProtection="1">
      <alignment/>
      <protection/>
    </xf>
    <xf numFmtId="179" fontId="2" fillId="8" borderId="1" xfId="22" applyFont="1" applyFill="1" applyBorder="1" applyProtection="1">
      <alignment/>
      <protection/>
    </xf>
    <xf numFmtId="179" fontId="3" fillId="8" borderId="1" xfId="22" applyFont="1" applyFill="1" applyBorder="1" applyAlignment="1" applyProtection="1">
      <alignment horizontal="center"/>
      <protection/>
    </xf>
    <xf numFmtId="179" fontId="4" fillId="8" borderId="12" xfId="22" applyFont="1" applyFill="1" applyBorder="1" applyAlignment="1" applyProtection="1">
      <alignment horizontal="center" vertical="center" wrapText="1"/>
      <protection/>
    </xf>
    <xf numFmtId="179" fontId="4" fillId="8" borderId="12" xfId="22" applyFont="1" applyFill="1" applyBorder="1" applyAlignment="1" applyProtection="1">
      <alignment horizontal="right" vertical="center" wrapText="1"/>
      <protection/>
    </xf>
    <xf numFmtId="49" fontId="2" fillId="8" borderId="0" xfId="22" applyNumberFormat="1" applyFont="1" applyFill="1" applyBorder="1" applyAlignment="1" applyProtection="1">
      <alignment horizontal="center" vertical="center"/>
      <protection/>
    </xf>
    <xf numFmtId="179" fontId="2" fillId="8" borderId="0" xfId="22" applyFont="1" applyFill="1" applyBorder="1" applyProtection="1">
      <alignment/>
      <protection/>
    </xf>
    <xf numFmtId="179" fontId="3" fillId="8" borderId="0"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protection/>
    </xf>
    <xf numFmtId="179" fontId="4" fillId="8" borderId="0" xfId="22" applyFont="1" applyFill="1" applyBorder="1" applyProtection="1">
      <alignment/>
      <protection/>
    </xf>
    <xf numFmtId="179" fontId="7" fillId="8" borderId="0" xfId="22" applyFont="1" applyFill="1" applyBorder="1" applyProtection="1">
      <alignment/>
      <protection/>
    </xf>
    <xf numFmtId="179" fontId="26" fillId="8" borderId="0" xfId="22" applyFont="1" applyFill="1" applyAlignment="1" applyProtection="1">
      <alignment horizontal="left"/>
      <protection/>
    </xf>
    <xf numFmtId="179" fontId="7" fillId="8" borderId="0" xfId="22" applyFont="1" applyFill="1" applyBorder="1" applyAlignment="1" applyProtection="1">
      <alignment horizontal="left"/>
      <protection/>
    </xf>
    <xf numFmtId="179" fontId="4" fillId="8" borderId="0" xfId="22" applyFont="1" applyFill="1" applyBorder="1" applyAlignment="1" applyProtection="1">
      <alignment horizontal="center"/>
      <protection/>
    </xf>
    <xf numFmtId="179" fontId="26" fillId="8" borderId="0" xfId="22" applyFont="1" applyFill="1" applyAlignment="1" applyProtection="1">
      <alignment horizontal="left" wrapText="1"/>
      <protection/>
    </xf>
    <xf numFmtId="179" fontId="26" fillId="8" borderId="0" xfId="22" applyFont="1" applyFill="1" applyAlignment="1" applyProtection="1">
      <alignment horizontal="center"/>
      <protection/>
    </xf>
    <xf numFmtId="179" fontId="7" fillId="8" borderId="0" xfId="22" applyFont="1" applyFill="1" applyBorder="1" applyAlignment="1" applyProtection="1">
      <alignment vertical="center"/>
      <protection/>
    </xf>
    <xf numFmtId="49" fontId="2" fillId="0" borderId="0" xfId="22" applyNumberFormat="1" applyFont="1" applyFill="1" applyBorder="1" applyAlignment="1" applyProtection="1">
      <alignment horizontal="center" vertical="center"/>
      <protection/>
    </xf>
    <xf numFmtId="178" fontId="9" fillId="5" borderId="0" xfId="0" applyNumberFormat="1" applyFont="1" applyFill="1" applyBorder="1" applyAlignment="1" applyProtection="1">
      <alignment/>
      <protection/>
    </xf>
    <xf numFmtId="49" fontId="7" fillId="8" borderId="0" xfId="22" applyNumberFormat="1" applyFont="1" applyFill="1" applyBorder="1" applyAlignment="1" applyProtection="1">
      <alignment horizontal="center" vertical="center" shrinkToFit="1"/>
      <protection/>
    </xf>
    <xf numFmtId="0" fontId="35" fillId="8" borderId="0" xfId="24" applyFont="1" applyFill="1" applyBorder="1" applyAlignment="1">
      <alignment horizontal="right"/>
      <protection/>
    </xf>
    <xf numFmtId="195" fontId="25" fillId="2" borderId="11" xfId="24" applyNumberFormat="1" applyFont="1" applyFill="1" applyBorder="1" applyAlignment="1" applyProtection="1">
      <alignment horizontal="center" vertical="center"/>
      <protection locked="0"/>
    </xf>
    <xf numFmtId="0" fontId="1" fillId="8" borderId="0" xfId="24"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13" xfId="0" applyNumberFormat="1" applyFont="1" applyFill="1" applyBorder="1" applyAlignment="1" applyProtection="1">
      <alignment horizontal="center"/>
      <protection locked="0"/>
    </xf>
    <xf numFmtId="178" fontId="9" fillId="6" borderId="0" xfId="0" applyNumberFormat="1" applyFont="1" applyFill="1" applyBorder="1" applyAlignment="1" applyProtection="1">
      <alignment/>
      <protection/>
    </xf>
    <xf numFmtId="178" fontId="9" fillId="5" borderId="8" xfId="0" applyNumberFormat="1" applyFont="1" applyFill="1" applyBorder="1" applyAlignment="1" applyProtection="1">
      <alignment/>
      <protection/>
    </xf>
    <xf numFmtId="0" fontId="1" fillId="8" borderId="0" xfId="24" applyFont="1" applyFill="1" applyBorder="1" applyAlignment="1">
      <alignment vertical="center"/>
      <protection/>
    </xf>
    <xf numFmtId="0" fontId="1" fillId="8" borderId="0" xfId="24" applyFont="1" applyFill="1" applyBorder="1">
      <alignment/>
      <protection/>
    </xf>
    <xf numFmtId="179" fontId="2" fillId="10" borderId="0" xfId="0" applyFont="1" applyFill="1" applyAlignment="1" applyProtection="1">
      <alignment/>
      <protection/>
    </xf>
    <xf numFmtId="179" fontId="42" fillId="10" borderId="0" xfId="0" applyFont="1" applyFill="1" applyAlignment="1" applyProtection="1">
      <alignment horizontal="right"/>
      <protection/>
    </xf>
    <xf numFmtId="179" fontId="10" fillId="10" borderId="0" xfId="0" applyFont="1" applyFill="1" applyAlignment="1" applyProtection="1">
      <alignment vertical="center"/>
      <protection/>
    </xf>
    <xf numFmtId="178" fontId="9" fillId="5" borderId="0" xfId="0" applyNumberFormat="1" applyFont="1" applyFill="1" applyAlignment="1" applyProtection="1" quotePrefix="1">
      <alignment/>
      <protection/>
    </xf>
    <xf numFmtId="178" fontId="9" fillId="6" borderId="0" xfId="0" applyNumberFormat="1" applyFont="1" applyFill="1" applyAlignment="1" applyProtection="1" quotePrefix="1">
      <alignment/>
      <protection/>
    </xf>
    <xf numFmtId="179" fontId="16" fillId="8" borderId="0" xfId="0" applyFont="1" applyFill="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protection/>
    </xf>
    <xf numFmtId="179" fontId="2" fillId="8" borderId="2" xfId="0" applyFont="1" applyFill="1" applyBorder="1" applyAlignment="1" applyProtection="1">
      <alignment wrapText="1"/>
      <protection/>
    </xf>
    <xf numFmtId="179" fontId="2" fillId="8" borderId="0" xfId="0" applyFont="1" applyFill="1" applyAlignment="1" applyProtection="1">
      <alignment/>
      <protection/>
    </xf>
    <xf numFmtId="179" fontId="2" fillId="8" borderId="0" xfId="0" applyFont="1" applyFill="1" applyAlignment="1" applyProtection="1">
      <alignment horizontal="right"/>
      <protection/>
    </xf>
    <xf numFmtId="179" fontId="2" fillId="8" borderId="0" xfId="0" applyFont="1" applyFill="1" applyAlignment="1" applyProtection="1">
      <alignment horizontal="left"/>
      <protection/>
    </xf>
    <xf numFmtId="179" fontId="16" fillId="8" borderId="0" xfId="0" applyFont="1" applyFill="1" applyAlignment="1" applyProtection="1">
      <alignment horizontal="left"/>
      <protection/>
    </xf>
    <xf numFmtId="179" fontId="2" fillId="8" borderId="5" xfId="0" applyFont="1" applyFill="1" applyBorder="1" applyAlignment="1" applyProtection="1">
      <alignment/>
      <protection/>
    </xf>
    <xf numFmtId="179" fontId="2" fillId="8" borderId="5" xfId="0" applyFont="1" applyFill="1" applyBorder="1" applyAlignment="1" applyProtection="1">
      <alignment/>
      <protection/>
    </xf>
    <xf numFmtId="179" fontId="2" fillId="8" borderId="2" xfId="0" applyFont="1" applyFill="1" applyBorder="1" applyAlignment="1" applyProtection="1">
      <alignment horizontal="left"/>
      <protection/>
    </xf>
    <xf numFmtId="179" fontId="34" fillId="8" borderId="0" xfId="0" applyFont="1" applyFill="1" applyAlignment="1" applyProtection="1">
      <alignment horizontal="left"/>
      <protection/>
    </xf>
    <xf numFmtId="179" fontId="34" fillId="8" borderId="2" xfId="0" applyFont="1" applyFill="1" applyBorder="1" applyAlignment="1" applyProtection="1">
      <alignment/>
      <protection/>
    </xf>
    <xf numFmtId="179" fontId="4" fillId="8" borderId="0" xfId="0" applyFont="1" applyFill="1" applyAlignment="1" applyProtection="1">
      <alignment/>
      <protection/>
    </xf>
    <xf numFmtId="179" fontId="0" fillId="11" borderId="2" xfId="0" applyFont="1" applyFill="1" applyBorder="1" applyAlignment="1" applyProtection="1">
      <alignment/>
      <protection/>
    </xf>
    <xf numFmtId="179" fontId="3" fillId="8" borderId="0" xfId="0" applyFont="1" applyFill="1" applyAlignment="1" applyProtection="1">
      <alignment horizontal="right"/>
      <protection/>
    </xf>
    <xf numFmtId="179" fontId="2" fillId="8" borderId="2" xfId="0" applyFont="1" applyFill="1" applyBorder="1" applyAlignment="1" applyProtection="1">
      <alignment horizontal="right"/>
      <protection/>
    </xf>
    <xf numFmtId="179" fontId="2" fillId="8" borderId="8" xfId="0" applyFont="1" applyFill="1" applyBorder="1" applyAlignment="1" applyProtection="1">
      <alignment horizontal="right"/>
      <protection/>
    </xf>
    <xf numFmtId="179" fontId="2" fillId="8" borderId="2" xfId="0" applyFont="1" applyFill="1" applyBorder="1" applyAlignment="1" applyProtection="1">
      <alignment horizontal="right" shrinkToFit="1"/>
      <protection/>
    </xf>
    <xf numFmtId="179" fontId="0" fillId="11" borderId="0" xfId="0" applyFont="1" applyFill="1" applyBorder="1" applyAlignment="1" applyProtection="1">
      <alignment/>
      <protection/>
    </xf>
    <xf numFmtId="178" fontId="3" fillId="8" borderId="2"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8" borderId="2" xfId="0" applyFont="1" applyFill="1" applyBorder="1" applyAlignment="1" applyProtection="1">
      <alignment/>
      <protection/>
    </xf>
    <xf numFmtId="179" fontId="3" fillId="8" borderId="0" xfId="0" applyFont="1" applyFill="1" applyAlignment="1" applyProtection="1">
      <alignment/>
      <protection/>
    </xf>
    <xf numFmtId="179" fontId="3" fillId="8" borderId="8" xfId="0" applyFont="1" applyFill="1" applyBorder="1" applyAlignment="1" applyProtection="1">
      <alignment/>
      <protection/>
    </xf>
    <xf numFmtId="179" fontId="3" fillId="8" borderId="5" xfId="0" applyFont="1" applyFill="1" applyBorder="1" applyAlignment="1" applyProtection="1">
      <alignment/>
      <protection/>
    </xf>
    <xf numFmtId="178" fontId="3" fillId="8" borderId="8" xfId="0" applyNumberFormat="1" applyFont="1" applyFill="1" applyBorder="1" applyAlignment="1" applyProtection="1">
      <alignment/>
      <protection/>
    </xf>
    <xf numFmtId="179" fontId="3" fillId="8" borderId="0" xfId="0" applyFont="1" applyFill="1" applyBorder="1" applyAlignment="1" applyProtection="1">
      <alignment/>
      <protection/>
    </xf>
    <xf numFmtId="179" fontId="4" fillId="8" borderId="8" xfId="0" applyFont="1" applyFill="1" applyBorder="1" applyAlignment="1" applyProtection="1">
      <alignment/>
      <protection/>
    </xf>
    <xf numFmtId="179" fontId="2" fillId="8" borderId="0" xfId="0" applyFont="1" applyFill="1" applyBorder="1" applyAlignment="1" applyProtection="1">
      <alignment horizontal="right"/>
      <protection/>
    </xf>
    <xf numFmtId="179" fontId="2" fillId="8" borderId="5" xfId="0" applyFont="1" applyFill="1" applyBorder="1" applyAlignment="1" applyProtection="1">
      <alignment horizontal="right"/>
      <protection/>
    </xf>
    <xf numFmtId="179" fontId="2" fillId="8" borderId="0" xfId="0" applyFont="1" applyFill="1" applyAlignment="1" applyProtection="1">
      <alignment horizontal="center"/>
      <protection/>
    </xf>
    <xf numFmtId="197" fontId="2" fillId="2" borderId="8" xfId="0" applyNumberFormat="1" applyFont="1" applyFill="1" applyBorder="1" applyAlignment="1" applyProtection="1">
      <alignment/>
      <protection locked="0"/>
    </xf>
    <xf numFmtId="179" fontId="2" fillId="8" borderId="0" xfId="0" applyFont="1" applyFill="1" applyBorder="1" applyAlignment="1" applyProtection="1">
      <alignment horizontal="left"/>
      <protection/>
    </xf>
    <xf numFmtId="178" fontId="3" fillId="8" borderId="0" xfId="0" applyNumberFormat="1" applyFont="1" applyFill="1" applyAlignment="1" applyProtection="1">
      <alignment/>
      <protection/>
    </xf>
    <xf numFmtId="179" fontId="10" fillId="8" borderId="8" xfId="0" applyFont="1" applyFill="1" applyBorder="1" applyAlignment="1" applyProtection="1">
      <alignment horizontal="right"/>
      <protection/>
    </xf>
    <xf numFmtId="179" fontId="4" fillId="8" borderId="0" xfId="0" applyFont="1" applyFill="1" applyAlignment="1" applyProtection="1">
      <alignment horizontal="right"/>
      <protection/>
    </xf>
    <xf numFmtId="179" fontId="3" fillId="8" borderId="0" xfId="0" applyFont="1" applyFill="1" applyAlignment="1" applyProtection="1" quotePrefix="1">
      <alignment/>
      <protection/>
    </xf>
    <xf numFmtId="178" fontId="4" fillId="8" borderId="0" xfId="0" applyNumberFormat="1" applyFont="1" applyFill="1" applyAlignment="1" applyProtection="1">
      <alignment horizontal="left"/>
      <protection/>
    </xf>
    <xf numFmtId="178" fontId="4" fillId="8" borderId="0" xfId="0" applyNumberFormat="1" applyFont="1" applyFill="1" applyAlignment="1" applyProtection="1">
      <alignment/>
      <protection/>
    </xf>
    <xf numFmtId="179" fontId="0" fillId="8" borderId="0" xfId="0" applyFill="1" applyAlignment="1">
      <alignment/>
    </xf>
    <xf numFmtId="179" fontId="3" fillId="8" borderId="0" xfId="0" applyFont="1" applyFill="1" applyAlignment="1" applyProtection="1">
      <alignment horizontal="center"/>
      <protection/>
    </xf>
    <xf numFmtId="179" fontId="7" fillId="8" borderId="0" xfId="0" applyFont="1" applyFill="1" applyAlignment="1" applyProtection="1">
      <alignment/>
      <protection/>
    </xf>
    <xf numFmtId="179" fontId="13" fillId="8" borderId="0" xfId="0" applyFont="1" applyFill="1" applyAlignment="1" applyProtection="1">
      <alignment horizontal="right"/>
      <protection/>
    </xf>
    <xf numFmtId="179" fontId="12" fillId="8" borderId="0" xfId="0" applyFont="1" applyFill="1" applyAlignment="1" applyProtection="1">
      <alignment/>
      <protection/>
    </xf>
    <xf numFmtId="179" fontId="3" fillId="8" borderId="0" xfId="0" applyFont="1" applyFill="1" applyAlignment="1" applyProtection="1">
      <alignment horizontal="left"/>
      <protection/>
    </xf>
    <xf numFmtId="179" fontId="4" fillId="8" borderId="4" xfId="0" applyFont="1" applyFill="1" applyBorder="1" applyAlignment="1" applyProtection="1">
      <alignment/>
      <protection/>
    </xf>
    <xf numFmtId="179" fontId="4" fillId="8" borderId="5" xfId="0" applyFont="1" applyFill="1" applyBorder="1" applyAlignment="1" applyProtection="1">
      <alignment/>
      <protection/>
    </xf>
    <xf numFmtId="179" fontId="2" fillId="8" borderId="3" xfId="0" applyFont="1" applyFill="1" applyBorder="1" applyAlignment="1" applyProtection="1">
      <alignment/>
      <protection/>
    </xf>
    <xf numFmtId="179" fontId="2" fillId="8" borderId="0" xfId="0" applyFont="1" applyFill="1" applyBorder="1" applyAlignment="1" applyProtection="1">
      <alignment/>
      <protection/>
    </xf>
    <xf numFmtId="179" fontId="3" fillId="8" borderId="0" xfId="0" applyFont="1" applyFill="1" applyBorder="1" applyAlignment="1" applyProtection="1">
      <alignment horizontal="center"/>
      <protection/>
    </xf>
    <xf numFmtId="179" fontId="2" fillId="8" borderId="9" xfId="0" applyFont="1" applyFill="1" applyBorder="1" applyAlignment="1" applyProtection="1">
      <alignment/>
      <protection/>
    </xf>
    <xf numFmtId="179" fontId="2" fillId="8" borderId="0" xfId="0" applyFont="1" applyFill="1" applyBorder="1" applyAlignment="1" applyProtection="1">
      <alignment horizontal="center"/>
      <protection/>
    </xf>
    <xf numFmtId="179" fontId="0" fillId="8" borderId="0" xfId="0" applyFill="1" applyBorder="1" applyAlignment="1">
      <alignment/>
    </xf>
    <xf numFmtId="179" fontId="0" fillId="8" borderId="8" xfId="0" applyFill="1" applyBorder="1" applyAlignment="1">
      <alignment/>
    </xf>
    <xf numFmtId="179" fontId="0" fillId="8" borderId="2" xfId="0" applyFill="1" applyBorder="1" applyAlignment="1">
      <alignment/>
    </xf>
    <xf numFmtId="179" fontId="0" fillId="8" borderId="14" xfId="0" applyFill="1" applyBorder="1" applyAlignment="1">
      <alignment/>
    </xf>
    <xf numFmtId="179" fontId="0" fillId="8" borderId="7" xfId="0" applyFill="1" applyBorder="1" applyAlignment="1">
      <alignment/>
    </xf>
    <xf numFmtId="179" fontId="0" fillId="8" borderId="10" xfId="0" applyFill="1" applyBorder="1" applyAlignment="1">
      <alignment/>
    </xf>
    <xf numFmtId="197" fontId="7" fillId="2" borderId="8" xfId="0" applyNumberFormat="1" applyFont="1" applyFill="1" applyBorder="1" applyAlignment="1" applyProtection="1">
      <alignment/>
      <protection locked="0"/>
    </xf>
    <xf numFmtId="197" fontId="7" fillId="2" borderId="2" xfId="0" applyNumberFormat="1" applyFont="1" applyFill="1" applyBorder="1" applyAlignment="1" applyProtection="1">
      <alignment/>
      <protection locked="0"/>
    </xf>
    <xf numFmtId="179" fontId="17" fillId="8" borderId="0" xfId="0" applyFont="1" applyFill="1" applyBorder="1" applyAlignment="1" applyProtection="1">
      <alignment/>
      <protection/>
    </xf>
    <xf numFmtId="179" fontId="7" fillId="8" borderId="0" xfId="0" applyFont="1" applyFill="1" applyBorder="1" applyAlignment="1" applyProtection="1">
      <alignment/>
      <protection/>
    </xf>
    <xf numFmtId="179" fontId="7" fillId="8" borderId="5" xfId="0" applyFont="1" applyFill="1" applyBorder="1" applyAlignment="1" applyProtection="1">
      <alignment/>
      <protection/>
    </xf>
    <xf numFmtId="179" fontId="2" fillId="8" borderId="4" xfId="0" applyFont="1" applyFill="1" applyBorder="1" applyAlignment="1" applyProtection="1">
      <alignment/>
      <protection/>
    </xf>
    <xf numFmtId="179" fontId="8" fillId="8" borderId="0" xfId="0" applyFont="1" applyFill="1" applyAlignment="1" applyProtection="1">
      <alignment/>
      <protection/>
    </xf>
    <xf numFmtId="1" fontId="2" fillId="8" borderId="0" xfId="0" applyNumberFormat="1" applyFont="1" applyFill="1" applyBorder="1" applyAlignment="1" applyProtection="1">
      <alignment horizontal="left"/>
      <protection/>
    </xf>
    <xf numFmtId="179" fontId="2" fillId="8" borderId="6" xfId="0" applyFont="1" applyFill="1" applyBorder="1" applyAlignment="1" applyProtection="1">
      <alignment/>
      <protection/>
    </xf>
    <xf numFmtId="179" fontId="2" fillId="8" borderId="7" xfId="0" applyFont="1" applyFill="1" applyBorder="1" applyAlignment="1" applyProtection="1">
      <alignment/>
      <protection/>
    </xf>
    <xf numFmtId="1" fontId="2" fillId="8" borderId="0" xfId="0" applyNumberFormat="1" applyFont="1" applyFill="1" applyAlignment="1" applyProtection="1">
      <alignment horizontal="left"/>
      <protection/>
    </xf>
    <xf numFmtId="179" fontId="2" fillId="8" borderId="10" xfId="0" applyFont="1" applyFill="1" applyBorder="1" applyAlignment="1" applyProtection="1">
      <alignment/>
      <protection/>
    </xf>
    <xf numFmtId="179" fontId="14" fillId="8" borderId="1" xfId="0" applyFont="1" applyFill="1" applyBorder="1" applyAlignment="1" applyProtection="1">
      <alignment/>
      <protection/>
    </xf>
    <xf numFmtId="179" fontId="2" fillId="8" borderId="15" xfId="0" applyFont="1" applyFill="1" applyBorder="1" applyAlignment="1" applyProtection="1">
      <alignment/>
      <protection/>
    </xf>
    <xf numFmtId="179" fontId="2" fillId="8" borderId="1" xfId="0" applyFont="1" applyFill="1" applyBorder="1" applyAlignment="1" applyProtection="1">
      <alignment/>
      <protection/>
    </xf>
    <xf numFmtId="179" fontId="2" fillId="8" borderId="12" xfId="0" applyFont="1" applyFill="1" applyBorder="1" applyAlignment="1" applyProtection="1">
      <alignment/>
      <protection/>
    </xf>
    <xf numFmtId="179" fontId="3" fillId="8" borderId="15" xfId="0" applyFont="1" applyFill="1" applyBorder="1" applyAlignment="1" applyProtection="1">
      <alignment/>
      <protection/>
    </xf>
    <xf numFmtId="179" fontId="3" fillId="8" borderId="1" xfId="0" applyFont="1" applyFill="1" applyBorder="1" applyAlignment="1" applyProtection="1">
      <alignment horizontal="right"/>
      <protection/>
    </xf>
    <xf numFmtId="179" fontId="3" fillId="8" borderId="15" xfId="0" applyFont="1" applyFill="1" applyBorder="1" applyAlignment="1" applyProtection="1">
      <alignment horizontal="right"/>
      <protection/>
    </xf>
    <xf numFmtId="179" fontId="3" fillId="8" borderId="4" xfId="0" applyFont="1" applyFill="1" applyBorder="1" applyAlignment="1" applyProtection="1">
      <alignment/>
      <protection/>
    </xf>
    <xf numFmtId="179" fontId="2" fillId="8" borderId="16" xfId="0" applyFont="1" applyFill="1" applyBorder="1" applyAlignment="1" applyProtection="1">
      <alignment/>
      <protection/>
    </xf>
    <xf numFmtId="179" fontId="2" fillId="8" borderId="1" xfId="0" applyFont="1" applyFill="1" applyBorder="1" applyAlignment="1" applyProtection="1">
      <alignment horizontal="right"/>
      <protection/>
    </xf>
    <xf numFmtId="179" fontId="2" fillId="8" borderId="12" xfId="0" applyFont="1" applyFill="1" applyBorder="1" applyAlignment="1" applyProtection="1">
      <alignment horizontal="right"/>
      <protection/>
    </xf>
    <xf numFmtId="179" fontId="2" fillId="8" borderId="15" xfId="0" applyFont="1" applyFill="1" applyBorder="1" applyAlignment="1" applyProtection="1">
      <alignment horizontal="right"/>
      <protection/>
    </xf>
    <xf numFmtId="197" fontId="2" fillId="2" borderId="8" xfId="0" applyNumberFormat="1" applyFont="1" applyFill="1" applyBorder="1" applyAlignment="1" applyProtection="1">
      <alignment vertical="center"/>
      <protection locked="0"/>
    </xf>
    <xf numFmtId="197" fontId="2" fillId="2" borderId="2" xfId="0" applyNumberFormat="1" applyFont="1" applyFill="1" applyBorder="1" applyAlignment="1" applyProtection="1">
      <alignment vertical="center"/>
      <protection locked="0"/>
    </xf>
    <xf numFmtId="178" fontId="3" fillId="8" borderId="0" xfId="0" applyNumberFormat="1" applyFont="1" applyFill="1" applyAlignment="1" applyProtection="1">
      <alignment horizontal="center"/>
      <protection/>
    </xf>
    <xf numFmtId="178" fontId="2" fillId="8" borderId="0" xfId="0" applyNumberFormat="1" applyFont="1" applyFill="1" applyAlignment="1" applyProtection="1">
      <alignment horizontal="center"/>
      <protection/>
    </xf>
    <xf numFmtId="178" fontId="3" fillId="8" borderId="5" xfId="0" applyNumberFormat="1" applyFont="1" applyFill="1" applyBorder="1" applyAlignment="1" applyProtection="1">
      <alignment horizontal="center"/>
      <protection/>
    </xf>
    <xf numFmtId="178" fontId="3" fillId="8" borderId="0" xfId="0" applyNumberFormat="1" applyFont="1" applyFill="1" applyBorder="1" applyAlignment="1" applyProtection="1">
      <alignment horizontal="center"/>
      <protection/>
    </xf>
    <xf numFmtId="197" fontId="0" fillId="2" borderId="8" xfId="0" applyNumberFormat="1" applyBorder="1" applyAlignment="1" applyProtection="1">
      <alignment/>
      <protection locked="0"/>
    </xf>
    <xf numFmtId="197" fontId="0" fillId="2" borderId="2" xfId="0" applyNumberFormat="1" applyBorder="1" applyAlignment="1" applyProtection="1">
      <alignment/>
      <protection locked="0"/>
    </xf>
    <xf numFmtId="179" fontId="3" fillId="8" borderId="8" xfId="0" applyFont="1" applyFill="1" applyBorder="1" applyAlignment="1" applyProtection="1">
      <alignment horizontal="right"/>
      <protection/>
    </xf>
    <xf numFmtId="179" fontId="2" fillId="8" borderId="1" xfId="0" applyFont="1" applyFill="1" applyBorder="1" applyAlignment="1" applyProtection="1">
      <alignment horizontal="center"/>
      <protection/>
    </xf>
    <xf numFmtId="179" fontId="3" fillId="8" borderId="2" xfId="0" applyFont="1" applyFill="1" applyBorder="1" applyAlignment="1" applyProtection="1">
      <alignment horizontal="right"/>
      <protection/>
    </xf>
    <xf numFmtId="179" fontId="2" fillId="8" borderId="8" xfId="0" applyFont="1" applyFill="1" applyBorder="1" applyAlignment="1" applyProtection="1">
      <alignment vertical="top"/>
      <protection/>
    </xf>
    <xf numFmtId="179" fontId="2" fillId="8" borderId="8" xfId="0" applyFont="1" applyFill="1" applyBorder="1" applyAlignment="1" applyProtection="1">
      <alignment horizontal="left"/>
      <protection/>
    </xf>
    <xf numFmtId="179" fontId="3" fillId="8" borderId="4" xfId="0" applyFont="1" applyFill="1" applyBorder="1" applyAlignment="1" applyProtection="1">
      <alignment horizontal="left"/>
      <protection/>
    </xf>
    <xf numFmtId="179" fontId="2" fillId="8" borderId="3" xfId="0" applyFont="1" applyFill="1" applyBorder="1" applyAlignment="1" applyProtection="1">
      <alignment horizontal="left"/>
      <protection/>
    </xf>
    <xf numFmtId="179" fontId="3" fillId="8" borderId="3" xfId="0" applyFont="1" applyFill="1" applyBorder="1" applyAlignment="1" applyProtection="1">
      <alignment horizontal="left"/>
      <protection/>
    </xf>
    <xf numFmtId="179" fontId="2" fillId="8" borderId="3" xfId="0" applyFont="1" applyFill="1" applyBorder="1" applyAlignment="1" applyProtection="1">
      <alignment horizontal="right"/>
      <protection/>
    </xf>
    <xf numFmtId="179" fontId="2" fillId="8" borderId="9" xfId="0" applyFont="1" applyFill="1" applyBorder="1" applyAlignment="1" applyProtection="1">
      <alignment horizontal="right"/>
      <protection/>
    </xf>
    <xf numFmtId="179" fontId="2" fillId="8" borderId="4" xfId="0" applyFont="1" applyFill="1" applyBorder="1" applyAlignment="1" applyProtection="1">
      <alignment horizontal="left"/>
      <protection/>
    </xf>
    <xf numFmtId="179" fontId="11" fillId="8" borderId="0" xfId="0" applyFont="1" applyFill="1" applyAlignment="1" applyProtection="1">
      <alignment/>
      <protection/>
    </xf>
    <xf numFmtId="179" fontId="5" fillId="8" borderId="0" xfId="0" applyFont="1" applyFill="1" applyBorder="1" applyAlignment="1" applyProtection="1">
      <alignment horizontal="center"/>
      <protection/>
    </xf>
    <xf numFmtId="179" fontId="5" fillId="8" borderId="8" xfId="0" applyFont="1" applyFill="1" applyBorder="1" applyAlignment="1" applyProtection="1" quotePrefix="1">
      <alignment horizontal="center"/>
      <protection/>
    </xf>
    <xf numFmtId="179" fontId="5" fillId="8" borderId="0" xfId="0" applyFont="1" applyFill="1" applyBorder="1" applyAlignment="1" applyProtection="1" quotePrefix="1">
      <alignment/>
      <protection/>
    </xf>
    <xf numFmtId="179" fontId="2" fillId="8" borderId="8" xfId="0" applyFont="1" applyFill="1" applyBorder="1" applyAlignment="1" applyProtection="1">
      <alignment horizontal="center"/>
      <protection/>
    </xf>
    <xf numFmtId="179" fontId="3" fillId="8" borderId="5" xfId="0" applyFont="1" applyFill="1" applyBorder="1" applyAlignment="1" applyProtection="1">
      <alignment horizontal="right"/>
      <protection/>
    </xf>
    <xf numFmtId="179" fontId="6" fillId="8" borderId="0" xfId="0" applyFont="1" applyFill="1" applyBorder="1" applyAlignment="1" applyProtection="1">
      <alignment horizontal="center"/>
      <protection/>
    </xf>
    <xf numFmtId="179" fontId="4" fillId="8" borderId="2" xfId="0" applyFont="1" applyFill="1" applyBorder="1" applyAlignment="1" applyProtection="1">
      <alignment/>
      <protection/>
    </xf>
    <xf numFmtId="179" fontId="3" fillId="8" borderId="0" xfId="0" applyFont="1" applyFill="1" applyAlignment="1" applyProtection="1" quotePrefix="1">
      <alignment horizontal="center"/>
      <protection/>
    </xf>
    <xf numFmtId="179" fontId="3" fillId="8" borderId="5" xfId="0" applyFont="1" applyFill="1" applyBorder="1" applyAlignment="1" applyProtection="1" quotePrefix="1">
      <alignment/>
      <protection/>
    </xf>
    <xf numFmtId="179" fontId="3" fillId="8" borderId="0" xfId="0" applyFont="1" applyFill="1" applyBorder="1" applyAlignment="1" applyProtection="1" quotePrefix="1">
      <alignment/>
      <protection/>
    </xf>
    <xf numFmtId="178" fontId="3" fillId="8" borderId="0" xfId="0" applyNumberFormat="1" applyFont="1" applyFill="1" applyBorder="1" applyAlignment="1" applyProtection="1">
      <alignment/>
      <protection/>
    </xf>
    <xf numFmtId="179" fontId="3" fillId="8" borderId="6" xfId="0" applyFont="1" applyFill="1" applyBorder="1" applyAlignment="1" applyProtection="1" quotePrefix="1">
      <alignment/>
      <protection/>
    </xf>
    <xf numFmtId="179" fontId="3" fillId="8" borderId="7" xfId="0" applyFont="1" applyFill="1" applyBorder="1" applyAlignment="1" applyProtection="1" quotePrefix="1">
      <alignment/>
      <protection/>
    </xf>
    <xf numFmtId="179" fontId="3" fillId="8" borderId="7" xfId="0" applyFont="1" applyFill="1" applyBorder="1" applyAlignment="1" applyProtection="1">
      <alignment/>
      <protection/>
    </xf>
    <xf numFmtId="179" fontId="3" fillId="8" borderId="10" xfId="0" applyFont="1" applyFill="1" applyBorder="1" applyAlignment="1" applyProtection="1">
      <alignment/>
      <protection/>
    </xf>
    <xf numFmtId="179" fontId="41" fillId="8" borderId="5" xfId="0" applyFont="1" applyFill="1" applyBorder="1" applyAlignment="1" applyProtection="1">
      <alignment horizontal="left"/>
      <protection/>
    </xf>
    <xf numFmtId="178" fontId="3" fillId="8" borderId="0" xfId="0" applyNumberFormat="1" applyFont="1" applyFill="1" applyAlignment="1" applyProtection="1">
      <alignment horizontal="left"/>
      <protection/>
    </xf>
    <xf numFmtId="197" fontId="0" fillId="2" borderId="0" xfId="0" applyNumberFormat="1" applyBorder="1" applyAlignment="1">
      <alignment/>
    </xf>
    <xf numFmtId="179" fontId="2" fillId="8" borderId="17" xfId="0"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10" fillId="8" borderId="4" xfId="0" applyFont="1" applyFill="1" applyBorder="1" applyAlignment="1" applyProtection="1">
      <alignment/>
      <protection/>
    </xf>
    <xf numFmtId="179" fontId="10" fillId="8" borderId="5" xfId="0" applyFont="1" applyFill="1" applyBorder="1" applyAlignment="1" applyProtection="1">
      <alignment/>
      <protection/>
    </xf>
    <xf numFmtId="179" fontId="2" fillId="8" borderId="6" xfId="0" applyFont="1" applyFill="1" applyBorder="1" applyAlignment="1" applyProtection="1">
      <alignment horizontal="center"/>
      <protection/>
    </xf>
    <xf numFmtId="179" fontId="5" fillId="8" borderId="17" xfId="0" applyFont="1" applyFill="1" applyBorder="1" applyAlignment="1" applyProtection="1">
      <alignment horizontal="center"/>
      <protection/>
    </xf>
    <xf numFmtId="179" fontId="5" fillId="8" borderId="13" xfId="0" applyFont="1" applyFill="1" applyBorder="1" applyAlignment="1" applyProtection="1">
      <alignment horizontal="center"/>
      <protection/>
    </xf>
    <xf numFmtId="197" fontId="2" fillId="2" borderId="11" xfId="0" applyNumberFormat="1" applyFont="1" applyFill="1" applyBorder="1" applyAlignment="1" applyProtection="1">
      <alignment/>
      <protection locked="0"/>
    </xf>
    <xf numFmtId="179" fontId="2" fillId="8" borderId="4" xfId="0" applyFont="1" applyFill="1" applyBorder="1" applyAlignment="1" applyProtection="1">
      <alignment horizontal="right"/>
      <protection/>
    </xf>
    <xf numFmtId="178" fontId="2" fillId="8" borderId="2" xfId="0" applyNumberFormat="1" applyFont="1" applyFill="1" applyBorder="1" applyAlignment="1" applyProtection="1">
      <alignment horizontal="right"/>
      <protection/>
    </xf>
    <xf numFmtId="178" fontId="2" fillId="8" borderId="8" xfId="0" applyNumberFormat="1" applyFont="1" applyFill="1" applyBorder="1" applyAlignment="1" applyProtection="1">
      <alignment/>
      <protection/>
    </xf>
    <xf numFmtId="179" fontId="16" fillId="8" borderId="0" xfId="0" applyFont="1" applyFill="1" applyAlignment="1" applyProtection="1">
      <alignment horizontal="right"/>
      <protection/>
    </xf>
    <xf numFmtId="3" fontId="2" fillId="2" borderId="13" xfId="0" applyNumberFormat="1" applyFont="1" applyFill="1" applyBorder="1" applyAlignment="1" applyProtection="1">
      <alignment/>
      <protection locked="0"/>
    </xf>
    <xf numFmtId="178" fontId="2" fillId="8" borderId="0" xfId="0" applyNumberFormat="1" applyFont="1" applyFill="1" applyAlignment="1" applyProtection="1">
      <alignment horizontal="right"/>
      <protection/>
    </xf>
    <xf numFmtId="187" fontId="2" fillId="8" borderId="0" xfId="0" applyNumberFormat="1" applyFont="1" applyFill="1" applyAlignment="1" applyProtection="1">
      <alignment/>
      <protection/>
    </xf>
    <xf numFmtId="187" fontId="4" fillId="8" borderId="0" xfId="0" applyNumberFormat="1" applyFont="1" applyFill="1" applyAlignment="1" applyProtection="1">
      <alignment/>
      <protection/>
    </xf>
    <xf numFmtId="187" fontId="2" fillId="8" borderId="3" xfId="0" applyNumberFormat="1" applyFont="1" applyFill="1" applyBorder="1" applyAlignment="1" applyProtection="1">
      <alignment/>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2" fillId="8" borderId="17" xfId="0" applyFont="1" applyFill="1" applyBorder="1" applyAlignment="1" applyProtection="1">
      <alignment horizontal="center"/>
      <protection/>
    </xf>
    <xf numFmtId="179" fontId="2" fillId="8" borderId="20" xfId="0" applyFont="1" applyFill="1" applyBorder="1" applyAlignment="1" applyProtection="1">
      <alignment horizontal="center"/>
      <protection/>
    </xf>
    <xf numFmtId="179" fontId="2" fillId="8" borderId="13" xfId="0" applyFont="1" applyFill="1" applyBorder="1" applyAlignment="1" applyProtection="1">
      <alignment/>
      <protection/>
    </xf>
    <xf numFmtId="197" fontId="2" fillId="2" borderId="11" xfId="0" applyNumberFormat="1" applyFont="1" applyFill="1" applyBorder="1" applyAlignment="1" applyProtection="1">
      <alignment horizontal="center"/>
      <protection locked="0"/>
    </xf>
    <xf numFmtId="197" fontId="2" fillId="2" borderId="13" xfId="0" applyNumberFormat="1" applyFont="1" applyFill="1" applyBorder="1" applyAlignment="1" applyProtection="1">
      <alignment horizontal="center"/>
      <protection locked="0"/>
    </xf>
    <xf numFmtId="197" fontId="2" fillId="2" borderId="13" xfId="28" applyNumberFormat="1" applyFill="1" applyBorder="1" applyAlignment="1" applyProtection="1">
      <alignment horizontal="center"/>
      <protection locked="0"/>
    </xf>
    <xf numFmtId="179" fontId="2" fillId="8" borderId="7" xfId="0" applyFont="1" applyFill="1" applyBorder="1" applyAlignment="1" applyProtection="1">
      <alignment horizontal="center"/>
      <protection/>
    </xf>
    <xf numFmtId="179" fontId="5" fillId="8" borderId="0" xfId="0" applyFont="1" applyFill="1" applyAlignment="1" applyProtection="1">
      <alignment/>
      <protection/>
    </xf>
    <xf numFmtId="179" fontId="16" fillId="8" borderId="0" xfId="0" applyFont="1" applyFill="1" applyAlignment="1" applyProtection="1">
      <alignment horizontal="center"/>
      <protection/>
    </xf>
    <xf numFmtId="178" fontId="2" fillId="8" borderId="0" xfId="0" applyNumberFormat="1" applyFont="1" applyFill="1" applyBorder="1" applyAlignment="1" applyProtection="1">
      <alignment/>
      <protection/>
    </xf>
    <xf numFmtId="178" fontId="3" fillId="8" borderId="0" xfId="0" applyNumberFormat="1" applyFont="1" applyFill="1" applyBorder="1" applyAlignment="1" applyProtection="1">
      <alignment horizontal="right"/>
      <protection/>
    </xf>
    <xf numFmtId="179" fontId="2" fillId="8" borderId="2" xfId="0" applyFont="1" applyFill="1" applyBorder="1" applyAlignment="1" applyProtection="1">
      <alignment horizontal="center"/>
      <protection/>
    </xf>
    <xf numFmtId="179" fontId="2" fillId="8" borderId="5" xfId="0" applyFont="1" applyFill="1" applyBorder="1" applyAlignment="1" applyProtection="1">
      <alignment horizontal="left"/>
      <protection/>
    </xf>
    <xf numFmtId="179" fontId="17" fillId="8" borderId="0" xfId="0" applyFont="1" applyFill="1" applyAlignment="1" applyProtection="1">
      <alignment/>
      <protection/>
    </xf>
    <xf numFmtId="179" fontId="0" fillId="12" borderId="0" xfId="0" applyFill="1" applyAlignment="1">
      <alignment/>
    </xf>
    <xf numFmtId="179" fontId="2" fillId="12" borderId="0" xfId="0" applyFont="1" applyFill="1" applyAlignment="1" applyProtection="1">
      <alignment/>
      <protection/>
    </xf>
    <xf numFmtId="179" fontId="16" fillId="12" borderId="0" xfId="0" applyFont="1" applyFill="1" applyAlignment="1" applyProtection="1">
      <alignment/>
      <protection/>
    </xf>
    <xf numFmtId="179" fontId="4" fillId="12" borderId="0" xfId="0" applyFont="1" applyFill="1" applyAlignment="1" applyProtection="1">
      <alignment/>
      <protection/>
    </xf>
    <xf numFmtId="179" fontId="2" fillId="12" borderId="8" xfId="0" applyFont="1" applyFill="1" applyBorder="1" applyAlignment="1" applyProtection="1">
      <alignment/>
      <protection/>
    </xf>
    <xf numFmtId="179" fontId="2" fillId="12" borderId="0" xfId="0" applyFont="1" applyFill="1" applyBorder="1" applyAlignment="1" applyProtection="1">
      <alignment/>
      <protection/>
    </xf>
    <xf numFmtId="179" fontId="3" fillId="12" borderId="0" xfId="0" applyFont="1" applyFill="1" applyAlignment="1" applyProtection="1">
      <alignment/>
      <protection/>
    </xf>
    <xf numFmtId="179" fontId="2" fillId="12" borderId="2" xfId="0" applyFont="1" applyFill="1" applyBorder="1" applyAlignment="1" applyProtection="1">
      <alignment/>
      <protection/>
    </xf>
    <xf numFmtId="179" fontId="10" fillId="12" borderId="2" xfId="0" applyFont="1" applyFill="1" applyBorder="1" applyAlignment="1" applyProtection="1">
      <alignment/>
      <protection/>
    </xf>
    <xf numFmtId="179" fontId="3" fillId="12" borderId="0" xfId="0" applyFont="1" applyFill="1" applyAlignment="1" applyProtection="1">
      <alignment horizontal="right"/>
      <protection/>
    </xf>
    <xf numFmtId="179" fontId="10" fillId="12" borderId="2" xfId="0" applyFont="1" applyFill="1" applyBorder="1" applyAlignment="1" applyProtection="1">
      <alignment horizontal="right"/>
      <protection/>
    </xf>
    <xf numFmtId="179" fontId="2" fillId="12" borderId="8" xfId="0" applyFont="1" applyFill="1" applyBorder="1" applyAlignment="1" applyProtection="1">
      <alignment horizontal="right"/>
      <protection/>
    </xf>
    <xf numFmtId="179" fontId="2" fillId="12" borderId="21" xfId="0" applyFont="1" applyFill="1" applyBorder="1" applyAlignment="1" applyProtection="1">
      <alignment/>
      <protection/>
    </xf>
    <xf numFmtId="179" fontId="10" fillId="12" borderId="8" xfId="0" applyFont="1" applyFill="1" applyBorder="1" applyAlignment="1" applyProtection="1">
      <alignment horizontal="right"/>
      <protection/>
    </xf>
    <xf numFmtId="179" fontId="2" fillId="12" borderId="0" xfId="0" applyFont="1" applyFill="1" applyBorder="1" applyAlignment="1" applyProtection="1">
      <alignment horizontal="center"/>
      <protection/>
    </xf>
    <xf numFmtId="179" fontId="10" fillId="12" borderId="0" xfId="0" applyFont="1" applyFill="1" applyBorder="1" applyAlignment="1" applyProtection="1">
      <alignment horizontal="center"/>
      <protection/>
    </xf>
    <xf numFmtId="179" fontId="2" fillId="12" borderId="14" xfId="0" applyFont="1" applyFill="1" applyBorder="1" applyAlignment="1" applyProtection="1">
      <alignment horizontal="right"/>
      <protection/>
    </xf>
    <xf numFmtId="179" fontId="3" fillId="12" borderId="8" xfId="0" applyFont="1" applyFill="1" applyBorder="1" applyAlignment="1" applyProtection="1">
      <alignment horizontal="right"/>
      <protection/>
    </xf>
    <xf numFmtId="179" fontId="2" fillId="12" borderId="5" xfId="0" applyFont="1" applyFill="1" applyBorder="1" applyAlignment="1" applyProtection="1">
      <alignment/>
      <protection/>
    </xf>
    <xf numFmtId="179" fontId="3" fillId="12" borderId="0" xfId="0" applyFont="1" applyFill="1" applyBorder="1" applyAlignment="1" applyProtection="1" quotePrefix="1">
      <alignment horizontal="center"/>
      <protection/>
    </xf>
    <xf numFmtId="179" fontId="2" fillId="12" borderId="0" xfId="0" applyFont="1" applyFill="1" applyAlignment="1" applyProtection="1" quotePrefix="1">
      <alignment/>
      <protection/>
    </xf>
    <xf numFmtId="179" fontId="42" fillId="12" borderId="0" xfId="0" applyFont="1" applyFill="1" applyAlignment="1" applyProtection="1">
      <alignment horizontal="right"/>
      <protection/>
    </xf>
    <xf numFmtId="179" fontId="17" fillId="12" borderId="0" xfId="0" applyFont="1" applyFill="1" applyAlignment="1" applyProtection="1">
      <alignment/>
      <protection/>
    </xf>
    <xf numFmtId="179" fontId="8" fillId="12" borderId="0" xfId="0" applyFont="1" applyFill="1" applyAlignment="1" applyProtection="1">
      <alignment horizontal="center"/>
      <protection/>
    </xf>
    <xf numFmtId="179" fontId="3" fillId="12" borderId="0" xfId="0" applyFont="1" applyFill="1" applyAlignment="1" applyProtection="1" quotePrefix="1">
      <alignment horizontal="right"/>
      <protection/>
    </xf>
    <xf numFmtId="179" fontId="16" fillId="12" borderId="0" xfId="0" applyFont="1" applyFill="1" applyAlignment="1" applyProtection="1">
      <alignment horizontal="right"/>
      <protection/>
    </xf>
    <xf numFmtId="179" fontId="11" fillId="12" borderId="0" xfId="0" applyFont="1" applyFill="1" applyAlignment="1" applyProtection="1">
      <alignment/>
      <protection/>
    </xf>
    <xf numFmtId="179" fontId="2" fillId="12" borderId="0" xfId="0" applyFont="1" applyFill="1" applyAlignment="1" applyProtection="1">
      <alignment horizontal="right"/>
      <protection/>
    </xf>
    <xf numFmtId="179" fontId="44" fillId="12" borderId="0" xfId="0" applyFont="1" applyFill="1" applyAlignment="1" applyProtection="1">
      <alignment horizontal="center"/>
      <protection/>
    </xf>
    <xf numFmtId="179" fontId="4" fillId="12" borderId="0" xfId="0" applyFont="1" applyFill="1" applyAlignment="1" applyProtection="1">
      <alignment horizontal="right"/>
      <protection/>
    </xf>
    <xf numFmtId="179" fontId="16" fillId="12" borderId="0" xfId="0" applyFont="1" applyFill="1" applyAlignment="1" applyProtection="1">
      <alignment horizontal="left"/>
      <protection/>
    </xf>
    <xf numFmtId="179" fontId="16" fillId="12" borderId="0" xfId="0" applyFont="1" applyFill="1" applyAlignment="1" applyProtection="1">
      <alignment horizontal="center"/>
      <protection/>
    </xf>
    <xf numFmtId="179" fontId="2" fillId="12" borderId="3" xfId="0" applyFont="1" applyFill="1" applyBorder="1" applyAlignment="1" applyProtection="1">
      <alignment/>
      <protection/>
    </xf>
    <xf numFmtId="179" fontId="3" fillId="12" borderId="3" xfId="0" applyFont="1" applyFill="1" applyBorder="1" applyAlignment="1" applyProtection="1">
      <alignment/>
      <protection/>
    </xf>
    <xf numFmtId="179" fontId="2" fillId="12" borderId="1" xfId="0" applyFont="1" applyFill="1" applyBorder="1" applyAlignment="1" applyProtection="1">
      <alignment/>
      <protection/>
    </xf>
    <xf numFmtId="179" fontId="3" fillId="12" borderId="0" xfId="0" applyFont="1" applyFill="1" applyBorder="1" applyAlignment="1" applyProtection="1">
      <alignment/>
      <protection/>
    </xf>
    <xf numFmtId="179" fontId="16" fillId="12" borderId="0" xfId="0" applyFont="1" applyFill="1" applyBorder="1" applyAlignment="1" applyProtection="1">
      <alignment/>
      <protection/>
    </xf>
    <xf numFmtId="179" fontId="2" fillId="12" borderId="0" xfId="0" applyFont="1" applyFill="1" applyBorder="1" applyAlignment="1" applyProtection="1">
      <alignment horizontal="right"/>
      <protection/>
    </xf>
    <xf numFmtId="179" fontId="2" fillId="12" borderId="1" xfId="0" applyFont="1" applyFill="1" applyBorder="1" applyAlignment="1" applyProtection="1">
      <alignment horizontal="right"/>
      <protection/>
    </xf>
    <xf numFmtId="179" fontId="3" fillId="12" borderId="0" xfId="0" applyFont="1" applyFill="1" applyBorder="1" applyAlignment="1" applyProtection="1">
      <alignment horizontal="right"/>
      <protection/>
    </xf>
    <xf numFmtId="179" fontId="3" fillId="12" borderId="1" xfId="0" applyFont="1" applyFill="1" applyBorder="1" applyAlignment="1" applyProtection="1">
      <alignment horizontal="right"/>
      <protection/>
    </xf>
    <xf numFmtId="178" fontId="3" fillId="12" borderId="0" xfId="0" applyNumberFormat="1" applyFont="1" applyFill="1" applyAlignment="1" applyProtection="1">
      <alignment/>
      <protection/>
    </xf>
    <xf numFmtId="179" fontId="2" fillId="12" borderId="7" xfId="0" applyFont="1" applyFill="1" applyBorder="1" applyAlignment="1" applyProtection="1">
      <alignment/>
      <protection/>
    </xf>
    <xf numFmtId="179" fontId="2" fillId="12" borderId="10" xfId="0" applyFont="1" applyFill="1" applyBorder="1" applyAlignment="1" applyProtection="1">
      <alignment/>
      <protection/>
    </xf>
    <xf numFmtId="197" fontId="0" fillId="2" borderId="0" xfId="0" applyNumberFormat="1" applyBorder="1" applyAlignment="1" quotePrefix="1">
      <alignment/>
    </xf>
    <xf numFmtId="179" fontId="39" fillId="12" borderId="0" xfId="0" applyFont="1" applyFill="1" applyAlignment="1">
      <alignment/>
    </xf>
    <xf numFmtId="179" fontId="0" fillId="12" borderId="0" xfId="0" applyFont="1" applyFill="1" applyAlignment="1">
      <alignment/>
    </xf>
    <xf numFmtId="179" fontId="0" fillId="12" borderId="8" xfId="0" applyFont="1" applyFill="1" applyBorder="1" applyAlignment="1">
      <alignment/>
    </xf>
    <xf numFmtId="179" fontId="0" fillId="12" borderId="2" xfId="0" applyFont="1" applyFill="1" applyBorder="1" applyAlignment="1">
      <alignment/>
    </xf>
    <xf numFmtId="179" fontId="2" fillId="12" borderId="1" xfId="0" applyFont="1" applyFill="1" applyBorder="1" applyAlignment="1" applyProtection="1">
      <alignment horizontal="left"/>
      <protection/>
    </xf>
    <xf numFmtId="179" fontId="2" fillId="12" borderId="0" xfId="0" applyFont="1" applyFill="1" applyAlignment="1" applyProtection="1">
      <alignment horizontal="left"/>
      <protection/>
    </xf>
    <xf numFmtId="179" fontId="3" fillId="12" borderId="2" xfId="0" applyFont="1" applyFill="1" applyBorder="1" applyAlignment="1" applyProtection="1">
      <alignment horizontal="right"/>
      <protection/>
    </xf>
    <xf numFmtId="197" fontId="2" fillId="3" borderId="8"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0" fillId="0" borderId="9" xfId="0" applyFill="1" applyBorder="1" applyAlignment="1" applyProtection="1">
      <alignment/>
      <protection locked="0"/>
    </xf>
    <xf numFmtId="49" fontId="4" fillId="2" borderId="0" xfId="22" applyNumberFormat="1" applyFont="1" applyFill="1" applyBorder="1" applyAlignment="1" applyProtection="1">
      <alignment horizontal="right" vertical="center"/>
      <protection locked="0"/>
    </xf>
    <xf numFmtId="49" fontId="4" fillId="2" borderId="3" xfId="22" applyNumberFormat="1" applyFont="1" applyFill="1" applyBorder="1" applyAlignment="1" applyProtection="1">
      <alignment horizontal="right" vertical="center"/>
      <protection locked="0"/>
    </xf>
    <xf numFmtId="49" fontId="4" fillId="2" borderId="20" xfId="22" applyNumberFormat="1" applyFont="1" applyFill="1" applyBorder="1" applyAlignment="1" applyProtection="1">
      <alignment horizontal="right" vertical="center"/>
      <protection locked="0"/>
    </xf>
    <xf numFmtId="197" fontId="4" fillId="2" borderId="0" xfId="22" applyNumberFormat="1" applyFont="1" applyFill="1" applyBorder="1" applyAlignment="1" applyProtection="1">
      <alignment horizontal="right"/>
      <protection locked="0"/>
    </xf>
    <xf numFmtId="197" fontId="4" fillId="2" borderId="3" xfId="22" applyNumberFormat="1" applyFont="1" applyFill="1" applyBorder="1" applyAlignment="1" applyProtection="1">
      <alignment horizontal="right"/>
      <protection locked="0"/>
    </xf>
    <xf numFmtId="197" fontId="4" fillId="2" borderId="20" xfId="22" applyNumberFormat="1" applyFont="1" applyFill="1" applyBorder="1" applyAlignment="1" applyProtection="1">
      <alignment horizontal="right"/>
      <protection locked="0"/>
    </xf>
    <xf numFmtId="197" fontId="4" fillId="2" borderId="0" xfId="22" applyNumberFormat="1" applyFont="1" applyFill="1" applyBorder="1" applyAlignment="1" applyProtection="1">
      <alignment horizontal="right" vertical="center"/>
      <protection locked="0"/>
    </xf>
    <xf numFmtId="197" fontId="4" fillId="2" borderId="3" xfId="22" applyNumberFormat="1" applyFont="1" applyFill="1" applyBorder="1" applyAlignment="1" applyProtection="1">
      <alignment horizontal="right" vertical="center"/>
      <protection locked="0"/>
    </xf>
    <xf numFmtId="197" fontId="4" fillId="2" borderId="20" xfId="22"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11" xfId="24" applyFont="1" applyFill="1" applyBorder="1" applyAlignment="1" applyProtection="1">
      <alignment horizontal="center" vertical="center"/>
      <protection locked="0"/>
    </xf>
    <xf numFmtId="187" fontId="10" fillId="8" borderId="0" xfId="0" applyNumberFormat="1" applyFont="1" applyFill="1" applyAlignment="1" applyProtection="1">
      <alignment/>
      <protection/>
    </xf>
    <xf numFmtId="179" fontId="10" fillId="8" borderId="0" xfId="0" applyFont="1" applyFill="1" applyAlignment="1" applyProtection="1">
      <alignment/>
      <protection/>
    </xf>
    <xf numFmtId="0" fontId="24" fillId="8" borderId="8" xfId="24" applyFont="1" applyFill="1" applyBorder="1" applyAlignment="1" applyProtection="1">
      <alignment horizontal="left" vertical="center"/>
      <protection/>
    </xf>
    <xf numFmtId="179" fontId="3" fillId="12" borderId="0" xfId="0" applyFont="1" applyFill="1" applyAlignment="1" applyProtection="1" quotePrefix="1">
      <alignment horizontal="center" vertical="center"/>
      <protection/>
    </xf>
    <xf numFmtId="179" fontId="3" fillId="12" borderId="0" xfId="0" applyFont="1" applyFill="1" applyAlignment="1" applyProtection="1">
      <alignment horizontal="right" vertical="center"/>
      <protection/>
    </xf>
    <xf numFmtId="179" fontId="2" fillId="12" borderId="8" xfId="0" applyFont="1" applyFill="1" applyBorder="1" applyAlignment="1" applyProtection="1">
      <alignment vertical="center"/>
      <protection/>
    </xf>
    <xf numFmtId="179" fontId="8" fillId="12" borderId="8" xfId="0" applyFont="1" applyFill="1" applyBorder="1" applyAlignment="1" applyProtection="1">
      <alignment horizontal="center"/>
      <protection/>
    </xf>
    <xf numFmtId="179" fontId="2" fillId="12" borderId="2" xfId="0" applyFont="1" applyFill="1" applyBorder="1" applyAlignment="1" applyProtection="1">
      <alignment vertical="center"/>
      <protection/>
    </xf>
    <xf numFmtId="179" fontId="8" fillId="12" borderId="2" xfId="0" applyFont="1" applyFill="1" applyBorder="1" applyAlignment="1" applyProtection="1">
      <alignment horizontal="center"/>
      <protection/>
    </xf>
    <xf numFmtId="179" fontId="2" fillId="12" borderId="0" xfId="0" applyFont="1" applyFill="1" applyAlignment="1" applyProtection="1">
      <alignment vertical="center"/>
      <protection/>
    </xf>
    <xf numFmtId="179" fontId="4" fillId="12" borderId="0" xfId="0" applyFont="1" applyFill="1" applyAlignment="1" applyProtection="1">
      <alignment vertical="center"/>
      <protection/>
    </xf>
    <xf numFmtId="179" fontId="2" fillId="12" borderId="5" xfId="0" applyFont="1" applyFill="1" applyBorder="1" applyAlignment="1" applyProtection="1">
      <alignment vertical="center"/>
      <protection/>
    </xf>
    <xf numFmtId="179" fontId="8" fillId="12" borderId="5" xfId="0" applyFont="1" applyFill="1" applyBorder="1" applyAlignment="1" applyProtection="1">
      <alignment horizontal="center"/>
      <protection/>
    </xf>
    <xf numFmtId="179" fontId="3" fillId="12" borderId="0" xfId="0" applyFont="1" applyFill="1" applyAlignment="1" applyProtection="1">
      <alignment vertical="center"/>
      <protection/>
    </xf>
    <xf numFmtId="179" fontId="8" fillId="12" borderId="0" xfId="0" applyFont="1" applyFill="1" applyAlignment="1" applyProtection="1">
      <alignment horizontal="center" vertical="center"/>
      <protection/>
    </xf>
    <xf numFmtId="179" fontId="8" fillId="12" borderId="8" xfId="0" applyFont="1" applyFill="1" applyBorder="1" applyAlignment="1" applyProtection="1">
      <alignment horizontal="center" vertical="center"/>
      <protection/>
    </xf>
    <xf numFmtId="179" fontId="8" fillId="12" borderId="2" xfId="0" applyFont="1" applyFill="1" applyBorder="1" applyAlignment="1" applyProtection="1">
      <alignment horizontal="center" vertical="center"/>
      <protection/>
    </xf>
    <xf numFmtId="179" fontId="8" fillId="12" borderId="5" xfId="0" applyFont="1" applyFill="1" applyBorder="1" applyAlignment="1" applyProtection="1">
      <alignment horizontal="center" vertical="center"/>
      <protection/>
    </xf>
    <xf numFmtId="179" fontId="10" fillId="12" borderId="0" xfId="0" applyFont="1" applyFill="1" applyAlignment="1" applyProtection="1">
      <alignment vertical="center"/>
      <protection/>
    </xf>
    <xf numFmtId="179" fontId="2" fillId="12" borderId="0" xfId="0" applyFont="1" applyFill="1" applyAlignment="1" applyProtection="1">
      <alignment horizontal="right" vertical="center"/>
      <protection/>
    </xf>
    <xf numFmtId="197" fontId="2" fillId="2" borderId="5" xfId="0" applyNumberFormat="1" applyFont="1" applyFill="1" applyBorder="1" applyAlignment="1" applyProtection="1">
      <alignment/>
      <protection locked="0"/>
    </xf>
    <xf numFmtId="179" fontId="2" fillId="10" borderId="0" xfId="0" applyFont="1" applyFill="1" applyBorder="1" applyAlignment="1" applyProtection="1">
      <alignment/>
      <protection/>
    </xf>
    <xf numFmtId="179" fontId="3" fillId="10" borderId="0" xfId="0" applyFont="1" applyFill="1" applyBorder="1" applyAlignment="1" applyProtection="1">
      <alignment/>
      <protection/>
    </xf>
    <xf numFmtId="179" fontId="3" fillId="10" borderId="0" xfId="0" applyFont="1" applyFill="1" applyBorder="1" applyAlignment="1" applyProtection="1">
      <alignment horizontal="right"/>
      <protection/>
    </xf>
    <xf numFmtId="178"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200" fontId="7" fillId="2" borderId="8" xfId="0" applyNumberFormat="1" applyFont="1" applyFill="1" applyBorder="1" applyAlignment="1" applyProtection="1">
      <alignment horizontal="center" shrinkToFit="1"/>
      <protection locked="0"/>
    </xf>
    <xf numFmtId="49" fontId="30" fillId="2" borderId="11" xfId="0" applyNumberFormat="1" applyFont="1" applyFill="1" applyBorder="1" applyAlignment="1" applyProtection="1">
      <alignment horizontal="center" vertical="center"/>
      <protection locked="0"/>
    </xf>
    <xf numFmtId="192" fontId="4" fillId="2" borderId="0" xfId="22" applyNumberFormat="1" applyFont="1" applyFill="1" applyBorder="1" applyAlignment="1" applyProtection="1">
      <alignment horizontal="right"/>
      <protection locked="0"/>
    </xf>
    <xf numFmtId="192" fontId="4" fillId="2" borderId="3" xfId="22" applyNumberFormat="1" applyFont="1" applyFill="1" applyBorder="1" applyAlignment="1" applyProtection="1">
      <alignment horizontal="right"/>
      <protection locked="0"/>
    </xf>
    <xf numFmtId="192" fontId="4" fillId="2" borderId="20" xfId="22" applyNumberFormat="1" applyFont="1" applyFill="1" applyBorder="1" applyAlignment="1" applyProtection="1">
      <alignment horizontal="right"/>
      <protection locked="0"/>
    </xf>
    <xf numFmtId="49" fontId="4" fillId="8" borderId="2" xfId="22" applyNumberFormat="1" applyFont="1" applyFill="1" applyBorder="1" applyAlignment="1" applyProtection="1">
      <alignment horizontal="center" vertical="center"/>
      <protection/>
    </xf>
    <xf numFmtId="49" fontId="7" fillId="8" borderId="2" xfId="22" applyNumberFormat="1" applyFont="1" applyFill="1" applyBorder="1" applyAlignment="1" applyProtection="1">
      <alignment horizontal="center" vertical="center"/>
      <protection/>
    </xf>
    <xf numFmtId="49" fontId="7" fillId="8" borderId="22" xfId="22" applyNumberFormat="1" applyFont="1" applyFill="1" applyBorder="1" applyAlignment="1" applyProtection="1">
      <alignment horizontal="center" vertical="center"/>
      <protection/>
    </xf>
    <xf numFmtId="179" fontId="26" fillId="8" borderId="22" xfId="22" applyFont="1" applyFill="1" applyBorder="1" applyAlignment="1" applyProtection="1">
      <alignment horizontal="left"/>
      <protection/>
    </xf>
    <xf numFmtId="179" fontId="4" fillId="8" borderId="22" xfId="22" applyFont="1" applyFill="1" applyBorder="1" applyAlignment="1" applyProtection="1">
      <alignment horizontal="center"/>
      <protection/>
    </xf>
    <xf numFmtId="179" fontId="7" fillId="8" borderId="22" xfId="22" applyFont="1" applyFill="1" applyBorder="1" applyProtection="1">
      <alignment/>
      <protection/>
    </xf>
    <xf numFmtId="49" fontId="4" fillId="8" borderId="8" xfId="22" applyNumberFormat="1" applyFont="1" applyFill="1" applyBorder="1" applyAlignment="1" applyProtection="1">
      <alignment horizontal="center" vertical="center"/>
      <protection/>
    </xf>
    <xf numFmtId="49" fontId="7" fillId="8" borderId="8" xfId="22" applyNumberFormat="1" applyFont="1" applyFill="1" applyBorder="1" applyAlignment="1" applyProtection="1">
      <alignment horizontal="center" vertical="center"/>
      <protection/>
    </xf>
    <xf numFmtId="179" fontId="26" fillId="8" borderId="15" xfId="22" applyFont="1" applyFill="1" applyBorder="1" applyAlignment="1" applyProtection="1">
      <alignment horizontal="left"/>
      <protection/>
    </xf>
    <xf numFmtId="49" fontId="7" fillId="8" borderId="15" xfId="22" applyNumberFormat="1" applyFont="1" applyFill="1" applyBorder="1" applyAlignment="1" applyProtection="1">
      <alignment horizontal="center" vertical="center"/>
      <protection/>
    </xf>
    <xf numFmtId="179" fontId="4" fillId="8" borderId="15"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wrapText="1"/>
      <protection/>
    </xf>
    <xf numFmtId="179" fontId="52" fillId="8" borderId="0" xfId="20" applyFill="1" applyBorder="1" applyAlignment="1" applyProtection="1">
      <alignment/>
      <protection/>
    </xf>
    <xf numFmtId="1" fontId="7" fillId="8" borderId="0" xfId="22" applyNumberFormat="1" applyFont="1" applyFill="1" applyBorder="1" applyAlignment="1" applyProtection="1">
      <alignment horizontal="center" vertical="center"/>
      <protection/>
    </xf>
    <xf numFmtId="1" fontId="26" fillId="8" borderId="0" xfId="22" applyNumberFormat="1" applyFont="1" applyFill="1" applyAlignment="1" applyProtection="1">
      <alignment horizontal="left"/>
      <protection/>
    </xf>
    <xf numFmtId="1" fontId="4" fillId="8" borderId="0" xfId="22" applyNumberFormat="1" applyFont="1" applyFill="1" applyBorder="1" applyAlignment="1" applyProtection="1">
      <alignment horizontal="center"/>
      <protection/>
    </xf>
    <xf numFmtId="1" fontId="7" fillId="8" borderId="0" xfId="22" applyNumberFormat="1" applyFont="1" applyFill="1" applyBorder="1" applyProtection="1">
      <alignment/>
      <protection/>
    </xf>
    <xf numFmtId="179" fontId="15" fillId="8" borderId="0" xfId="22" applyFont="1" applyFill="1" applyAlignment="1" applyProtection="1">
      <alignment horizontal="left"/>
      <protection/>
    </xf>
    <xf numFmtId="49" fontId="2" fillId="8" borderId="22" xfId="22" applyNumberFormat="1" applyFont="1" applyFill="1" applyBorder="1" applyAlignment="1" applyProtection="1">
      <alignment horizontal="center" vertical="center"/>
      <protection/>
    </xf>
    <xf numFmtId="49" fontId="4" fillId="8" borderId="5" xfId="22" applyNumberFormat="1" applyFont="1" applyFill="1" applyBorder="1" applyAlignment="1" applyProtection="1">
      <alignment horizontal="center" vertical="center"/>
      <protection/>
    </xf>
    <xf numFmtId="49" fontId="7" fillId="8" borderId="5" xfId="22" applyNumberFormat="1" applyFont="1" applyFill="1" applyBorder="1" applyAlignment="1" applyProtection="1">
      <alignment horizontal="center" vertical="center"/>
      <protection/>
    </xf>
    <xf numFmtId="49" fontId="4" fillId="8" borderId="0" xfId="22" applyNumberFormat="1" applyFont="1" applyFill="1" applyBorder="1" applyAlignment="1" applyProtection="1">
      <alignment horizontal="center" vertical="center"/>
      <protection/>
    </xf>
    <xf numFmtId="197" fontId="32" fillId="2" borderId="13" xfId="22" applyNumberFormat="1" applyFont="1" applyFill="1" applyBorder="1" applyProtection="1">
      <alignment/>
      <protection locked="0"/>
    </xf>
    <xf numFmtId="197" fontId="32" fillId="2" borderId="11" xfId="22" applyNumberFormat="1" applyFont="1" applyFill="1" applyBorder="1" applyProtection="1">
      <alignment/>
      <protection locked="0"/>
    </xf>
    <xf numFmtId="2" fontId="32" fillId="2" borderId="11" xfId="22" applyNumberFormat="1" applyFont="1" applyFill="1" applyBorder="1" applyAlignment="1" applyProtection="1">
      <alignment vertical="center"/>
      <protection locked="0"/>
    </xf>
    <xf numFmtId="179" fontId="4" fillId="8" borderId="23" xfId="22" applyFont="1" applyFill="1" applyBorder="1" applyAlignment="1" applyProtection="1">
      <alignment horizontal="center" vertical="center" wrapText="1"/>
      <protection/>
    </xf>
    <xf numFmtId="49" fontId="7" fillId="8" borderId="24" xfId="22" applyNumberFormat="1" applyFont="1" applyFill="1" applyBorder="1" applyAlignment="1" applyProtection="1">
      <alignment horizontal="center" vertical="center"/>
      <protection/>
    </xf>
    <xf numFmtId="49" fontId="7" fillId="8" borderId="25" xfId="22" applyNumberFormat="1" applyFont="1" applyFill="1" applyBorder="1" applyAlignment="1" applyProtection="1">
      <alignment horizontal="center" vertical="center"/>
      <protection/>
    </xf>
    <xf numFmtId="49" fontId="4" fillId="8" borderId="26" xfId="22" applyNumberFormat="1" applyFont="1" applyFill="1" applyBorder="1" applyAlignment="1" applyProtection="1">
      <alignment horizontal="center" vertical="center"/>
      <protection/>
    </xf>
    <xf numFmtId="49" fontId="4" fillId="8" borderId="27" xfId="22" applyNumberFormat="1" applyFont="1" applyFill="1" applyBorder="1" applyAlignment="1" applyProtection="1">
      <alignment horizontal="center" vertical="center"/>
      <protection/>
    </xf>
    <xf numFmtId="179" fontId="4" fillId="8" borderId="0" xfId="22" applyFont="1" applyFill="1" applyAlignment="1" applyProtection="1">
      <alignment horizontal="left"/>
      <protection/>
    </xf>
    <xf numFmtId="197" fontId="4" fillId="2" borderId="8" xfId="22" applyNumberFormat="1" applyFont="1" applyFill="1" applyBorder="1" applyAlignment="1" applyProtection="1">
      <alignment horizontal="right" vertical="center"/>
      <protection locked="0"/>
    </xf>
    <xf numFmtId="197" fontId="4" fillId="2" borderId="9" xfId="22" applyNumberFormat="1" applyFont="1" applyFill="1" applyBorder="1" applyAlignment="1" applyProtection="1">
      <alignment horizontal="right" vertical="center"/>
      <protection locked="0"/>
    </xf>
    <xf numFmtId="197" fontId="4" fillId="2" borderId="13" xfId="22" applyNumberFormat="1" applyFont="1" applyFill="1" applyBorder="1" applyAlignment="1" applyProtection="1">
      <alignment horizontal="right" vertical="center"/>
      <protection locked="0"/>
    </xf>
    <xf numFmtId="197" fontId="32" fillId="8" borderId="5" xfId="22" applyNumberFormat="1" applyFont="1" applyFill="1" applyBorder="1" applyProtection="1">
      <alignment/>
      <protection/>
    </xf>
    <xf numFmtId="179" fontId="4" fillId="8" borderId="0" xfId="22" applyFont="1" applyFill="1" applyProtection="1">
      <alignment/>
      <protection/>
    </xf>
    <xf numFmtId="197" fontId="4" fillId="2" borderId="7" xfId="22" applyNumberFormat="1" applyFont="1" applyFill="1" applyBorder="1" applyAlignment="1" applyProtection="1">
      <alignment horizontal="right" vertical="center"/>
      <protection locked="0"/>
    </xf>
    <xf numFmtId="179" fontId="4" fillId="8" borderId="0" xfId="22" applyFont="1" applyFill="1" applyBorder="1" applyAlignment="1" applyProtection="1">
      <alignment horizontal="center" vertical="center" wrapText="1"/>
      <protection/>
    </xf>
    <xf numFmtId="197" fontId="32" fillId="8" borderId="0" xfId="22" applyNumberFormat="1" applyFont="1" applyFill="1" applyBorder="1" applyProtection="1">
      <alignment/>
      <protection/>
    </xf>
    <xf numFmtId="49" fontId="4" fillId="8" borderId="0" xfId="22" applyNumberFormat="1" applyFont="1" applyFill="1" applyBorder="1" applyAlignment="1" applyProtection="1">
      <alignment horizontal="left" vertical="center"/>
      <protection/>
    </xf>
    <xf numFmtId="49" fontId="7" fillId="8" borderId="0" xfId="22" applyNumberFormat="1" applyFont="1" applyFill="1" applyBorder="1" applyAlignment="1" applyProtection="1">
      <alignment horizontal="left" vertical="center"/>
      <protection/>
    </xf>
    <xf numFmtId="49" fontId="7" fillId="8" borderId="8" xfId="22" applyNumberFormat="1" applyFont="1" applyFill="1" applyBorder="1" applyAlignment="1" applyProtection="1">
      <alignment horizontal="left" vertical="center"/>
      <protection/>
    </xf>
    <xf numFmtId="197" fontId="32" fillId="3" borderId="8" xfId="22" applyNumberFormat="1" applyFont="1" applyFill="1" applyBorder="1" applyProtection="1">
      <alignment/>
      <protection/>
    </xf>
    <xf numFmtId="197" fontId="32" fillId="8" borderId="0" xfId="22" applyNumberFormat="1" applyFont="1" applyFill="1" applyBorder="1" applyProtection="1" quotePrefix="1">
      <alignment/>
      <protection/>
    </xf>
    <xf numFmtId="197" fontId="32" fillId="3" borderId="28" xfId="22" applyNumberFormat="1" applyFont="1" applyFill="1" applyBorder="1" applyProtection="1">
      <alignment/>
      <protection/>
    </xf>
    <xf numFmtId="9" fontId="4" fillId="2" borderId="7" xfId="22" applyNumberFormat="1" applyFont="1" applyFill="1" applyBorder="1" applyAlignment="1" applyProtection="1">
      <alignment horizontal="right" vertical="center"/>
      <protection locked="0"/>
    </xf>
    <xf numFmtId="197" fontId="32" fillId="8" borderId="0" xfId="22" applyNumberFormat="1" applyFont="1" applyFill="1" applyBorder="1" applyAlignment="1" applyProtection="1" quotePrefix="1">
      <alignment horizontal="center"/>
      <protection/>
    </xf>
    <xf numFmtId="49" fontId="7" fillId="8" borderId="0" xfId="22" applyNumberFormat="1" applyFont="1" applyFill="1" applyBorder="1" applyAlignment="1" applyProtection="1">
      <alignment horizontal="right" vertical="center"/>
      <protection/>
    </xf>
    <xf numFmtId="2" fontId="32" fillId="8" borderId="0" xfId="22" applyNumberFormat="1" applyFont="1" applyFill="1" applyBorder="1" applyAlignment="1" applyProtection="1">
      <alignment vertical="center"/>
      <protection/>
    </xf>
    <xf numFmtId="179" fontId="2" fillId="8" borderId="0" xfId="22" applyFont="1" applyFill="1" applyAlignment="1" applyProtection="1">
      <alignment horizontal="center"/>
      <protection/>
    </xf>
    <xf numFmtId="179" fontId="4" fillId="8" borderId="0" xfId="22" applyFont="1" applyFill="1" applyBorder="1" applyAlignment="1" applyProtection="1">
      <alignment horizontal="right" vertical="center" wrapText="1"/>
      <protection/>
    </xf>
    <xf numFmtId="179" fontId="2" fillId="8" borderId="0" xfId="22" applyFont="1" applyFill="1" applyAlignment="1" applyProtection="1">
      <alignment horizontal="right"/>
      <protection/>
    </xf>
    <xf numFmtId="179" fontId="7" fillId="8" borderId="0" xfId="22" applyFont="1" applyFill="1" applyAlignment="1" applyProtection="1">
      <alignment horizontal="left"/>
      <protection/>
    </xf>
    <xf numFmtId="197" fontId="4" fillId="2" borderId="7" xfId="22" applyNumberFormat="1" applyFont="1" applyFill="1" applyBorder="1" applyAlignment="1" applyProtection="1">
      <alignment horizontal="left" vertical="center"/>
      <protection locked="0"/>
    </xf>
    <xf numFmtId="1" fontId="4" fillId="2" borderId="7" xfId="22" applyNumberFormat="1" applyFont="1" applyFill="1" applyBorder="1" applyAlignment="1" applyProtection="1">
      <alignment horizontal="right" vertical="center"/>
      <protection locked="0"/>
    </xf>
    <xf numFmtId="197" fontId="32" fillId="8" borderId="11" xfId="22" applyNumberFormat="1" applyFont="1" applyFill="1" applyBorder="1" applyProtection="1">
      <alignment/>
      <protection/>
    </xf>
    <xf numFmtId="179" fontId="24" fillId="8" borderId="0" xfId="22" applyFont="1" applyFill="1" applyAlignment="1" applyProtection="1">
      <alignment horizontal="left"/>
      <protection/>
    </xf>
    <xf numFmtId="179" fontId="0" fillId="2" borderId="0" xfId="0" applyAlignment="1">
      <alignment horizontal="left"/>
    </xf>
    <xf numFmtId="179" fontId="55" fillId="8" borderId="0" xfId="0" applyFont="1" applyFill="1" applyAlignment="1" applyProtection="1">
      <alignment horizontal="left"/>
      <protection/>
    </xf>
    <xf numFmtId="197" fontId="32" fillId="8" borderId="13" xfId="22" applyNumberFormat="1" applyFont="1" applyFill="1" applyBorder="1" applyProtection="1">
      <alignment/>
      <protection/>
    </xf>
    <xf numFmtId="197" fontId="2" fillId="3" borderId="8" xfId="28" applyNumberFormat="1" applyBorder="1" applyProtection="1">
      <alignment/>
      <protection/>
    </xf>
    <xf numFmtId="197" fontId="32" fillId="2" borderId="14" xfId="22" applyNumberFormat="1" applyFont="1" applyFill="1" applyBorder="1" applyAlignment="1" applyProtection="1">
      <alignment horizontal="left" wrapText="1"/>
      <protection locked="0"/>
    </xf>
    <xf numFmtId="197" fontId="32" fillId="8" borderId="11" xfId="22" applyNumberFormat="1" applyFont="1" applyFill="1" applyBorder="1" applyAlignment="1" applyProtection="1">
      <alignment horizontal="left"/>
      <protection/>
    </xf>
    <xf numFmtId="179" fontId="39" fillId="8" borderId="2" xfId="0" applyFont="1" applyFill="1" applyBorder="1" applyAlignment="1">
      <alignment horizontal="center" wrapText="1"/>
    </xf>
    <xf numFmtId="179" fontId="39" fillId="8" borderId="14" xfId="0" applyFont="1" applyFill="1" applyBorder="1" applyAlignment="1">
      <alignment horizontal="center" wrapText="1"/>
    </xf>
    <xf numFmtId="179" fontId="32" fillId="8" borderId="0" xfId="0" applyFont="1" applyFill="1" applyAlignment="1">
      <alignment horizontal="center"/>
    </xf>
    <xf numFmtId="179" fontId="0" fillId="8" borderId="21" xfId="0" applyFill="1" applyBorder="1" applyAlignment="1">
      <alignment/>
    </xf>
    <xf numFmtId="179" fontId="0" fillId="8" borderId="8" xfId="0" applyFill="1" applyBorder="1" applyAlignment="1">
      <alignment horizontal="center"/>
    </xf>
    <xf numFmtId="179" fontId="0" fillId="8" borderId="2" xfId="0" applyFill="1" applyBorder="1" applyAlignment="1">
      <alignment horizontal="center"/>
    </xf>
    <xf numFmtId="179" fontId="39" fillId="8" borderId="2" xfId="0" applyFont="1" applyFill="1" applyBorder="1" applyAlignment="1">
      <alignment horizontal="center" vertical="top" wrapText="1"/>
    </xf>
    <xf numFmtId="179" fontId="31" fillId="8" borderId="8" xfId="0" applyFont="1" applyFill="1" applyBorder="1" applyAlignment="1">
      <alignment horizontal="center"/>
    </xf>
    <xf numFmtId="179" fontId="39" fillId="8" borderId="21" xfId="0" applyFont="1" applyFill="1" applyBorder="1" applyAlignment="1">
      <alignment horizontal="center" wrapText="1"/>
    </xf>
    <xf numFmtId="197" fontId="2" fillId="3" borderId="12" xfId="0" applyNumberFormat="1" applyFont="1" applyFill="1" applyBorder="1" applyAlignment="1" applyProtection="1">
      <alignment horizontal="center"/>
      <protection/>
    </xf>
    <xf numFmtId="197" fontId="2" fillId="3" borderId="8" xfId="0" applyNumberFormat="1" applyFont="1" applyFill="1" applyBorder="1" applyAlignment="1" applyProtection="1">
      <alignment/>
      <protection/>
    </xf>
    <xf numFmtId="197" fontId="2" fillId="3" borderId="2" xfId="0" applyNumberFormat="1" applyFont="1" applyFill="1" applyBorder="1" applyAlignment="1" applyProtection="1">
      <alignment/>
      <protection/>
    </xf>
    <xf numFmtId="197" fontId="2" fillId="3" borderId="1" xfId="0" applyNumberFormat="1" applyFont="1" applyFill="1" applyBorder="1" applyAlignment="1" applyProtection="1">
      <alignment/>
      <protection/>
    </xf>
    <xf numFmtId="197" fontId="2" fillId="3" borderId="2" xfId="28" applyNumberFormat="1" applyBorder="1" applyProtection="1">
      <alignment/>
      <protection/>
    </xf>
    <xf numFmtId="197" fontId="2" fillId="3" borderId="1" xfId="0" applyNumberFormat="1" applyFont="1" applyFill="1" applyBorder="1" applyAlignment="1" applyProtection="1">
      <alignment horizontal="center"/>
      <protection/>
    </xf>
    <xf numFmtId="179" fontId="56" fillId="8" borderId="0" xfId="22" applyFont="1" applyFill="1" applyAlignment="1" applyProtection="1">
      <alignment horizontal="center"/>
      <protection/>
    </xf>
    <xf numFmtId="197" fontId="4" fillId="8" borderId="7" xfId="22" applyNumberFormat="1" applyFont="1" applyFill="1" applyBorder="1" applyAlignment="1" applyProtection="1">
      <alignment horizontal="right" vertical="center"/>
      <protection/>
    </xf>
    <xf numFmtId="179" fontId="4" fillId="0" borderId="0" xfId="22" applyFont="1" applyFill="1" applyAlignment="1" applyProtection="1">
      <alignment horizontal="center"/>
      <protection/>
    </xf>
    <xf numFmtId="179" fontId="56" fillId="8" borderId="0" xfId="22" applyFont="1" applyFill="1" applyAlignment="1" applyProtection="1">
      <alignment horizontal="left"/>
      <protection/>
    </xf>
    <xf numFmtId="197" fontId="4" fillId="8" borderId="0" xfId="22" applyNumberFormat="1" applyFont="1" applyFill="1" applyBorder="1" applyAlignment="1" applyProtection="1">
      <alignment horizontal="right" vertical="center"/>
      <protection/>
    </xf>
    <xf numFmtId="49" fontId="7" fillId="8" borderId="2" xfId="22" applyNumberFormat="1" applyFont="1" applyFill="1" applyBorder="1" applyAlignment="1" applyProtection="1">
      <alignment horizontal="right" vertical="center"/>
      <protection/>
    </xf>
    <xf numFmtId="197" fontId="7" fillId="3" borderId="8" xfId="28" applyNumberFormat="1" applyFont="1" applyBorder="1" applyProtection="1">
      <alignment/>
      <protection/>
    </xf>
    <xf numFmtId="179" fontId="39" fillId="8" borderId="21" xfId="0" applyFont="1" applyFill="1" applyBorder="1" applyAlignment="1">
      <alignment horizontal="left" vertical="top" wrapText="1"/>
    </xf>
    <xf numFmtId="179" fontId="32" fillId="8" borderId="0" xfId="0" applyFont="1" applyFill="1" applyAlignment="1">
      <alignment horizontal="left" vertical="center"/>
    </xf>
    <xf numFmtId="0" fontId="57" fillId="8" borderId="0" xfId="25" applyFont="1" applyFill="1" applyProtection="1" quotePrefix="1">
      <alignment/>
      <protection/>
    </xf>
    <xf numFmtId="0" fontId="3" fillId="8" borderId="0" xfId="25" applyFont="1" applyFill="1" applyProtection="1">
      <alignment/>
      <protection/>
    </xf>
    <xf numFmtId="0" fontId="57" fillId="8" borderId="0" xfId="25" applyFont="1" applyFill="1" applyProtection="1">
      <alignment/>
      <protection/>
    </xf>
    <xf numFmtId="0" fontId="1" fillId="8" borderId="0" xfId="25" applyFill="1">
      <alignment/>
      <protection/>
    </xf>
    <xf numFmtId="0" fontId="1" fillId="0" borderId="0" xfId="25">
      <alignment/>
      <protection/>
    </xf>
    <xf numFmtId="0" fontId="58" fillId="8" borderId="0" xfId="25" applyFont="1" applyFill="1" applyAlignment="1" applyProtection="1">
      <alignment horizontal="center"/>
      <protection/>
    </xf>
    <xf numFmtId="0" fontId="58" fillId="8" borderId="0" xfId="25" applyFont="1" applyFill="1" applyProtection="1">
      <alignment/>
      <protection/>
    </xf>
    <xf numFmtId="0" fontId="1" fillId="8" borderId="4" xfId="25" applyFill="1" applyBorder="1">
      <alignment/>
      <protection/>
    </xf>
    <xf numFmtId="0" fontId="58" fillId="8" borderId="5" xfId="25" applyFont="1" applyFill="1" applyBorder="1" applyAlignment="1" applyProtection="1">
      <alignment horizontal="center"/>
      <protection/>
    </xf>
    <xf numFmtId="0" fontId="57" fillId="8" borderId="5" xfId="25" applyFont="1" applyFill="1" applyBorder="1" applyProtection="1">
      <alignment/>
      <protection/>
    </xf>
    <xf numFmtId="0" fontId="57" fillId="8" borderId="6" xfId="25" applyFont="1" applyFill="1" applyBorder="1" applyProtection="1">
      <alignment/>
      <protection/>
    </xf>
    <xf numFmtId="0" fontId="57" fillId="8" borderId="0" xfId="25" applyFont="1" applyFill="1" applyBorder="1" applyProtection="1">
      <alignment/>
      <protection/>
    </xf>
    <xf numFmtId="0" fontId="1" fillId="8" borderId="3" xfId="25" applyFill="1" applyBorder="1">
      <alignment/>
      <protection/>
    </xf>
    <xf numFmtId="0" fontId="58" fillId="8" borderId="0" xfId="25" applyFont="1" applyFill="1" applyBorder="1" applyAlignment="1" applyProtection="1">
      <alignment horizontal="center"/>
      <protection/>
    </xf>
    <xf numFmtId="0" fontId="57" fillId="8" borderId="7" xfId="25" applyFont="1" applyFill="1" applyBorder="1" applyProtection="1">
      <alignment/>
      <protection/>
    </xf>
    <xf numFmtId="0" fontId="59" fillId="8" borderId="0" xfId="25" applyFont="1" applyFill="1" applyBorder="1" applyProtection="1">
      <alignment/>
      <protection/>
    </xf>
    <xf numFmtId="0" fontId="59" fillId="8" borderId="3" xfId="25" applyFont="1" applyFill="1" applyBorder="1" applyProtection="1">
      <alignment/>
      <protection/>
    </xf>
    <xf numFmtId="0" fontId="57" fillId="8" borderId="0" xfId="25" applyFont="1" applyFill="1" applyBorder="1" applyAlignment="1" applyProtection="1">
      <alignment horizontal="right"/>
      <protection/>
    </xf>
    <xf numFmtId="0" fontId="57" fillId="8" borderId="7" xfId="25" applyFont="1" applyFill="1" applyBorder="1" applyAlignment="1" applyProtection="1">
      <alignment horizontal="center"/>
      <protection/>
    </xf>
    <xf numFmtId="0" fontId="1" fillId="8" borderId="0" xfId="25" applyFill="1" applyBorder="1">
      <alignment/>
      <protection/>
    </xf>
    <xf numFmtId="0" fontId="58" fillId="8" borderId="0" xfId="25" applyFont="1" applyFill="1" applyBorder="1" applyAlignment="1" applyProtection="1">
      <alignment horizontal="right"/>
      <protection/>
    </xf>
    <xf numFmtId="0" fontId="58" fillId="8" borderId="0" xfId="25" applyFont="1" applyFill="1" applyBorder="1" applyProtection="1">
      <alignment/>
      <protection/>
    </xf>
    <xf numFmtId="0" fontId="57" fillId="8" borderId="0" xfId="25" applyFont="1" applyFill="1" applyBorder="1" applyAlignment="1" applyProtection="1" quotePrefix="1">
      <alignment horizontal="right"/>
      <protection/>
    </xf>
    <xf numFmtId="0" fontId="59" fillId="8" borderId="6" xfId="25" applyFont="1" applyFill="1" applyBorder="1" applyAlignment="1" applyProtection="1">
      <alignment horizontal="center"/>
      <protection/>
    </xf>
    <xf numFmtId="0" fontId="1" fillId="8" borderId="9" xfId="25" applyFill="1" applyBorder="1">
      <alignment/>
      <protection/>
    </xf>
    <xf numFmtId="0" fontId="59" fillId="8" borderId="10" xfId="25" applyFont="1" applyFill="1" applyBorder="1" applyAlignment="1" applyProtection="1">
      <alignment horizontal="center"/>
      <protection/>
    </xf>
    <xf numFmtId="0" fontId="59" fillId="8" borderId="9" xfId="25" applyFont="1" applyFill="1" applyBorder="1" applyAlignment="1" applyProtection="1">
      <alignment horizontal="center"/>
      <protection/>
    </xf>
    <xf numFmtId="0" fontId="1" fillId="8" borderId="21" xfId="25" applyFill="1" applyBorder="1">
      <alignment/>
      <protection/>
    </xf>
    <xf numFmtId="0" fontId="57" fillId="8" borderId="14" xfId="25" applyFont="1" applyFill="1" applyBorder="1" applyAlignment="1" applyProtection="1" quotePrefix="1">
      <alignment horizontal="center"/>
      <protection/>
    </xf>
    <xf numFmtId="167" fontId="57" fillId="8" borderId="21" xfId="25" applyNumberFormat="1" applyFont="1" applyFill="1" applyBorder="1" applyAlignment="1" applyProtection="1">
      <alignment horizontal="center"/>
      <protection/>
    </xf>
    <xf numFmtId="0" fontId="57" fillId="8" borderId="14" xfId="25" applyFont="1" applyFill="1" applyBorder="1" applyProtection="1">
      <alignment/>
      <protection/>
    </xf>
    <xf numFmtId="0" fontId="57" fillId="8" borderId="0" xfId="25" applyFont="1" applyFill="1" applyBorder="1" applyAlignment="1" applyProtection="1">
      <alignment/>
      <protection/>
    </xf>
    <xf numFmtId="0" fontId="57" fillId="8" borderId="8" xfId="25" applyFont="1" applyFill="1" applyBorder="1" applyProtection="1">
      <alignment/>
      <protection/>
    </xf>
    <xf numFmtId="0" fontId="58" fillId="8" borderId="8" xfId="25" applyFont="1" applyFill="1" applyBorder="1" applyAlignment="1" applyProtection="1">
      <alignment horizontal="center"/>
      <protection/>
    </xf>
    <xf numFmtId="0" fontId="1" fillId="8" borderId="5" xfId="25" applyFill="1" applyBorder="1">
      <alignment/>
      <protection/>
    </xf>
    <xf numFmtId="0" fontId="1" fillId="8" borderId="0" xfId="25" applyFill="1" applyAlignment="1">
      <alignment/>
      <protection/>
    </xf>
    <xf numFmtId="0" fontId="57" fillId="8" borderId="29" xfId="25" applyFont="1" applyFill="1" applyBorder="1" applyProtection="1">
      <alignment/>
      <protection/>
    </xf>
    <xf numFmtId="0" fontId="57" fillId="8" borderId="30" xfId="25" applyFont="1" applyFill="1" applyBorder="1" applyProtection="1">
      <alignment/>
      <protection/>
    </xf>
    <xf numFmtId="0" fontId="60" fillId="8" borderId="0" xfId="25" applyFont="1" applyFill="1" applyBorder="1" applyAlignment="1" applyProtection="1">
      <alignment horizontal="right"/>
      <protection/>
    </xf>
    <xf numFmtId="0" fontId="57" fillId="8" borderId="8" xfId="25" applyFont="1" applyFill="1" applyBorder="1" applyAlignment="1" applyProtection="1">
      <alignment/>
      <protection/>
    </xf>
    <xf numFmtId="0" fontId="57" fillId="8" borderId="10" xfId="25" applyFont="1" applyFill="1" applyBorder="1" applyProtection="1">
      <alignment/>
      <protection/>
    </xf>
    <xf numFmtId="0" fontId="58" fillId="8" borderId="5" xfId="25" applyFont="1" applyFill="1" applyBorder="1" applyProtection="1">
      <alignment/>
      <protection/>
    </xf>
    <xf numFmtId="0" fontId="57" fillId="8" borderId="5" xfId="25" applyFont="1" applyFill="1" applyBorder="1" applyAlignment="1" applyProtection="1">
      <alignment/>
      <protection/>
    </xf>
    <xf numFmtId="0" fontId="59" fillId="8" borderId="7" xfId="25" applyFont="1" applyFill="1" applyBorder="1" applyAlignment="1" applyProtection="1">
      <alignment horizontal="center"/>
      <protection/>
    </xf>
    <xf numFmtId="0" fontId="59" fillId="8" borderId="3" xfId="25" applyFont="1" applyFill="1" applyBorder="1" applyAlignment="1" applyProtection="1">
      <alignment horizontal="center"/>
      <protection/>
    </xf>
    <xf numFmtId="0" fontId="60" fillId="8" borderId="4" xfId="25" applyFont="1" applyFill="1" applyBorder="1" applyAlignment="1" applyProtection="1">
      <alignment horizontal="center"/>
      <protection/>
    </xf>
    <xf numFmtId="0" fontId="57" fillId="8" borderId="0" xfId="25" applyFont="1" applyFill="1" applyBorder="1" applyProtection="1" quotePrefix="1">
      <alignment/>
      <protection/>
    </xf>
    <xf numFmtId="179" fontId="2" fillId="7" borderId="2" xfId="0" applyFont="1" applyFill="1" applyBorder="1" applyAlignment="1" applyProtection="1">
      <alignment/>
      <protection/>
    </xf>
    <xf numFmtId="2" fontId="57" fillId="3" borderId="8" xfId="25" applyNumberFormat="1" applyFont="1" applyFill="1" applyBorder="1" applyAlignment="1" applyProtection="1" quotePrefix="1">
      <alignment horizontal="right"/>
      <protection/>
    </xf>
    <xf numFmtId="179" fontId="10" fillId="8" borderId="2" xfId="0" applyFont="1" applyFill="1" applyBorder="1" applyAlignment="1" applyProtection="1">
      <alignment horizontal="right"/>
      <protection/>
    </xf>
    <xf numFmtId="0" fontId="61" fillId="8" borderId="0" xfId="25" applyFont="1" applyFill="1" applyBorder="1" applyProtection="1">
      <alignment/>
      <protection/>
    </xf>
    <xf numFmtId="49" fontId="7" fillId="8" borderId="25" xfId="22" applyNumberFormat="1" applyFont="1" applyFill="1" applyBorder="1" applyAlignment="1" applyProtection="1">
      <alignment horizontal="left" vertical="center"/>
      <protection/>
    </xf>
    <xf numFmtId="197" fontId="2" fillId="3" borderId="8" xfId="28" applyNumberFormat="1" applyFont="1" applyBorder="1" applyProtection="1">
      <alignment/>
      <protection/>
    </xf>
    <xf numFmtId="179" fontId="11" fillId="12" borderId="0" xfId="0" applyFont="1" applyFill="1" applyAlignment="1" applyProtection="1">
      <alignment horizontal="center" vertical="center"/>
      <protection/>
    </xf>
    <xf numFmtId="179" fontId="16" fillId="12" borderId="0" xfId="0" applyFont="1" applyFill="1" applyAlignment="1" applyProtection="1">
      <alignment vertical="center"/>
      <protection/>
    </xf>
    <xf numFmtId="179" fontId="3" fillId="12" borderId="0" xfId="0" applyFont="1" applyFill="1" applyAlignment="1" applyProtection="1">
      <alignment/>
      <protection/>
    </xf>
    <xf numFmtId="179" fontId="2" fillId="12" borderId="2" xfId="0" applyFont="1" applyFill="1" applyBorder="1" applyAlignment="1" applyProtection="1">
      <alignment horizontal="right"/>
      <protection/>
    </xf>
    <xf numFmtId="179" fontId="42" fillId="12" borderId="2" xfId="0" applyFont="1" applyFill="1" applyBorder="1" applyAlignment="1" applyProtection="1">
      <alignment horizontal="right"/>
      <protection/>
    </xf>
    <xf numFmtId="179" fontId="62" fillId="12" borderId="0" xfId="0" applyFont="1" applyFill="1" applyAlignment="1" applyProtection="1">
      <alignment horizontal="center" vertical="center"/>
      <protection/>
    </xf>
    <xf numFmtId="179" fontId="18" fillId="12" borderId="0" xfId="0" applyFont="1" applyFill="1" applyAlignment="1" applyProtection="1">
      <alignment horizontal="center" vertical="center"/>
      <protection/>
    </xf>
    <xf numFmtId="179" fontId="11" fillId="12" borderId="0" xfId="0" applyFont="1" applyFill="1" applyBorder="1" applyAlignment="1" applyProtection="1">
      <alignment horizontal="center" vertical="center"/>
      <protection/>
    </xf>
    <xf numFmtId="179" fontId="2" fillId="12" borderId="9" xfId="0" applyFont="1" applyFill="1" applyBorder="1" applyAlignment="1" applyProtection="1">
      <alignment/>
      <protection/>
    </xf>
    <xf numFmtId="179" fontId="2" fillId="12" borderId="2" xfId="0" applyFont="1" applyFill="1" applyBorder="1" applyAlignment="1" applyProtection="1">
      <alignment horizontal="center" vertical="center"/>
      <protection/>
    </xf>
    <xf numFmtId="179" fontId="10" fillId="12" borderId="0" xfId="0" applyFont="1" applyFill="1" applyAlignment="1" applyProtection="1">
      <alignment/>
      <protection/>
    </xf>
    <xf numFmtId="179" fontId="2" fillId="12" borderId="0" xfId="0" applyFont="1" applyFill="1" applyAlignment="1" applyProtection="1">
      <alignment horizontal="left" vertical="center"/>
      <protection/>
    </xf>
    <xf numFmtId="179" fontId="18" fillId="12" borderId="0" xfId="0" applyFont="1" applyFill="1" applyAlignment="1" applyProtection="1">
      <alignment horizontal="center"/>
      <protection/>
    </xf>
    <xf numFmtId="179" fontId="5" fillId="12" borderId="0" xfId="0" applyFont="1" applyFill="1" applyBorder="1" applyAlignment="1" applyProtection="1">
      <alignment horizontal="center"/>
      <protection/>
    </xf>
    <xf numFmtId="179" fontId="42" fillId="12" borderId="0" xfId="0" applyFont="1" applyFill="1" applyBorder="1" applyAlignment="1" applyProtection="1">
      <alignment horizontal="center"/>
      <protection/>
    </xf>
    <xf numFmtId="178" fontId="9" fillId="5" borderId="0" xfId="0" applyNumberFormat="1" applyFont="1" applyFill="1" applyAlignment="1" applyProtection="1">
      <alignment horizontal="center"/>
      <protection/>
    </xf>
    <xf numFmtId="179" fontId="5" fillId="12" borderId="0" xfId="0" applyFont="1" applyFill="1" applyAlignment="1" applyProtection="1">
      <alignment horizontal="center"/>
      <protection/>
    </xf>
    <xf numFmtId="179" fontId="2" fillId="12" borderId="5" xfId="0" applyFont="1" applyFill="1" applyBorder="1" applyAlignment="1" applyProtection="1">
      <alignment horizontal="right"/>
      <protection/>
    </xf>
    <xf numFmtId="1" fontId="0" fillId="2" borderId="8" xfId="0" applyNumberFormat="1" applyBorder="1" applyAlignment="1" applyProtection="1">
      <alignment/>
      <protection locked="0"/>
    </xf>
    <xf numFmtId="179" fontId="11" fillId="12" borderId="0" xfId="0" applyFont="1" applyFill="1" applyAlignment="1" applyProtection="1">
      <alignment vertical="center"/>
      <protection/>
    </xf>
    <xf numFmtId="178" fontId="3" fillId="12" borderId="0" xfId="0" applyNumberFormat="1" applyFont="1" applyFill="1" applyBorder="1" applyAlignment="1" applyProtection="1">
      <alignment horizontal="center" vertical="center"/>
      <protection/>
    </xf>
    <xf numFmtId="179" fontId="2" fillId="12" borderId="8" xfId="0" applyFont="1" applyFill="1" applyBorder="1" applyAlignment="1" applyProtection="1">
      <alignment horizontal="center" vertical="center"/>
      <protection/>
    </xf>
    <xf numFmtId="184" fontId="2" fillId="12" borderId="0" xfId="0" applyNumberFormat="1" applyFont="1" applyFill="1" applyBorder="1" applyAlignment="1" applyProtection="1">
      <alignment vertical="center"/>
      <protection/>
    </xf>
    <xf numFmtId="179" fontId="11" fillId="12" borderId="0" xfId="0" applyFont="1" applyFill="1" applyBorder="1" applyAlignment="1" applyProtection="1">
      <alignment vertical="center"/>
      <protection/>
    </xf>
    <xf numFmtId="184" fontId="2" fillId="12" borderId="0" xfId="0" applyNumberFormat="1" applyFont="1" applyFill="1" applyAlignment="1" applyProtection="1">
      <alignment vertical="center"/>
      <protection/>
    </xf>
    <xf numFmtId="179" fontId="3" fillId="12" borderId="0" xfId="0" applyFont="1" applyFill="1" applyBorder="1" applyAlignment="1" applyProtection="1">
      <alignment horizontal="right" vertical="center"/>
      <protection/>
    </xf>
    <xf numFmtId="1" fontId="1" fillId="0" borderId="0" xfId="25" applyNumberFormat="1" applyProtection="1">
      <alignment/>
      <protection locked="0"/>
    </xf>
    <xf numFmtId="179" fontId="2" fillId="2" borderId="2" xfId="0" applyNumberFormat="1" applyFont="1" applyFill="1" applyBorder="1" applyAlignment="1" applyProtection="1">
      <alignment/>
      <protection/>
    </xf>
    <xf numFmtId="179" fontId="15" fillId="8" borderId="0" xfId="0" applyFont="1" applyFill="1" applyAlignment="1" applyProtection="1">
      <alignment/>
      <protection/>
    </xf>
    <xf numFmtId="179" fontId="23" fillId="8" borderId="0" xfId="0" applyFont="1" applyFill="1" applyAlignment="1" applyProtection="1">
      <alignment/>
      <protection/>
    </xf>
    <xf numFmtId="179" fontId="15" fillId="8" borderId="0" xfId="0" applyFont="1" applyFill="1" applyAlignment="1" applyProtection="1">
      <alignment horizontal="center"/>
      <protection/>
    </xf>
    <xf numFmtId="197" fontId="2" fillId="2" borderId="1" xfId="0" applyNumberFormat="1" applyFont="1" applyFill="1" applyBorder="1" applyAlignment="1" applyProtection="1">
      <alignment horizontal="left"/>
      <protection locked="0"/>
    </xf>
    <xf numFmtId="197" fontId="2" fillId="8" borderId="0" xfId="0" applyNumberFormat="1" applyFont="1" applyFill="1" applyBorder="1" applyAlignment="1" applyProtection="1">
      <alignment horizontal="center"/>
      <protection/>
    </xf>
    <xf numFmtId="2" fontId="32" fillId="2" borderId="13" xfId="22" applyNumberFormat="1" applyFont="1" applyFill="1" applyBorder="1" applyAlignment="1" applyProtection="1">
      <alignment vertical="center"/>
      <protection locked="0"/>
    </xf>
    <xf numFmtId="0" fontId="1" fillId="0" borderId="0" xfId="23">
      <alignment/>
      <protection/>
    </xf>
    <xf numFmtId="197" fontId="7" fillId="2" borderId="8" xfId="28" applyNumberFormat="1" applyFont="1" applyFill="1" applyBorder="1" applyProtection="1">
      <alignment/>
      <protection locked="0"/>
    </xf>
    <xf numFmtId="0" fontId="21" fillId="0" borderId="0" xfId="23" applyFont="1">
      <alignment/>
      <protection/>
    </xf>
    <xf numFmtId="179" fontId="2" fillId="10" borderId="0" xfId="0" applyFont="1" applyFill="1" applyAlignment="1" applyProtection="1">
      <alignment vertical="center"/>
      <protection/>
    </xf>
    <xf numFmtId="179" fontId="7" fillId="8" borderId="0" xfId="0" applyFont="1" applyFill="1" applyBorder="1" applyAlignment="1" applyProtection="1">
      <alignment horizontal="right"/>
      <protection/>
    </xf>
    <xf numFmtId="179" fontId="4" fillId="7" borderId="0" xfId="0" applyFont="1" applyFill="1" applyBorder="1" applyAlignment="1" applyProtection="1">
      <alignment/>
      <protection/>
    </xf>
    <xf numFmtId="197" fontId="2" fillId="3" borderId="8" xfId="28" applyNumberFormat="1" applyBorder="1" applyAlignment="1" applyProtection="1">
      <alignment vertical="center"/>
      <protection/>
    </xf>
    <xf numFmtId="179" fontId="7" fillId="8" borderId="3" xfId="0" applyFont="1" applyFill="1" applyBorder="1" applyAlignment="1" applyProtection="1">
      <alignment horizontal="right"/>
      <protection/>
    </xf>
    <xf numFmtId="0" fontId="1" fillId="8" borderId="0" xfId="23" applyFill="1">
      <alignment/>
      <protection/>
    </xf>
    <xf numFmtId="0" fontId="1" fillId="8" borderId="0" xfId="23" applyFont="1" applyFill="1">
      <alignment/>
      <protection/>
    </xf>
    <xf numFmtId="0" fontId="21" fillId="8" borderId="2" xfId="23" applyFont="1" applyFill="1" applyBorder="1" applyAlignment="1">
      <alignment horizontal="center"/>
      <protection/>
    </xf>
    <xf numFmtId="0" fontId="21" fillId="8" borderId="14" xfId="23" applyFont="1" applyFill="1" applyBorder="1" applyAlignment="1">
      <alignment horizontal="center"/>
      <protection/>
    </xf>
    <xf numFmtId="0" fontId="21" fillId="8" borderId="5" xfId="23" applyFont="1" applyFill="1" applyBorder="1" applyAlignment="1">
      <alignment horizontal="center"/>
      <protection/>
    </xf>
    <xf numFmtId="0" fontId="21" fillId="8" borderId="13" xfId="23" applyFont="1" applyFill="1" applyBorder="1" applyAlignment="1">
      <alignment wrapText="1"/>
      <protection/>
    </xf>
    <xf numFmtId="0" fontId="21" fillId="8" borderId="8" xfId="23" applyFont="1" applyFill="1" applyBorder="1">
      <alignment/>
      <protection/>
    </xf>
    <xf numFmtId="0" fontId="63" fillId="8" borderId="0" xfId="23" applyFont="1" applyFill="1">
      <alignment/>
      <protection/>
    </xf>
    <xf numFmtId="179" fontId="7" fillId="8" borderId="0" xfId="0" applyFont="1" applyFill="1" applyAlignment="1" applyProtection="1">
      <alignment horizontal="right"/>
      <protection/>
    </xf>
    <xf numFmtId="0" fontId="26" fillId="8" borderId="0" xfId="23" applyFont="1" applyFill="1" applyAlignment="1">
      <alignment horizontal="left"/>
      <protection/>
    </xf>
    <xf numFmtId="200" fontId="4" fillId="2" borderId="7" xfId="22" applyNumberFormat="1" applyFont="1" applyFill="1" applyBorder="1" applyAlignment="1" applyProtection="1">
      <alignment horizontal="right" vertical="center" shrinkToFit="1"/>
      <protection locked="0"/>
    </xf>
    <xf numFmtId="179" fontId="2" fillId="8" borderId="0" xfId="22" applyFont="1" applyFill="1" applyAlignment="1" applyProtection="1">
      <alignment horizontal="center" vertical="top"/>
      <protection/>
    </xf>
    <xf numFmtId="179" fontId="4" fillId="8" borderId="0" xfId="22" applyFont="1" applyFill="1" applyAlignment="1" applyProtection="1">
      <alignment vertical="top"/>
      <protection/>
    </xf>
    <xf numFmtId="179" fontId="7" fillId="8" borderId="0" xfId="22" applyFont="1" applyFill="1" applyAlignment="1" applyProtection="1">
      <alignment wrapText="1"/>
      <protection/>
    </xf>
    <xf numFmtId="0" fontId="1" fillId="8" borderId="0" xfId="26" applyFill="1">
      <alignment/>
      <protection/>
    </xf>
    <xf numFmtId="0" fontId="57" fillId="11" borderId="0" xfId="26" applyFont="1" applyFill="1" applyAlignment="1" applyProtection="1">
      <alignment/>
      <protection/>
    </xf>
    <xf numFmtId="0" fontId="1" fillId="0" borderId="0" xfId="26">
      <alignment/>
      <protection/>
    </xf>
    <xf numFmtId="0" fontId="57" fillId="11" borderId="0" xfId="26" applyFont="1" applyFill="1" applyProtection="1">
      <alignment/>
      <protection/>
    </xf>
    <xf numFmtId="0" fontId="57" fillId="11" borderId="0" xfId="26" applyFont="1" applyFill="1" applyAlignment="1" applyProtection="1">
      <alignment vertical="top"/>
      <protection/>
    </xf>
    <xf numFmtId="0" fontId="3" fillId="11" borderId="0" xfId="26" applyFont="1" applyFill="1" applyAlignment="1" applyProtection="1">
      <alignment horizontal="right"/>
      <protection/>
    </xf>
    <xf numFmtId="0" fontId="3" fillId="11" borderId="0" xfId="26" applyFont="1" applyFill="1" applyProtection="1">
      <alignment/>
      <protection/>
    </xf>
    <xf numFmtId="0" fontId="7" fillId="11" borderId="0" xfId="26" applyFont="1" applyFill="1" applyProtection="1">
      <alignment/>
      <protection/>
    </xf>
    <xf numFmtId="0" fontId="57" fillId="11" borderId="0" xfId="26" applyFont="1" applyFill="1" applyAlignment="1" applyProtection="1">
      <alignment horizontal="center"/>
      <protection/>
    </xf>
    <xf numFmtId="0" fontId="57" fillId="11" borderId="4" xfId="26" applyFont="1" applyFill="1" applyBorder="1" applyProtection="1">
      <alignment/>
      <protection/>
    </xf>
    <xf numFmtId="0" fontId="57" fillId="11" borderId="5" xfId="26" applyFont="1" applyFill="1" applyBorder="1" applyProtection="1">
      <alignment/>
      <protection/>
    </xf>
    <xf numFmtId="0" fontId="7" fillId="11" borderId="5" xfId="26" applyFont="1" applyFill="1" applyBorder="1" applyProtection="1">
      <alignment/>
      <protection/>
    </xf>
    <xf numFmtId="0" fontId="57" fillId="11" borderId="5" xfId="26" applyFont="1" applyFill="1" applyBorder="1" applyAlignment="1" applyProtection="1">
      <alignment horizontal="left"/>
      <protection/>
    </xf>
    <xf numFmtId="0" fontId="3" fillId="11" borderId="6" xfId="26" applyFont="1" applyFill="1" applyBorder="1" applyAlignment="1" applyProtection="1">
      <alignment horizontal="right"/>
      <protection/>
    </xf>
    <xf numFmtId="0" fontId="57" fillId="8" borderId="9" xfId="26" applyFont="1" applyFill="1" applyBorder="1" applyProtection="1">
      <alignment/>
      <protection/>
    </xf>
    <xf numFmtId="0" fontId="3" fillId="8" borderId="10" xfId="26" applyFont="1" applyFill="1" applyBorder="1" applyAlignment="1" applyProtection="1">
      <alignment horizontal="right"/>
      <protection/>
    </xf>
    <xf numFmtId="0" fontId="57" fillId="11" borderId="3" xfId="26" applyFont="1" applyFill="1" applyBorder="1" applyProtection="1">
      <alignment/>
      <protection/>
    </xf>
    <xf numFmtId="0" fontId="57" fillId="11" borderId="0" xfId="26" applyFont="1" applyFill="1" applyBorder="1" applyProtection="1">
      <alignment/>
      <protection/>
    </xf>
    <xf numFmtId="0" fontId="7" fillId="11" borderId="0" xfId="26" applyFont="1" applyFill="1" applyBorder="1" applyProtection="1">
      <alignment/>
      <protection/>
    </xf>
    <xf numFmtId="0" fontId="3" fillId="11" borderId="0" xfId="26" applyFont="1" applyFill="1" applyBorder="1" applyAlignment="1" applyProtection="1">
      <alignment horizontal="right"/>
      <protection/>
    </xf>
    <xf numFmtId="0" fontId="1" fillId="11" borderId="0" xfId="26" applyFill="1" applyAlignment="1">
      <alignment horizontal="right"/>
      <protection/>
    </xf>
    <xf numFmtId="0" fontId="57" fillId="11" borderId="0" xfId="26" applyFont="1" applyFill="1" applyBorder="1" applyAlignment="1" applyProtection="1">
      <alignment horizontal="left" vertical="center"/>
      <protection/>
    </xf>
    <xf numFmtId="2" fontId="2" fillId="3" borderId="8" xfId="26" applyNumberFormat="1" applyFont="1" applyFill="1" applyBorder="1" applyAlignment="1" applyProtection="1" quotePrefix="1">
      <alignment horizontal="right"/>
      <protection/>
    </xf>
    <xf numFmtId="0" fontId="57" fillId="11" borderId="0" xfId="26" applyFont="1" applyFill="1" applyBorder="1" applyAlignment="1" applyProtection="1">
      <alignment horizontal="left"/>
      <protection/>
    </xf>
    <xf numFmtId="2" fontId="2" fillId="2" borderId="8" xfId="26" applyNumberFormat="1" applyFont="1" applyFill="1" applyBorder="1" applyAlignment="1" applyProtection="1" quotePrefix="1">
      <alignment horizontal="right"/>
      <protection locked="0"/>
    </xf>
    <xf numFmtId="0" fontId="3" fillId="11" borderId="0" xfId="26" applyFont="1" applyFill="1" applyBorder="1" applyAlignment="1" applyProtection="1">
      <alignment horizontal="center"/>
      <protection/>
    </xf>
    <xf numFmtId="0" fontId="1" fillId="8" borderId="0" xfId="26" applyFill="1" applyBorder="1">
      <alignment/>
      <protection/>
    </xf>
    <xf numFmtId="0" fontId="57" fillId="8" borderId="0" xfId="26" applyFont="1" applyFill="1" applyBorder="1" applyAlignment="1" applyProtection="1" quotePrefix="1">
      <alignment horizontal="right"/>
      <protection/>
    </xf>
    <xf numFmtId="0" fontId="57" fillId="11" borderId="0" xfId="26" applyFont="1" applyFill="1" applyBorder="1" applyAlignment="1" applyProtection="1">
      <alignment horizontal="right"/>
      <protection/>
    </xf>
    <xf numFmtId="0" fontId="57" fillId="11" borderId="0" xfId="26" applyFont="1" applyFill="1" applyAlignment="1" applyProtection="1">
      <alignment horizontal="left"/>
      <protection/>
    </xf>
    <xf numFmtId="0" fontId="58" fillId="11" borderId="0" xfId="26" applyFont="1" applyFill="1" applyAlignment="1" applyProtection="1">
      <alignment horizontal="right"/>
      <protection/>
    </xf>
    <xf numFmtId="0" fontId="58" fillId="11" borderId="0" xfId="26" applyFont="1" applyFill="1" applyBorder="1" applyAlignment="1" applyProtection="1">
      <alignment horizontal="right"/>
      <protection/>
    </xf>
    <xf numFmtId="0" fontId="57" fillId="11" borderId="0" xfId="26" applyFont="1" applyFill="1" applyBorder="1" applyAlignment="1" applyProtection="1" quotePrefix="1">
      <alignment horizontal="right"/>
      <protection/>
    </xf>
    <xf numFmtId="0" fontId="57" fillId="8" borderId="0" xfId="26" applyFont="1" applyFill="1" applyBorder="1" applyAlignment="1" applyProtection="1">
      <alignment horizontal="right"/>
      <protection/>
    </xf>
    <xf numFmtId="0" fontId="5" fillId="11" borderId="0" xfId="26" applyFont="1" applyFill="1" applyAlignment="1" applyProtection="1">
      <alignment horizontal="left"/>
      <protection/>
    </xf>
    <xf numFmtId="0" fontId="58" fillId="11" borderId="0" xfId="26" applyFont="1" applyFill="1" applyBorder="1" applyProtection="1">
      <alignment/>
      <protection/>
    </xf>
    <xf numFmtId="200" fontId="2" fillId="3" borderId="8" xfId="26" applyNumberFormat="1" applyFont="1" applyFill="1" applyBorder="1" applyAlignment="1" applyProtection="1">
      <alignment horizontal="center" vertical="center" shrinkToFit="1"/>
      <protection/>
    </xf>
    <xf numFmtId="0" fontId="66" fillId="11" borderId="0" xfId="26" applyFont="1" applyFill="1" applyBorder="1" applyAlignment="1" applyProtection="1">
      <alignment horizontal="left"/>
      <protection/>
    </xf>
    <xf numFmtId="0" fontId="57" fillId="11" borderId="9" xfId="26" applyFont="1" applyFill="1" applyBorder="1" applyProtection="1">
      <alignment/>
      <protection/>
    </xf>
    <xf numFmtId="0" fontId="3" fillId="11" borderId="10" xfId="26" applyFont="1" applyFill="1" applyBorder="1" applyAlignment="1" applyProtection="1">
      <alignment horizontal="right"/>
      <protection/>
    </xf>
    <xf numFmtId="1" fontId="4" fillId="13" borderId="8" xfId="26" applyNumberFormat="1" applyFont="1" applyFill="1" applyBorder="1" applyAlignment="1" applyProtection="1">
      <alignment horizontal="center"/>
      <protection locked="0"/>
    </xf>
    <xf numFmtId="197" fontId="67" fillId="8" borderId="0" xfId="22" applyNumberFormat="1" applyFont="1" applyFill="1" applyBorder="1" applyProtection="1">
      <alignment/>
      <protection/>
    </xf>
    <xf numFmtId="200" fontId="4" fillId="2" borderId="7" xfId="22" applyNumberFormat="1" applyFont="1" applyFill="1" applyBorder="1" applyAlignment="1" applyProtection="1">
      <alignment horizontal="center" vertical="center" shrinkToFit="1"/>
      <protection locked="0"/>
    </xf>
    <xf numFmtId="49" fontId="4" fillId="8" borderId="31" xfId="22" applyNumberFormat="1" applyFont="1" applyFill="1" applyBorder="1" applyAlignment="1" applyProtection="1">
      <alignment horizontal="center" vertical="center"/>
      <protection/>
    </xf>
    <xf numFmtId="49" fontId="7" fillId="8" borderId="32" xfId="22" applyNumberFormat="1" applyFont="1" applyFill="1" applyBorder="1" applyAlignment="1" applyProtection="1">
      <alignment horizontal="center" vertical="center"/>
      <protection/>
    </xf>
    <xf numFmtId="2" fontId="32" fillId="2" borderId="17" xfId="22" applyNumberFormat="1" applyFont="1" applyFill="1" applyBorder="1" applyAlignment="1" applyProtection="1">
      <alignment vertical="center"/>
      <protection locked="0"/>
    </xf>
    <xf numFmtId="2" fontId="32" fillId="2" borderId="20" xfId="22" applyNumberFormat="1" applyFont="1" applyFill="1" applyBorder="1" applyAlignment="1" applyProtection="1">
      <alignment vertical="center"/>
      <protection locked="0"/>
    </xf>
    <xf numFmtId="49" fontId="4" fillId="8" borderId="33" xfId="22" applyNumberFormat="1" applyFont="1" applyFill="1" applyBorder="1" applyAlignment="1" applyProtection="1">
      <alignment horizontal="center" vertical="center"/>
      <protection/>
    </xf>
    <xf numFmtId="49" fontId="7" fillId="8" borderId="34" xfId="22" applyNumberFormat="1" applyFont="1" applyFill="1" applyBorder="1" applyAlignment="1" applyProtection="1">
      <alignment horizontal="center" vertical="center"/>
      <protection/>
    </xf>
    <xf numFmtId="197" fontId="32" fillId="2" borderId="35" xfId="22" applyNumberFormat="1" applyFont="1" applyFill="1" applyBorder="1" applyProtection="1">
      <alignment/>
      <protection locked="0"/>
    </xf>
    <xf numFmtId="2" fontId="32" fillId="2" borderId="35" xfId="22" applyNumberFormat="1" applyFont="1" applyFill="1" applyBorder="1" applyAlignment="1" applyProtection="1">
      <alignment vertical="center"/>
      <protection locked="0"/>
    </xf>
    <xf numFmtId="49" fontId="4" fillId="8" borderId="36" xfId="22" applyNumberFormat="1" applyFont="1" applyFill="1" applyBorder="1" applyAlignment="1" applyProtection="1">
      <alignment horizontal="center" vertical="center"/>
      <protection/>
    </xf>
    <xf numFmtId="49" fontId="7" fillId="8" borderId="37" xfId="22" applyNumberFormat="1" applyFont="1" applyFill="1" applyBorder="1" applyAlignment="1" applyProtection="1">
      <alignment horizontal="center" vertical="center"/>
      <protection/>
    </xf>
    <xf numFmtId="197" fontId="32" fillId="8" borderId="38" xfId="22" applyNumberFormat="1" applyFont="1" applyFill="1" applyBorder="1" applyProtection="1">
      <alignment/>
      <protection/>
    </xf>
    <xf numFmtId="197" fontId="32" fillId="8" borderId="39" xfId="22" applyNumberFormat="1" applyFont="1" applyFill="1" applyBorder="1" applyProtection="1">
      <alignment/>
      <protection/>
    </xf>
    <xf numFmtId="2" fontId="32" fillId="2" borderId="40" xfId="22" applyNumberFormat="1" applyFont="1" applyFill="1" applyBorder="1" applyAlignment="1" applyProtection="1">
      <alignment vertical="center"/>
      <protection locked="0"/>
    </xf>
    <xf numFmtId="179" fontId="26" fillId="8" borderId="8" xfId="22" applyFont="1" applyFill="1" applyBorder="1" applyAlignment="1" applyProtection="1">
      <alignment horizontal="left" wrapText="1"/>
      <protection/>
    </xf>
    <xf numFmtId="49" fontId="4" fillId="10" borderId="2" xfId="22" applyNumberFormat="1" applyFont="1" applyFill="1" applyBorder="1" applyAlignment="1" applyProtection="1">
      <alignment horizontal="center" vertical="center"/>
      <protection/>
    </xf>
    <xf numFmtId="49" fontId="7" fillId="10" borderId="2"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protection/>
    </xf>
    <xf numFmtId="49" fontId="4" fillId="2" borderId="7" xfId="22" applyNumberFormat="1" applyFont="1" applyFill="1" applyBorder="1" applyAlignment="1" applyProtection="1">
      <alignment horizontal="right" vertical="center"/>
      <protection locked="0"/>
    </xf>
    <xf numFmtId="0" fontId="2" fillId="8" borderId="0" xfId="22" applyNumberFormat="1" applyFont="1" applyFill="1" applyProtection="1">
      <alignment/>
      <protection/>
    </xf>
    <xf numFmtId="0" fontId="4" fillId="3" borderId="7" xfId="22" applyNumberFormat="1" applyFont="1" applyFill="1" applyBorder="1" applyAlignment="1" applyProtection="1">
      <alignment horizontal="right" vertical="center"/>
      <protection/>
    </xf>
    <xf numFmtId="197" fontId="32" fillId="8" borderId="2" xfId="22" applyNumberFormat="1" applyFont="1" applyFill="1" applyBorder="1" applyProtection="1">
      <alignment/>
      <protection/>
    </xf>
    <xf numFmtId="179" fontId="4" fillId="8" borderId="0" xfId="22" applyFont="1" applyFill="1" applyBorder="1" applyAlignment="1" applyProtection="1">
      <alignment horizontal="center" wrapText="1"/>
      <protection/>
    </xf>
    <xf numFmtId="179" fontId="33" fillId="8" borderId="0" xfId="22" applyFont="1" applyFill="1" applyBorder="1" applyProtection="1">
      <alignment/>
      <protection/>
    </xf>
    <xf numFmtId="187" fontId="3" fillId="2" borderId="7" xfId="22" applyNumberFormat="1" applyFont="1" applyFill="1" applyBorder="1" applyAlignment="1" applyProtection="1">
      <alignment horizontal="right" vertical="center"/>
      <protection locked="0"/>
    </xf>
    <xf numFmtId="179" fontId="4" fillId="8" borderId="2" xfId="22" applyFont="1" applyFill="1" applyBorder="1" applyAlignment="1" applyProtection="1">
      <alignment horizontal="center" vertical="center" wrapText="1"/>
      <protection/>
    </xf>
    <xf numFmtId="179" fontId="26" fillId="8" borderId="0" xfId="22" applyFont="1" applyFill="1" applyBorder="1" applyAlignment="1" applyProtection="1">
      <alignment horizontal="left"/>
      <protection/>
    </xf>
    <xf numFmtId="179" fontId="2" fillId="8" borderId="22" xfId="22" applyFont="1" applyFill="1" applyBorder="1" applyProtection="1">
      <alignment/>
      <protection/>
    </xf>
    <xf numFmtId="179" fontId="4" fillId="8" borderId="0" xfId="22" applyFont="1" applyFill="1" applyBorder="1" applyAlignment="1" applyProtection="1">
      <alignment horizontal="left" vertical="center"/>
      <protection/>
    </xf>
    <xf numFmtId="179" fontId="7" fillId="8" borderId="0" xfId="22" applyFont="1" applyFill="1" applyAlignment="1" applyProtection="1">
      <alignment vertical="top"/>
      <protection/>
    </xf>
    <xf numFmtId="179" fontId="4" fillId="8" borderId="0" xfId="22" applyFont="1" applyFill="1" applyBorder="1" applyAlignment="1" applyProtection="1">
      <alignment horizontal="left" vertical="center" wrapText="1"/>
      <protection/>
    </xf>
    <xf numFmtId="179" fontId="4" fillId="2" borderId="0" xfId="22" applyFont="1" applyFill="1" applyBorder="1" applyAlignment="1" applyProtection="1">
      <alignment horizontal="center" vertical="center" wrapText="1"/>
      <protection locked="0"/>
    </xf>
    <xf numFmtId="1" fontId="7" fillId="3" borderId="0" xfId="22" applyNumberFormat="1" applyFont="1" applyFill="1" applyAlignment="1" applyProtection="1">
      <alignment horizontal="center"/>
      <protection/>
    </xf>
    <xf numFmtId="1" fontId="7" fillId="3" borderId="8" xfId="22" applyNumberFormat="1" applyFont="1" applyFill="1" applyBorder="1" applyAlignment="1" applyProtection="1">
      <alignment horizontal="center"/>
      <protection/>
    </xf>
    <xf numFmtId="49" fontId="4" fillId="2" borderId="6" xfId="22" applyNumberFormat="1" applyFont="1" applyFill="1" applyBorder="1" applyAlignment="1" applyProtection="1">
      <alignment horizontal="center" vertical="center"/>
      <protection locked="0"/>
    </xf>
    <xf numFmtId="0" fontId="20" fillId="2" borderId="11" xfId="24" applyFont="1" applyFill="1" applyBorder="1" applyAlignment="1" applyProtection="1" quotePrefix="1">
      <alignment horizontal="center" vertical="center"/>
      <protection locked="0"/>
    </xf>
    <xf numFmtId="179" fontId="3" fillId="12" borderId="5" xfId="0" applyFont="1" applyFill="1" applyBorder="1" applyAlignment="1" applyProtection="1">
      <alignment horizontal="right"/>
      <protection/>
    </xf>
    <xf numFmtId="179" fontId="2" fillId="12" borderId="0" xfId="0" applyFont="1" applyFill="1" applyAlignment="1" applyProtection="1">
      <alignment vertical="top"/>
      <protection/>
    </xf>
    <xf numFmtId="179" fontId="4" fillId="12" borderId="4" xfId="0" applyFont="1" applyFill="1" applyBorder="1" applyAlignment="1" applyProtection="1">
      <alignment/>
      <protection/>
    </xf>
    <xf numFmtId="197" fontId="7" fillId="3" borderId="2" xfId="28" applyNumberFormat="1" applyFont="1" applyBorder="1" applyProtection="1">
      <alignment/>
      <protection/>
    </xf>
    <xf numFmtId="179" fontId="10" fillId="12" borderId="0" xfId="0" applyFont="1" applyFill="1" applyBorder="1" applyAlignment="1" applyProtection="1">
      <alignment horizontal="right"/>
      <protection/>
    </xf>
    <xf numFmtId="179" fontId="0" fillId="8" borderId="2" xfId="0" applyFill="1" applyBorder="1" applyAlignment="1" applyProtection="1">
      <alignment horizontal="center"/>
      <protection hidden="1"/>
    </xf>
    <xf numFmtId="179" fontId="0" fillId="8" borderId="8" xfId="0" applyFill="1" applyBorder="1" applyAlignment="1" applyProtection="1">
      <alignment horizontal="center"/>
      <protection hidden="1"/>
    </xf>
    <xf numFmtId="197" fontId="32" fillId="3" borderId="40" xfId="22" applyNumberFormat="1" applyFont="1" applyFill="1" applyBorder="1" applyProtection="1">
      <alignment/>
      <protection/>
    </xf>
    <xf numFmtId="179" fontId="69" fillId="8" borderId="0" xfId="20" applyFont="1" applyFill="1" applyAlignment="1" applyProtection="1">
      <alignment/>
      <protection/>
    </xf>
    <xf numFmtId="0" fontId="20" fillId="8" borderId="0" xfId="24" applyFont="1" applyFill="1" applyProtection="1">
      <alignment/>
      <protection/>
    </xf>
    <xf numFmtId="0" fontId="3" fillId="8" borderId="0" xfId="25" applyFont="1" applyFill="1" applyAlignment="1" applyProtection="1">
      <alignment horizontal="center"/>
      <protection/>
    </xf>
    <xf numFmtId="0" fontId="70" fillId="8" borderId="0" xfId="24" applyFont="1" applyFill="1" applyBorder="1">
      <alignment/>
      <protection/>
    </xf>
    <xf numFmtId="0" fontId="1" fillId="8" borderId="41" xfId="24" applyFill="1" applyBorder="1">
      <alignment/>
      <protection/>
    </xf>
    <xf numFmtId="0" fontId="1" fillId="8" borderId="42" xfId="24" applyFill="1" applyBorder="1">
      <alignment/>
      <protection/>
    </xf>
    <xf numFmtId="0" fontId="1" fillId="8" borderId="43" xfId="24" applyFill="1" applyBorder="1">
      <alignment/>
      <protection/>
    </xf>
    <xf numFmtId="197" fontId="2" fillId="3" borderId="2" xfId="0" applyNumberFormat="1" applyFont="1" applyFill="1" applyBorder="1" applyAlignment="1" applyProtection="1">
      <alignment/>
      <protection/>
    </xf>
    <xf numFmtId="179" fontId="0" fillId="8"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9" fillId="8" borderId="0" xfId="0" applyFont="1" applyFill="1" applyAlignment="1" applyProtection="1" quotePrefix="1">
      <alignment horizontal="right"/>
      <protection/>
    </xf>
    <xf numFmtId="1" fontId="39" fillId="8" borderId="0" xfId="0" applyNumberFormat="1" applyFont="1" applyFill="1" applyAlignment="1" applyProtection="1">
      <alignment/>
      <protection/>
    </xf>
    <xf numFmtId="179" fontId="31" fillId="8" borderId="0" xfId="0" applyFont="1" applyFill="1" applyAlignment="1" applyProtection="1">
      <alignment horizontal="center"/>
      <protection/>
    </xf>
    <xf numFmtId="179" fontId="31" fillId="8" borderId="0" xfId="0" applyFont="1" applyFill="1" applyAlignment="1" applyProtection="1">
      <alignment/>
      <protection/>
    </xf>
    <xf numFmtId="179" fontId="0" fillId="8" borderId="5" xfId="0" applyFill="1" applyBorder="1" applyAlignment="1" applyProtection="1">
      <alignment/>
      <protection/>
    </xf>
    <xf numFmtId="179" fontId="0" fillId="8" borderId="6" xfId="0" applyFill="1" applyBorder="1" applyAlignment="1" applyProtection="1">
      <alignment/>
      <protection/>
    </xf>
    <xf numFmtId="179" fontId="0" fillId="8" borderId="3" xfId="0" applyFill="1" applyBorder="1" applyAlignment="1" applyProtection="1">
      <alignment/>
      <protection/>
    </xf>
    <xf numFmtId="179" fontId="0" fillId="8" borderId="0" xfId="0" applyFill="1" applyBorder="1" applyAlignment="1" applyProtection="1">
      <alignment/>
      <protection/>
    </xf>
    <xf numFmtId="179" fontId="0" fillId="8" borderId="8" xfId="0" applyFill="1" applyBorder="1" applyAlignment="1" applyProtection="1">
      <alignment/>
      <protection/>
    </xf>
    <xf numFmtId="179" fontId="0" fillId="8" borderId="9" xfId="0" applyFill="1" applyBorder="1" applyAlignment="1" applyProtection="1">
      <alignment/>
      <protection/>
    </xf>
    <xf numFmtId="179" fontId="0" fillId="8" borderId="2" xfId="0" applyFill="1" applyBorder="1" applyAlignment="1" applyProtection="1">
      <alignment/>
      <protection/>
    </xf>
    <xf numFmtId="179" fontId="0" fillId="8" borderId="4" xfId="0" applyFill="1" applyBorder="1" applyAlignment="1" applyProtection="1">
      <alignment/>
      <protection/>
    </xf>
    <xf numFmtId="179" fontId="31" fillId="8" borderId="2" xfId="0" applyFont="1" applyFill="1" applyBorder="1" applyAlignment="1" applyProtection="1">
      <alignment/>
      <protection/>
    </xf>
    <xf numFmtId="179" fontId="0" fillId="2" borderId="3" xfId="0" applyFill="1" applyBorder="1" applyAlignment="1" applyProtection="1">
      <alignment/>
      <protection/>
    </xf>
    <xf numFmtId="179" fontId="0" fillId="2" borderId="0" xfId="0" applyFill="1" applyBorder="1" applyAlignment="1" applyProtection="1">
      <alignment/>
      <protection/>
    </xf>
    <xf numFmtId="179" fontId="0" fillId="8" borderId="0" xfId="0" applyFill="1" applyBorder="1" applyAlignment="1" applyProtection="1">
      <alignment horizontal="center"/>
      <protection/>
    </xf>
    <xf numFmtId="179" fontId="39" fillId="8" borderId="4" xfId="0" applyFont="1" applyFill="1" applyBorder="1" applyAlignment="1" applyProtection="1">
      <alignment horizontal="left"/>
      <protection/>
    </xf>
    <xf numFmtId="179" fontId="0" fillId="2" borderId="2" xfId="0" applyFill="1" applyBorder="1" applyAlignment="1" applyProtection="1">
      <alignment horizontal="center"/>
      <protection/>
    </xf>
    <xf numFmtId="179" fontId="0" fillId="8" borderId="5" xfId="0" applyFill="1" applyBorder="1" applyAlignment="1" applyProtection="1">
      <alignment/>
      <protection/>
    </xf>
    <xf numFmtId="179" fontId="0" fillId="8" borderId="5" xfId="0" applyFill="1" applyBorder="1" applyAlignment="1" applyProtection="1">
      <alignment horizontal="center"/>
      <protection/>
    </xf>
    <xf numFmtId="179" fontId="0" fillId="8" borderId="6" xfId="0" applyFill="1" applyBorder="1" applyAlignment="1" applyProtection="1">
      <alignment/>
      <protection/>
    </xf>
    <xf numFmtId="179" fontId="39" fillId="8" borderId="3" xfId="0" applyFont="1" applyFill="1" applyBorder="1" applyAlignment="1" applyProtection="1">
      <alignment horizontal="left" vertical="top"/>
      <protection/>
    </xf>
    <xf numFmtId="179" fontId="0" fillId="8" borderId="0" xfId="0" applyFill="1" applyBorder="1" applyAlignment="1" applyProtection="1">
      <alignment/>
      <protection/>
    </xf>
    <xf numFmtId="179" fontId="0" fillId="8" borderId="7" xfId="0" applyFill="1" applyBorder="1" applyAlignment="1" applyProtection="1">
      <alignment/>
      <protection/>
    </xf>
    <xf numFmtId="179" fontId="39" fillId="8" borderId="9" xfId="0" applyFont="1" applyFill="1" applyBorder="1" applyAlignment="1" applyProtection="1">
      <alignment horizontal="left" vertical="top"/>
      <protection/>
    </xf>
    <xf numFmtId="179" fontId="0" fillId="8" borderId="8" xfId="0" applyFill="1" applyBorder="1" applyAlignment="1" applyProtection="1">
      <alignment vertical="center"/>
      <protection/>
    </xf>
    <xf numFmtId="179" fontId="0" fillId="8" borderId="8" xfId="0" applyFill="1" applyBorder="1" applyAlignment="1" applyProtection="1">
      <alignment/>
      <protection/>
    </xf>
    <xf numFmtId="179" fontId="0" fillId="8" borderId="10" xfId="0" applyFill="1" applyBorder="1" applyAlignment="1" applyProtection="1">
      <alignment/>
      <protection/>
    </xf>
    <xf numFmtId="179" fontId="0" fillId="8" borderId="0" xfId="0" applyFill="1" applyAlignment="1" applyProtection="1">
      <alignment horizontal="left"/>
      <protection/>
    </xf>
    <xf numFmtId="179" fontId="31" fillId="8" borderId="0" xfId="0" applyFont="1" applyFill="1" applyAlignment="1" applyProtection="1">
      <alignment horizontal="right"/>
      <protection/>
    </xf>
    <xf numFmtId="197" fontId="2" fillId="3" borderId="8" xfId="28" applyNumberFormat="1" applyBorder="1" applyProtection="1">
      <alignment/>
      <protection hidden="1"/>
    </xf>
    <xf numFmtId="197" fontId="2" fillId="3" borderId="8" xfId="28" applyNumberFormat="1" applyFont="1" applyBorder="1" applyProtection="1">
      <alignment/>
      <protection hidden="1"/>
    </xf>
    <xf numFmtId="197" fontId="2" fillId="3" borderId="8" xfId="28" applyNumberFormat="1" applyFont="1" applyBorder="1" applyAlignment="1" applyProtection="1">
      <alignment vertical="center"/>
      <protection/>
    </xf>
    <xf numFmtId="197" fontId="2" fillId="3" borderId="2" xfId="28" applyNumberFormat="1" applyBorder="1" applyAlignment="1" applyProtection="1">
      <alignment vertical="center"/>
      <protection/>
    </xf>
    <xf numFmtId="179" fontId="0" fillId="12" borderId="0" xfId="0" applyFill="1" applyAlignment="1" applyProtection="1">
      <alignment/>
      <protection/>
    </xf>
    <xf numFmtId="179" fontId="39" fillId="12" borderId="0" xfId="0" applyFont="1" applyFill="1" applyBorder="1" applyAlignment="1" applyProtection="1" quotePrefix="1">
      <alignment horizontal="center"/>
      <protection/>
    </xf>
    <xf numFmtId="197" fontId="2" fillId="3" borderId="2" xfId="28" applyNumberFormat="1" applyFont="1" applyBorder="1" applyProtection="1">
      <alignment/>
      <protection/>
    </xf>
    <xf numFmtId="197" fontId="0" fillId="0" borderId="0" xfId="0" applyNumberFormat="1" applyFill="1" applyBorder="1" applyAlignment="1" applyProtection="1">
      <alignment/>
      <protection/>
    </xf>
    <xf numFmtId="197" fontId="2" fillId="3" borderId="13" xfId="28" applyNumberFormat="1" applyBorder="1" applyProtection="1">
      <alignment/>
      <protection/>
    </xf>
    <xf numFmtId="197" fontId="2" fillId="3" borderId="11" xfId="28" applyNumberFormat="1" applyBorder="1" applyProtection="1">
      <alignment/>
      <protection/>
    </xf>
    <xf numFmtId="179" fontId="2" fillId="8" borderId="0" xfId="28" applyFill="1" applyBorder="1" applyProtection="1">
      <alignment/>
      <protection/>
    </xf>
    <xf numFmtId="179" fontId="31" fillId="8" borderId="0" xfId="0" applyFont="1" applyFill="1" applyBorder="1" applyAlignment="1" applyProtection="1" quotePrefix="1">
      <alignment/>
      <protection/>
    </xf>
    <xf numFmtId="179" fontId="0" fillId="8" borderId="8" xfId="0" applyFill="1" applyBorder="1" applyAlignment="1" applyProtection="1">
      <alignment wrapText="1"/>
      <protection/>
    </xf>
    <xf numFmtId="179" fontId="0" fillId="8" borderId="8" xfId="0" applyFill="1" applyBorder="1" applyAlignment="1" applyProtection="1">
      <alignment horizontal="right"/>
      <protection/>
    </xf>
    <xf numFmtId="197" fontId="2" fillId="3" borderId="2" xfId="28" applyNumberFormat="1" applyFont="1" applyBorder="1" applyProtection="1" quotePrefix="1">
      <alignment/>
      <protection/>
    </xf>
    <xf numFmtId="179" fontId="39" fillId="8" borderId="0" xfId="0" applyFont="1" applyFill="1" applyAlignment="1" applyProtection="1">
      <alignment horizontal="center"/>
      <protection/>
    </xf>
    <xf numFmtId="179" fontId="0" fillId="8" borderId="0" xfId="0" applyFill="1" applyAlignment="1" applyProtection="1">
      <alignment horizontal="center"/>
      <protection/>
    </xf>
    <xf numFmtId="1" fontId="0" fillId="8" borderId="0" xfId="0" applyNumberFormat="1" applyFill="1" applyAlignment="1" applyProtection="1">
      <alignment horizontal="center"/>
      <protection/>
    </xf>
    <xf numFmtId="179" fontId="0" fillId="8" borderId="0" xfId="22" applyFill="1" applyProtection="1">
      <alignment/>
      <protection/>
    </xf>
    <xf numFmtId="179" fontId="0" fillId="0" borderId="0" xfId="22" applyProtection="1">
      <alignment/>
      <protection/>
    </xf>
    <xf numFmtId="197" fontId="32" fillId="3" borderId="0" xfId="22" applyNumberFormat="1" applyFont="1" applyFill="1" applyAlignment="1" applyProtection="1">
      <alignment vertical="center"/>
      <protection/>
    </xf>
    <xf numFmtId="179" fontId="33" fillId="8" borderId="22" xfId="22" applyFont="1" applyFill="1" applyBorder="1" applyAlignment="1" applyProtection="1">
      <alignment horizontal="center"/>
      <protection/>
    </xf>
    <xf numFmtId="179" fontId="30" fillId="8" borderId="22" xfId="22" applyFont="1" applyFill="1" applyBorder="1" applyProtection="1">
      <alignment/>
      <protection/>
    </xf>
    <xf numFmtId="179" fontId="0" fillId="8" borderId="22" xfId="22" applyFill="1" applyBorder="1" applyProtection="1">
      <alignment/>
      <protection/>
    </xf>
    <xf numFmtId="179" fontId="33" fillId="8" borderId="0" xfId="22" applyFont="1" applyFill="1" applyAlignment="1" applyProtection="1">
      <alignment horizontal="center"/>
      <protection/>
    </xf>
    <xf numFmtId="179" fontId="30" fillId="8" borderId="0" xfId="22" applyFont="1" applyFill="1" applyProtection="1">
      <alignment/>
      <protection/>
    </xf>
    <xf numFmtId="49" fontId="0" fillId="0" borderId="0" xfId="22" applyNumberFormat="1" applyAlignment="1" applyProtection="1">
      <alignment horizontal="center" vertical="center"/>
      <protection/>
    </xf>
    <xf numFmtId="197" fontId="32" fillId="3" borderId="0" xfId="22" applyNumberFormat="1" applyFont="1" applyFill="1" applyProtection="1">
      <alignment/>
      <protection/>
    </xf>
    <xf numFmtId="179" fontId="30" fillId="8" borderId="0" xfId="22" applyFont="1" applyFill="1" applyAlignment="1" applyProtection="1">
      <alignment vertical="center"/>
      <protection/>
    </xf>
    <xf numFmtId="49" fontId="0" fillId="8" borderId="0" xfId="22" applyNumberFormat="1" applyFill="1" applyAlignment="1" applyProtection="1">
      <alignment horizontal="center" vertical="center"/>
      <protection/>
    </xf>
    <xf numFmtId="49" fontId="0" fillId="8" borderId="22" xfId="22" applyNumberFormat="1" applyFill="1" applyBorder="1" applyAlignment="1" applyProtection="1">
      <alignment horizontal="center" vertical="center"/>
      <protection/>
    </xf>
    <xf numFmtId="197" fontId="32" fillId="3" borderId="2" xfId="22" applyNumberFormat="1" applyFont="1" applyFill="1" applyBorder="1" applyProtection="1">
      <alignment/>
      <protection/>
    </xf>
    <xf numFmtId="179" fontId="0" fillId="8" borderId="0" xfId="22" applyFill="1" applyBorder="1" applyProtection="1">
      <alignment/>
      <protection/>
    </xf>
    <xf numFmtId="197" fontId="32" fillId="3" borderId="8" xfId="22" applyNumberFormat="1" applyFont="1" applyFill="1" applyBorder="1" applyAlignment="1" applyProtection="1">
      <alignment vertical="center"/>
      <protection/>
    </xf>
    <xf numFmtId="1" fontId="54" fillId="0" borderId="0" xfId="22" applyNumberFormat="1" applyFont="1" applyProtection="1">
      <alignment/>
      <protection/>
    </xf>
    <xf numFmtId="1" fontId="0" fillId="8" borderId="0" xfId="22" applyNumberFormat="1" applyFont="1" applyFill="1" applyBorder="1" applyAlignment="1" applyProtection="1">
      <alignment horizontal="center" vertical="center"/>
      <protection/>
    </xf>
    <xf numFmtId="1" fontId="0" fillId="8" borderId="0" xfId="22" applyNumberFormat="1" applyFont="1" applyFill="1" applyAlignment="1" applyProtection="1">
      <alignment horizontal="left"/>
      <protection/>
    </xf>
    <xf numFmtId="1" fontId="0" fillId="8" borderId="0" xfId="22" applyNumberFormat="1" applyFont="1" applyFill="1" applyBorder="1" applyProtection="1">
      <alignment/>
      <protection/>
    </xf>
    <xf numFmtId="1" fontId="0" fillId="8" borderId="0" xfId="22" applyNumberFormat="1" applyFont="1" applyFill="1" applyProtection="1">
      <alignment/>
      <protection/>
    </xf>
    <xf numFmtId="1" fontId="33" fillId="8" borderId="0" xfId="22" applyNumberFormat="1" applyFont="1" applyFill="1" applyAlignment="1" applyProtection="1">
      <alignment horizontal="center"/>
      <protection/>
    </xf>
    <xf numFmtId="1" fontId="30" fillId="8" borderId="0" xfId="22" applyNumberFormat="1" applyFont="1" applyFill="1" applyProtection="1">
      <alignment/>
      <protection/>
    </xf>
    <xf numFmtId="1" fontId="0" fillId="8" borderId="0" xfId="22" applyNumberFormat="1" applyFill="1" applyProtection="1">
      <alignment/>
      <protection/>
    </xf>
    <xf numFmtId="9" fontId="32" fillId="3" borderId="0" xfId="22" applyNumberFormat="1" applyFont="1" applyFill="1" applyAlignment="1" applyProtection="1">
      <alignment vertical="center"/>
      <protection/>
    </xf>
    <xf numFmtId="179" fontId="30" fillId="8" borderId="0" xfId="22" applyFont="1" applyFill="1" applyBorder="1" applyProtection="1">
      <alignment/>
      <protection/>
    </xf>
    <xf numFmtId="1" fontId="32" fillId="3" borderId="0" xfId="22" applyNumberFormat="1" applyFont="1" applyFill="1" applyBorder="1" applyProtection="1">
      <alignment/>
      <protection/>
    </xf>
    <xf numFmtId="197" fontId="32" fillId="3" borderId="0" xfId="22" applyNumberFormat="1" applyFont="1" applyFill="1" applyBorder="1" applyProtection="1">
      <alignment/>
      <protection/>
    </xf>
    <xf numFmtId="179" fontId="0" fillId="0" borderId="0" xfId="22" applyFill="1" applyProtection="1">
      <alignment/>
      <protection/>
    </xf>
    <xf numFmtId="197" fontId="32" fillId="8" borderId="8" xfId="22" applyNumberFormat="1" applyFont="1" applyFill="1" applyBorder="1" applyProtection="1">
      <alignment/>
      <protection/>
    </xf>
    <xf numFmtId="0" fontId="1" fillId="8" borderId="0" xfId="24" applyFont="1" applyFill="1" applyAlignment="1" applyProtection="1">
      <alignment horizontal="center"/>
      <protection/>
    </xf>
    <xf numFmtId="0" fontId="1" fillId="8" borderId="0" xfId="24" applyFill="1" applyProtection="1">
      <alignment/>
      <protection/>
    </xf>
    <xf numFmtId="0" fontId="20" fillId="8" borderId="0" xfId="24" applyFont="1" applyFill="1" applyAlignment="1" applyProtection="1">
      <alignment horizontal="center"/>
      <protection/>
    </xf>
    <xf numFmtId="179" fontId="47" fillId="8" borderId="5" xfId="0" applyFont="1" applyFill="1" applyBorder="1" applyAlignment="1" applyProtection="1">
      <alignment/>
      <protection/>
    </xf>
    <xf numFmtId="179" fontId="0" fillId="8" borderId="7" xfId="0" applyFill="1" applyBorder="1" applyAlignment="1" applyProtection="1">
      <alignment/>
      <protection/>
    </xf>
    <xf numFmtId="179" fontId="0" fillId="8" borderId="0" xfId="0" applyFill="1" applyBorder="1" applyAlignment="1" applyProtection="1">
      <alignment horizontal="right"/>
      <protection/>
    </xf>
    <xf numFmtId="197" fontId="2" fillId="8" borderId="8" xfId="0" applyNumberFormat="1" applyFont="1" applyFill="1" applyBorder="1" applyAlignment="1" applyProtection="1">
      <alignment/>
      <protection/>
    </xf>
    <xf numFmtId="187" fontId="0" fillId="2" borderId="8" xfId="0" applyNumberFormat="1" applyFill="1" applyBorder="1" applyAlignment="1" applyProtection="1">
      <alignment horizontal="center"/>
      <protection locked="0"/>
    </xf>
    <xf numFmtId="187" fontId="0" fillId="2" borderId="2" xfId="0" applyNumberFormat="1" applyFill="1" applyBorder="1" applyAlignment="1" applyProtection="1">
      <alignment horizontal="center"/>
      <protection locked="0"/>
    </xf>
    <xf numFmtId="179" fontId="48" fillId="8" borderId="0" xfId="0" applyFont="1" applyFill="1" applyBorder="1" applyAlignment="1" applyProtection="1">
      <alignment/>
      <protection/>
    </xf>
    <xf numFmtId="179" fontId="49" fillId="8" borderId="0" xfId="0" applyFont="1" applyFill="1" applyBorder="1" applyAlignment="1" applyProtection="1">
      <alignment/>
      <protection/>
    </xf>
    <xf numFmtId="179" fontId="39" fillId="8" borderId="0" xfId="0" applyFont="1" applyFill="1" applyBorder="1" applyAlignment="1" applyProtection="1">
      <alignment/>
      <protection/>
    </xf>
    <xf numFmtId="179" fontId="39" fillId="8" borderId="0" xfId="0" applyFont="1" applyFill="1" applyBorder="1" applyAlignment="1" applyProtection="1">
      <alignment horizontal="right"/>
      <protection/>
    </xf>
    <xf numFmtId="179" fontId="0" fillId="8" borderId="8" xfId="0" applyFont="1" applyFill="1" applyBorder="1" applyAlignment="1" applyProtection="1">
      <alignment/>
      <protection/>
    </xf>
    <xf numFmtId="179" fontId="0" fillId="8" borderId="10" xfId="0" applyFill="1" applyBorder="1" applyAlignment="1" applyProtection="1">
      <alignment/>
      <protection/>
    </xf>
    <xf numFmtId="179" fontId="0" fillId="8" borderId="30" xfId="0" applyFill="1" applyBorder="1" applyAlignment="1" applyProtection="1">
      <alignment/>
      <protection/>
    </xf>
    <xf numFmtId="179" fontId="39" fillId="8" borderId="0" xfId="0" applyFont="1" applyFill="1" applyBorder="1" applyAlignment="1" applyProtection="1">
      <alignment horizontal="center"/>
      <protection/>
    </xf>
    <xf numFmtId="179" fontId="0" fillId="8" borderId="7" xfId="0" applyFill="1" applyBorder="1" applyAlignment="1" applyProtection="1" quotePrefix="1">
      <alignment horizontal="center"/>
      <protection/>
    </xf>
    <xf numFmtId="179" fontId="0" fillId="8" borderId="29" xfId="0" applyFill="1" applyBorder="1" applyAlignment="1" applyProtection="1">
      <alignment/>
      <protection/>
    </xf>
    <xf numFmtId="179" fontId="0" fillId="8" borderId="44" xfId="0" applyFill="1" applyBorder="1" applyAlignment="1" applyProtection="1">
      <alignment/>
      <protection/>
    </xf>
    <xf numFmtId="179" fontId="0" fillId="8" borderId="7" xfId="0" applyFill="1" applyBorder="1" applyAlignment="1" applyProtection="1">
      <alignment horizontal="center"/>
      <protection/>
    </xf>
    <xf numFmtId="179" fontId="50" fillId="8" borderId="0" xfId="0" applyFont="1" applyFill="1" applyAlignment="1" applyProtection="1">
      <alignment horizontal="right"/>
      <protection/>
    </xf>
    <xf numFmtId="179" fontId="39" fillId="8" borderId="0" xfId="0" applyFont="1" applyFill="1" applyAlignment="1" applyProtection="1">
      <alignment/>
      <protection/>
    </xf>
    <xf numFmtId="197" fontId="32" fillId="3" borderId="13" xfId="22" applyNumberFormat="1" applyFont="1" applyFill="1" applyBorder="1" applyProtection="1">
      <alignment/>
      <protection/>
    </xf>
    <xf numFmtId="197" fontId="32" fillId="3" borderId="20" xfId="22" applyNumberFormat="1" applyFont="1" applyFill="1" applyBorder="1" applyProtection="1">
      <alignment/>
      <protection/>
    </xf>
    <xf numFmtId="197" fontId="32" fillId="3" borderId="45" xfId="22" applyNumberFormat="1" applyFont="1" applyFill="1" applyBorder="1" applyProtection="1">
      <alignment/>
      <protection/>
    </xf>
    <xf numFmtId="197" fontId="32" fillId="3" borderId="35" xfId="22" applyNumberFormat="1" applyFont="1" applyFill="1" applyBorder="1" applyProtection="1">
      <alignment/>
      <protection/>
    </xf>
    <xf numFmtId="197" fontId="32" fillId="3" borderId="46" xfId="22" applyNumberFormat="1" applyFont="1" applyFill="1" applyBorder="1" applyProtection="1">
      <alignment/>
      <protection/>
    </xf>
    <xf numFmtId="197" fontId="32" fillId="3" borderId="38" xfId="22" applyNumberFormat="1" applyFont="1" applyFill="1" applyBorder="1" applyProtection="1">
      <alignment/>
      <protection/>
    </xf>
    <xf numFmtId="197" fontId="32" fillId="2" borderId="13" xfId="22" applyNumberFormat="1" applyFont="1" applyFill="1" applyBorder="1" applyAlignment="1" applyProtection="1">
      <alignment horizontal="right"/>
      <protection locked="0"/>
    </xf>
    <xf numFmtId="1" fontId="3" fillId="8" borderId="0" xfId="0" applyNumberFormat="1" applyFont="1" applyFill="1" applyBorder="1" applyAlignment="1" applyProtection="1">
      <alignment horizontal="left"/>
      <protection/>
    </xf>
    <xf numFmtId="197" fontId="7" fillId="3" borderId="47" xfId="28" applyNumberFormat="1" applyFont="1" applyBorder="1" applyProtection="1">
      <alignment/>
      <protection/>
    </xf>
    <xf numFmtId="197" fontId="7" fillId="2" borderId="22" xfId="0" applyNumberFormat="1" applyFont="1" applyFill="1" applyBorder="1" applyAlignment="1" applyProtection="1">
      <alignment/>
      <protection locked="0"/>
    </xf>
    <xf numFmtId="197" fontId="7" fillId="2" borderId="47" xfId="0" applyNumberFormat="1" applyFont="1" applyFill="1" applyBorder="1" applyAlignment="1" applyProtection="1">
      <alignment/>
      <protection locked="0"/>
    </xf>
    <xf numFmtId="197" fontId="7" fillId="2" borderId="22" xfId="28" applyNumberFormat="1" applyFont="1" applyFill="1" applyBorder="1" applyProtection="1">
      <alignment/>
      <protection locked="0"/>
    </xf>
    <xf numFmtId="197" fontId="2" fillId="3" borderId="47" xfId="28" applyNumberFormat="1" applyBorder="1" applyProtection="1">
      <alignment/>
      <protection/>
    </xf>
    <xf numFmtId="9" fontId="2" fillId="3" borderId="47" xfId="28" applyNumberFormat="1" applyBorder="1" applyProtection="1">
      <alignment/>
      <protection/>
    </xf>
    <xf numFmtId="197" fontId="2" fillId="2" borderId="47" xfId="0" applyNumberFormat="1" applyFont="1" applyFill="1" applyBorder="1" applyAlignment="1" applyProtection="1">
      <alignment/>
      <protection locked="0"/>
    </xf>
    <xf numFmtId="197" fontId="2" fillId="3" borderId="22" xfId="28" applyNumberFormat="1" applyBorder="1" applyProtection="1">
      <alignment/>
      <protection/>
    </xf>
    <xf numFmtId="197" fontId="2" fillId="3" borderId="22" xfId="28" applyNumberFormat="1" applyFont="1" applyBorder="1" applyProtection="1">
      <alignment/>
      <protection/>
    </xf>
    <xf numFmtId="197" fontId="2" fillId="2" borderId="22" xfId="0" applyNumberFormat="1" applyFont="1" applyFill="1" applyBorder="1" applyAlignment="1" applyProtection="1">
      <alignment/>
      <protection locked="0"/>
    </xf>
    <xf numFmtId="197" fontId="2" fillId="3" borderId="11" xfId="28" applyNumberFormat="1" applyFont="1" applyBorder="1" applyProtection="1">
      <alignment/>
      <protection/>
    </xf>
    <xf numFmtId="179" fontId="3" fillId="8" borderId="9" xfId="0" applyFont="1" applyFill="1" applyBorder="1" applyAlignment="1" applyProtection="1">
      <alignment/>
      <protection/>
    </xf>
    <xf numFmtId="197" fontId="2" fillId="2" borderId="48" xfId="0" applyNumberFormat="1" applyFont="1" applyFill="1" applyBorder="1" applyAlignment="1" applyProtection="1">
      <alignment/>
      <protection locked="0"/>
    </xf>
    <xf numFmtId="187" fontId="2" fillId="8" borderId="21" xfId="0" applyNumberFormat="1" applyFont="1" applyFill="1" applyBorder="1" applyAlignment="1" applyProtection="1">
      <alignment/>
      <protection/>
    </xf>
    <xf numFmtId="179" fontId="2" fillId="8" borderId="13" xfId="0" applyFont="1" applyFill="1" applyBorder="1" applyAlignment="1" applyProtection="1">
      <alignment horizontal="center"/>
      <protection/>
    </xf>
    <xf numFmtId="197" fontId="2" fillId="8" borderId="5" xfId="28" applyNumberFormat="1" applyFill="1" applyBorder="1" applyProtection="1">
      <alignment/>
      <protection/>
    </xf>
    <xf numFmtId="179" fontId="3" fillId="8" borderId="3" xfId="0" applyFont="1" applyFill="1" applyBorder="1" applyAlignment="1" applyProtection="1">
      <alignment/>
      <protection/>
    </xf>
    <xf numFmtId="197" fontId="2" fillId="3" borderId="11" xfId="28" applyNumberFormat="1" applyBorder="1" applyAlignment="1" applyProtection="1">
      <alignment vertical="center"/>
      <protection/>
    </xf>
    <xf numFmtId="197" fontId="2" fillId="2" borderId="47" xfId="0" applyNumberFormat="1" applyFont="1" applyFill="1" applyBorder="1" applyAlignment="1" applyProtection="1">
      <alignment vertical="center"/>
      <protection locked="0"/>
    </xf>
    <xf numFmtId="197" fontId="2" fillId="2" borderId="22" xfId="0" applyNumberFormat="1" applyFont="1" applyFill="1" applyBorder="1" applyAlignment="1" applyProtection="1">
      <alignment vertical="center"/>
      <protection locked="0"/>
    </xf>
    <xf numFmtId="197" fontId="2" fillId="3" borderId="47" xfId="28" applyNumberFormat="1" applyBorder="1" applyAlignment="1" applyProtection="1">
      <alignment vertical="center"/>
      <protection/>
    </xf>
    <xf numFmtId="197" fontId="7" fillId="3" borderId="11" xfId="28" applyNumberFormat="1" applyFont="1" applyBorder="1" applyProtection="1">
      <alignment/>
      <protection/>
    </xf>
    <xf numFmtId="197" fontId="2" fillId="3" borderId="47" xfId="28" applyNumberFormat="1" applyFont="1" applyBorder="1" applyProtection="1">
      <alignment/>
      <protection/>
    </xf>
    <xf numFmtId="197" fontId="0" fillId="2" borderId="47" xfId="0" applyNumberFormat="1" applyBorder="1" applyAlignment="1" applyProtection="1">
      <alignment/>
      <protection locked="0"/>
    </xf>
    <xf numFmtId="197" fontId="0" fillId="2" borderId="22" xfId="0" applyNumberFormat="1" applyBorder="1" applyAlignment="1" applyProtection="1">
      <alignment/>
      <protection locked="0"/>
    </xf>
    <xf numFmtId="179" fontId="4" fillId="12" borderId="0" xfId="0" applyFont="1" applyFill="1" applyBorder="1" applyAlignment="1" applyProtection="1">
      <alignment/>
      <protection/>
    </xf>
    <xf numFmtId="2" fontId="57" fillId="3" borderId="11" xfId="25" applyNumberFormat="1" applyFont="1" applyFill="1" applyBorder="1" applyAlignment="1" applyProtection="1" quotePrefix="1">
      <alignment horizontal="right"/>
      <protection/>
    </xf>
    <xf numFmtId="2" fontId="57" fillId="3" borderId="47" xfId="25" applyNumberFormat="1" applyFont="1" applyFill="1" applyBorder="1" applyAlignment="1" applyProtection="1" quotePrefix="1">
      <alignment horizontal="right"/>
      <protection/>
    </xf>
    <xf numFmtId="179" fontId="39" fillId="8" borderId="8" xfId="0" applyFont="1" applyFill="1" applyBorder="1" applyAlignment="1" applyProtection="1">
      <alignment horizontal="right"/>
      <protection/>
    </xf>
    <xf numFmtId="179" fontId="0" fillId="8" borderId="10" xfId="0" applyFill="1" applyBorder="1" applyAlignment="1" applyProtection="1" quotePrefix="1">
      <alignment horizontal="center"/>
      <protection/>
    </xf>
    <xf numFmtId="2" fontId="2" fillId="2" borderId="22" xfId="26" applyNumberFormat="1" applyFont="1" applyFill="1" applyBorder="1" applyAlignment="1" applyProtection="1" quotePrefix="1">
      <alignment horizontal="right"/>
      <protection locked="0"/>
    </xf>
    <xf numFmtId="2" fontId="2" fillId="3" borderId="22" xfId="26" applyNumberFormat="1" applyFont="1" applyFill="1" applyBorder="1" applyAlignment="1" applyProtection="1" quotePrefix="1">
      <alignment horizontal="right"/>
      <protection/>
    </xf>
    <xf numFmtId="2" fontId="2" fillId="3" borderId="49" xfId="26" applyNumberFormat="1" applyFont="1" applyFill="1" applyBorder="1" applyAlignment="1" applyProtection="1" quotePrefix="1">
      <alignment horizontal="right"/>
      <protection/>
    </xf>
    <xf numFmtId="49" fontId="7" fillId="8" borderId="0" xfId="22" applyNumberFormat="1" applyFont="1" applyFill="1" applyBorder="1" applyAlignment="1" applyProtection="1">
      <alignment horizontal="center" shrinkToFit="1"/>
      <protection/>
    </xf>
    <xf numFmtId="2" fontId="32" fillId="8" borderId="0" xfId="22" applyNumberFormat="1" applyFont="1" applyFill="1" applyBorder="1" applyAlignment="1" applyProtection="1">
      <alignment horizontal="right" vertical="center"/>
      <protection/>
    </xf>
    <xf numFmtId="179" fontId="0" fillId="8" borderId="0" xfId="0" applyFill="1" applyBorder="1" applyAlignment="1">
      <alignment horizontal="center"/>
    </xf>
    <xf numFmtId="179" fontId="31" fillId="8" borderId="0" xfId="0" applyFont="1" applyFill="1" applyBorder="1" applyAlignment="1">
      <alignment horizontal="center"/>
    </xf>
    <xf numFmtId="179" fontId="48" fillId="8" borderId="5" xfId="0" applyFont="1" applyFill="1" applyBorder="1" applyAlignment="1">
      <alignment/>
    </xf>
    <xf numFmtId="179" fontId="16" fillId="8" borderId="0" xfId="0" applyFont="1" applyFill="1" applyAlignment="1" applyProtection="1">
      <alignment horizontal="center"/>
      <protection hidden="1"/>
    </xf>
    <xf numFmtId="179" fontId="4" fillId="8" borderId="0" xfId="0" applyFont="1" applyFill="1" applyAlignment="1" applyProtection="1">
      <alignment horizontal="center"/>
      <protection hidden="1"/>
    </xf>
    <xf numFmtId="179" fontId="7" fillId="8" borderId="3" xfId="0" applyFont="1" applyFill="1" applyBorder="1" applyAlignment="1" applyProtection="1">
      <alignment/>
      <protection hidden="1"/>
    </xf>
    <xf numFmtId="179" fontId="7" fillId="8" borderId="9" xfId="0" applyFont="1" applyFill="1" applyBorder="1" applyAlignment="1" applyProtection="1">
      <alignment/>
      <protection hidden="1"/>
    </xf>
    <xf numFmtId="179" fontId="7" fillId="8" borderId="0" xfId="0" applyFont="1" applyFill="1" applyAlignment="1" applyProtection="1">
      <alignment/>
      <protection hidden="1"/>
    </xf>
    <xf numFmtId="179" fontId="4" fillId="8" borderId="0" xfId="0" applyFont="1" applyFill="1" applyAlignment="1" applyProtection="1">
      <alignment horizontal="left"/>
      <protection hidden="1"/>
    </xf>
    <xf numFmtId="179" fontId="4" fillId="8" borderId="0" xfId="0" applyFont="1" applyFill="1" applyAlignment="1" applyProtection="1">
      <alignment/>
      <protection hidden="1"/>
    </xf>
    <xf numFmtId="179" fontId="3" fillId="8" borderId="0" xfId="0" applyFont="1" applyFill="1" applyAlignment="1" applyProtection="1">
      <alignment horizontal="left"/>
      <protection hidden="1"/>
    </xf>
    <xf numFmtId="179" fontId="2" fillId="8" borderId="0" xfId="0" applyFont="1" applyFill="1" applyAlignment="1" applyProtection="1">
      <alignment/>
      <protection hidden="1"/>
    </xf>
    <xf numFmtId="179" fontId="32" fillId="8" borderId="0" xfId="0" applyFont="1" applyFill="1" applyAlignment="1" applyProtection="1">
      <alignment/>
      <protection hidden="1"/>
    </xf>
    <xf numFmtId="179" fontId="30" fillId="8" borderId="0" xfId="0" applyFont="1" applyFill="1" applyAlignment="1" applyProtection="1">
      <alignment/>
      <protection hidden="1"/>
    </xf>
    <xf numFmtId="179" fontId="7" fillId="8" borderId="0" xfId="0" applyFont="1" applyFill="1" applyAlignment="1" applyProtection="1">
      <alignment/>
      <protection hidden="1"/>
    </xf>
    <xf numFmtId="179" fontId="3" fillId="8" borderId="0" xfId="0" applyFont="1" applyFill="1" applyAlignment="1" applyProtection="1">
      <alignment/>
      <protection hidden="1"/>
    </xf>
    <xf numFmtId="179" fontId="7" fillId="8" borderId="0" xfId="0" applyFont="1" applyFill="1" applyAlignment="1" applyProtection="1">
      <alignment horizontal="left"/>
      <protection hidden="1"/>
    </xf>
    <xf numFmtId="179" fontId="16" fillId="8" borderId="0" xfId="0" applyFont="1" applyFill="1" applyAlignment="1" applyProtection="1">
      <alignment horizontal="left"/>
      <protection hidden="1"/>
    </xf>
    <xf numFmtId="0" fontId="1" fillId="8" borderId="0" xfId="23" applyFont="1" applyFill="1" applyProtection="1">
      <alignment/>
      <protection hidden="1"/>
    </xf>
    <xf numFmtId="0" fontId="1" fillId="8" borderId="0" xfId="23" applyFill="1" applyProtection="1">
      <alignment/>
      <protection hidden="1"/>
    </xf>
    <xf numFmtId="0" fontId="21" fillId="8" borderId="21" xfId="23" applyFont="1" applyFill="1" applyBorder="1" applyAlignment="1" applyProtection="1">
      <alignment horizontal="center"/>
      <protection hidden="1"/>
    </xf>
    <xf numFmtId="0" fontId="21" fillId="8" borderId="11" xfId="23" applyFont="1" applyFill="1" applyBorder="1" applyAlignment="1" applyProtection="1">
      <alignment horizontal="center"/>
      <protection hidden="1"/>
    </xf>
    <xf numFmtId="0" fontId="1" fillId="8" borderId="0" xfId="23" applyFill="1" applyAlignment="1" applyProtection="1">
      <alignment horizontal="center"/>
      <protection hidden="1"/>
    </xf>
    <xf numFmtId="0" fontId="15" fillId="8" borderId="0" xfId="24" applyFont="1" applyFill="1" applyBorder="1" applyProtection="1">
      <alignment/>
      <protection/>
    </xf>
    <xf numFmtId="197" fontId="7" fillId="3" borderId="22" xfId="28" applyNumberFormat="1" applyFont="1" applyBorder="1" applyProtection="1">
      <alignment/>
      <protection/>
    </xf>
    <xf numFmtId="197" fontId="7" fillId="3" borderId="49" xfId="28" applyNumberFormat="1" applyFont="1" applyBorder="1" applyProtection="1">
      <alignment/>
      <protection/>
    </xf>
    <xf numFmtId="197" fontId="7" fillId="3" borderId="50" xfId="28" applyNumberFormat="1" applyFont="1" applyBorder="1" applyProtection="1">
      <alignment/>
      <protection/>
    </xf>
    <xf numFmtId="179" fontId="0" fillId="8" borderId="0" xfId="0" applyFill="1" applyBorder="1" applyAlignment="1" applyProtection="1" quotePrefix="1">
      <alignment/>
      <protection/>
    </xf>
    <xf numFmtId="179" fontId="0" fillId="7" borderId="0" xfId="0" applyFill="1" applyBorder="1" applyAlignment="1" applyProtection="1">
      <alignment/>
      <protection/>
    </xf>
    <xf numFmtId="0" fontId="72" fillId="0" borderId="0" xfId="23" applyFont="1" applyFill="1" applyProtection="1">
      <alignment/>
      <protection hidden="1" locked="0"/>
    </xf>
    <xf numFmtId="0" fontId="72" fillId="0" borderId="0" xfId="23" applyFont="1">
      <alignment/>
      <protection/>
    </xf>
    <xf numFmtId="179" fontId="2" fillId="12" borderId="0" xfId="0" applyFont="1" applyFill="1" applyAlignment="1" applyProtection="1">
      <alignment/>
      <protection/>
    </xf>
    <xf numFmtId="10" fontId="2" fillId="3" borderId="47" xfId="28" applyNumberFormat="1" applyFont="1" applyBorder="1" applyProtection="1">
      <alignment/>
      <protection/>
    </xf>
    <xf numFmtId="179" fontId="3" fillId="12" borderId="1" xfId="0" applyFont="1" applyFill="1" applyBorder="1" applyAlignment="1" applyProtection="1">
      <alignment horizontal="center"/>
      <protection/>
    </xf>
    <xf numFmtId="197" fontId="2" fillId="3" borderId="51" xfId="28" applyNumberFormat="1" applyBorder="1" applyProtection="1">
      <alignment/>
      <protection/>
    </xf>
    <xf numFmtId="197" fontId="2" fillId="2" borderId="0" xfId="0" applyNumberFormat="1" applyFont="1" applyFill="1" applyBorder="1" applyAlignment="1" applyProtection="1">
      <alignment/>
      <protection locked="0"/>
    </xf>
    <xf numFmtId="9" fontId="2" fillId="3" borderId="47" xfId="28" applyNumberFormat="1" applyFont="1" applyBorder="1" applyProtection="1">
      <alignment/>
      <protection/>
    </xf>
    <xf numFmtId="179" fontId="10" fillId="12" borderId="1" xfId="0" applyFont="1" applyFill="1" applyBorder="1" applyAlignment="1" applyProtection="1">
      <alignment horizontal="right"/>
      <protection/>
    </xf>
    <xf numFmtId="0" fontId="1" fillId="8" borderId="0" xfId="24" applyFont="1" applyFill="1">
      <alignment/>
      <protection/>
    </xf>
    <xf numFmtId="0" fontId="21" fillId="8" borderId="0" xfId="23" applyFont="1" applyFill="1" applyBorder="1" applyAlignment="1" applyProtection="1">
      <alignment horizontal="center"/>
      <protection hidden="1"/>
    </xf>
    <xf numFmtId="0" fontId="21" fillId="8" borderId="0" xfId="23" applyFont="1" applyFill="1" applyBorder="1" applyAlignment="1">
      <alignment wrapText="1"/>
      <protection/>
    </xf>
    <xf numFmtId="0" fontId="21" fillId="8" borderId="0" xfId="23" applyFont="1" applyFill="1" applyBorder="1">
      <alignment/>
      <protection/>
    </xf>
    <xf numFmtId="0" fontId="1" fillId="8" borderId="0" xfId="23" applyFont="1" applyFill="1" applyBorder="1">
      <alignment/>
      <protection/>
    </xf>
    <xf numFmtId="179" fontId="73" fillId="8" borderId="0" xfId="0" applyFont="1" applyFill="1" applyAlignment="1" applyProtection="1">
      <alignment horizontal="left"/>
      <protection hidden="1"/>
    </xf>
    <xf numFmtId="179" fontId="73" fillId="8" borderId="0" xfId="0" applyFont="1" applyFill="1" applyAlignment="1" applyProtection="1">
      <alignment horizontal="right"/>
      <protection hidden="1"/>
    </xf>
    <xf numFmtId="179" fontId="73" fillId="8" borderId="0" xfId="0" applyFont="1" applyFill="1" applyAlignment="1" applyProtection="1">
      <alignment/>
      <protection hidden="1"/>
    </xf>
    <xf numFmtId="179" fontId="66" fillId="8" borderId="0" xfId="0" applyFont="1" applyFill="1" applyAlignment="1" applyProtection="1">
      <alignment/>
      <protection hidden="1"/>
    </xf>
    <xf numFmtId="178" fontId="66" fillId="8" borderId="0" xfId="0" applyNumberFormat="1" applyFont="1" applyFill="1" applyAlignment="1" applyProtection="1">
      <alignment/>
      <protection hidden="1"/>
    </xf>
    <xf numFmtId="179" fontId="73" fillId="12" borderId="0" xfId="0" applyFont="1" applyFill="1" applyAlignment="1" applyProtection="1">
      <alignment/>
      <protection/>
    </xf>
    <xf numFmtId="179" fontId="74" fillId="8" borderId="0" xfId="0" applyFont="1" applyFill="1" applyAlignment="1" applyProtection="1">
      <alignment horizontal="right"/>
      <protection hidden="1"/>
    </xf>
    <xf numFmtId="179" fontId="74" fillId="8" borderId="0" xfId="0" applyFont="1" applyFill="1" applyAlignment="1" applyProtection="1">
      <alignment horizontal="right"/>
      <protection/>
    </xf>
    <xf numFmtId="179" fontId="14" fillId="8" borderId="0" xfId="0" applyFont="1" applyFill="1" applyAlignment="1" applyProtection="1">
      <alignment horizontal="right"/>
      <protection/>
    </xf>
    <xf numFmtId="179" fontId="2" fillId="8" borderId="0" xfId="22" applyFont="1" applyFill="1" applyAlignment="1" applyProtection="1">
      <alignment horizontal="left"/>
      <protection/>
    </xf>
    <xf numFmtId="0" fontId="21" fillId="8" borderId="0" xfId="24" applyFont="1" applyFill="1" applyBorder="1">
      <alignment/>
      <protection/>
    </xf>
    <xf numFmtId="0" fontId="1" fillId="8" borderId="0" xfId="24" applyFont="1" applyFill="1" applyBorder="1" applyAlignment="1">
      <alignment vertical="top"/>
      <protection/>
    </xf>
    <xf numFmtId="179" fontId="2" fillId="8" borderId="2" xfId="0" applyFont="1" applyFill="1" applyBorder="1" applyAlignment="1" applyProtection="1">
      <alignment/>
      <protection/>
    </xf>
    <xf numFmtId="179" fontId="0" fillId="2" borderId="52" xfId="0" applyFill="1" applyBorder="1" applyAlignment="1" applyProtection="1">
      <alignment horizontal="center"/>
      <protection/>
    </xf>
    <xf numFmtId="179" fontId="0" fillId="2" borderId="52" xfId="0" applyFill="1" applyBorder="1" applyAlignment="1" applyProtection="1">
      <alignment/>
      <protection/>
    </xf>
    <xf numFmtId="179" fontId="10" fillId="8" borderId="17" xfId="0" applyFont="1" applyFill="1" applyBorder="1" applyAlignment="1" applyProtection="1">
      <alignment horizontal="center" shrinkToFit="1"/>
      <protection/>
    </xf>
    <xf numFmtId="179" fontId="8" fillId="8" borderId="0" xfId="0" applyFont="1" applyFill="1" applyAlignment="1" applyProtection="1">
      <alignment horizontal="left"/>
      <protection/>
    </xf>
    <xf numFmtId="179" fontId="14" fillId="8" borderId="0" xfId="0" applyFont="1" applyFill="1" applyAlignment="1" applyProtection="1">
      <alignment/>
      <protection/>
    </xf>
    <xf numFmtId="179" fontId="29" fillId="8" borderId="0" xfId="0" applyFont="1" applyFill="1" applyAlignment="1" applyProtection="1">
      <alignment/>
      <protection/>
    </xf>
    <xf numFmtId="197" fontId="2" fillId="2" borderId="8" xfId="28" applyNumberFormat="1" applyFill="1" applyBorder="1" applyProtection="1">
      <alignment/>
      <protection locked="0"/>
    </xf>
    <xf numFmtId="179" fontId="4" fillId="8" borderId="0" xfId="0" applyFont="1" applyFill="1" applyAlignment="1" applyProtection="1">
      <alignment horizontal="left" vertical="center"/>
      <protection hidden="1"/>
    </xf>
    <xf numFmtId="179" fontId="14" fillId="12" borderId="0" xfId="0" applyFont="1" applyFill="1" applyBorder="1" applyAlignment="1" applyProtection="1">
      <alignment/>
      <protection/>
    </xf>
    <xf numFmtId="179" fontId="2" fillId="12" borderId="2" xfId="0" applyFont="1" applyFill="1" applyBorder="1" applyAlignment="1" applyProtection="1">
      <alignment/>
      <protection/>
    </xf>
    <xf numFmtId="197" fontId="7" fillId="3" borderId="51" xfId="28" applyNumberFormat="1" applyFont="1" applyBorder="1" applyProtection="1">
      <alignment/>
      <protection/>
    </xf>
    <xf numFmtId="179" fontId="66" fillId="8" borderId="0" xfId="0" applyFont="1" applyFill="1" applyAlignment="1" applyProtection="1">
      <alignment/>
      <protection/>
    </xf>
    <xf numFmtId="179" fontId="74" fillId="8" borderId="0" xfId="0" applyFont="1" applyFill="1" applyAlignment="1" applyProtection="1">
      <alignment horizontal="left"/>
      <protection hidden="1"/>
    </xf>
    <xf numFmtId="179" fontId="75" fillId="8" borderId="0" xfId="0" applyFont="1" applyFill="1" applyAlignment="1" applyProtection="1">
      <alignment horizontal="right"/>
      <protection hidden="1"/>
    </xf>
    <xf numFmtId="179" fontId="26" fillId="8" borderId="0" xfId="0" applyFont="1" applyFill="1" applyAlignment="1" applyProtection="1" quotePrefix="1">
      <alignment horizontal="right"/>
      <protection/>
    </xf>
    <xf numFmtId="0" fontId="73" fillId="8" borderId="0" xfId="24" applyFont="1" applyFill="1" applyBorder="1" applyAlignment="1" applyProtection="1">
      <alignment horizontal="right"/>
      <protection hidden="1"/>
    </xf>
    <xf numFmtId="0" fontId="1" fillId="8" borderId="0" xfId="24" applyFont="1" applyFill="1" applyBorder="1" applyAlignment="1">
      <alignment/>
      <protection/>
    </xf>
    <xf numFmtId="0" fontId="19" fillId="8" borderId="0" xfId="24" applyFont="1" applyFill="1" applyAlignment="1">
      <alignment horizontal="right" vertical="top"/>
      <protection/>
    </xf>
    <xf numFmtId="179" fontId="3" fillId="8" borderId="8" xfId="0" applyFont="1" applyFill="1" applyBorder="1" applyAlignment="1" applyProtection="1">
      <alignment/>
      <protection/>
    </xf>
    <xf numFmtId="197" fontId="23" fillId="3" borderId="8" xfId="28" applyNumberFormat="1" applyFont="1" applyBorder="1" applyProtection="1">
      <alignment/>
      <protection/>
    </xf>
    <xf numFmtId="49" fontId="5" fillId="8" borderId="8" xfId="0" applyNumberFormat="1" applyFont="1" applyFill="1" applyBorder="1" applyAlignment="1" applyProtection="1">
      <alignment horizontal="center"/>
      <protection/>
    </xf>
    <xf numFmtId="179" fontId="42" fillId="8" borderId="2" xfId="0" applyFont="1" applyFill="1" applyBorder="1" applyAlignment="1" applyProtection="1">
      <alignment horizontal="right"/>
      <protection/>
    </xf>
    <xf numFmtId="179" fontId="42" fillId="8" borderId="8" xfId="0" applyFont="1" applyFill="1" applyBorder="1" applyAlignment="1" applyProtection="1">
      <alignment horizontal="right"/>
      <protection/>
    </xf>
    <xf numFmtId="179" fontId="2" fillId="8" borderId="17" xfId="0" applyFont="1" applyFill="1" applyBorder="1" applyAlignment="1" applyProtection="1">
      <alignment horizontal="center" shrinkToFit="1"/>
      <protection/>
    </xf>
    <xf numFmtId="197" fontId="2" fillId="2" borderId="13" xfId="28" applyNumberFormat="1" applyFill="1" applyBorder="1" applyAlignment="1" applyProtection="1">
      <alignment horizontal="right"/>
      <protection locked="0"/>
    </xf>
    <xf numFmtId="1" fontId="2" fillId="2" borderId="13" xfId="0" applyNumberFormat="1" applyFont="1" applyFill="1" applyBorder="1" applyAlignment="1" applyProtection="1">
      <alignment horizontal="center"/>
      <protection locked="0"/>
    </xf>
    <xf numFmtId="49" fontId="2" fillId="2" borderId="0" xfId="0" applyNumberFormat="1" applyFont="1" applyFill="1" applyAlignment="1" applyProtection="1">
      <alignment horizontal="center"/>
      <protection locked="0"/>
    </xf>
    <xf numFmtId="179" fontId="7" fillId="8" borderId="0" xfId="0" applyFont="1" applyFill="1" applyAlignment="1" applyProtection="1">
      <alignment horizontal="center"/>
      <protection/>
    </xf>
    <xf numFmtId="1" fontId="2" fillId="2" borderId="13" xfId="0" applyNumberFormat="1" applyFont="1" applyFill="1" applyBorder="1" applyAlignment="1" applyProtection="1">
      <alignment horizontal="center"/>
      <protection locked="0"/>
    </xf>
    <xf numFmtId="179" fontId="79" fillId="8" borderId="0" xfId="0" applyFont="1" applyFill="1" applyAlignment="1" applyProtection="1">
      <alignment/>
      <protection/>
    </xf>
    <xf numFmtId="179" fontId="2" fillId="8" borderId="0" xfId="0" applyFont="1" applyFill="1" applyBorder="1" applyAlignment="1" applyProtection="1">
      <alignment vertical="top"/>
      <protection/>
    </xf>
    <xf numFmtId="179" fontId="4" fillId="8" borderId="0" xfId="0" applyFont="1" applyFill="1" applyBorder="1" applyAlignment="1" applyProtection="1">
      <alignment/>
      <protection/>
    </xf>
    <xf numFmtId="179" fontId="3" fillId="8" borderId="1" xfId="0" applyFont="1" applyFill="1" applyBorder="1" applyAlignment="1" applyProtection="1">
      <alignment horizontal="left"/>
      <protection/>
    </xf>
    <xf numFmtId="179" fontId="4" fillId="8" borderId="15" xfId="0" applyFont="1" applyFill="1" applyBorder="1" applyAlignment="1" applyProtection="1">
      <alignment horizontal="left"/>
      <protection/>
    </xf>
    <xf numFmtId="179" fontId="2" fillId="8" borderId="1" xfId="0" applyFont="1" applyFill="1" applyBorder="1" applyAlignment="1" applyProtection="1">
      <alignment horizontal="left"/>
      <protection/>
    </xf>
    <xf numFmtId="179" fontId="4" fillId="8" borderId="0" xfId="0" applyFont="1" applyFill="1" applyAlignment="1" applyProtection="1">
      <alignment/>
      <protection/>
    </xf>
    <xf numFmtId="179" fontId="2" fillId="8" borderId="53" xfId="0" applyFont="1" applyFill="1" applyBorder="1" applyAlignment="1" applyProtection="1">
      <alignment/>
      <protection/>
    </xf>
    <xf numFmtId="179" fontId="28" fillId="8" borderId="54" xfId="0" applyFont="1" applyFill="1" applyBorder="1" applyAlignment="1" applyProtection="1">
      <alignment/>
      <protection/>
    </xf>
    <xf numFmtId="179" fontId="29" fillId="8" borderId="54" xfId="0" applyFont="1" applyFill="1" applyBorder="1" applyAlignment="1" applyProtection="1">
      <alignment/>
      <protection/>
    </xf>
    <xf numFmtId="179" fontId="29" fillId="8" borderId="55" xfId="0" applyFont="1" applyFill="1" applyBorder="1" applyAlignment="1" applyProtection="1">
      <alignment/>
      <protection/>
    </xf>
    <xf numFmtId="179" fontId="28" fillId="8" borderId="0" xfId="0" applyFont="1" applyFill="1" applyBorder="1" applyAlignment="1" applyProtection="1">
      <alignment/>
      <protection/>
    </xf>
    <xf numFmtId="179" fontId="28" fillId="8" borderId="0" xfId="0" applyFont="1" applyFill="1" applyBorder="1" applyAlignment="1" applyProtection="1">
      <alignment horizontal="right"/>
      <protection/>
    </xf>
    <xf numFmtId="179" fontId="29" fillId="8" borderId="0" xfId="0" applyFont="1" applyFill="1" applyBorder="1" applyAlignment="1" applyProtection="1">
      <alignment/>
      <protection/>
    </xf>
    <xf numFmtId="179" fontId="28" fillId="8" borderId="53" xfId="0" applyFont="1" applyFill="1" applyBorder="1" applyAlignment="1" applyProtection="1">
      <alignment/>
      <protection/>
    </xf>
    <xf numFmtId="179" fontId="28" fillId="8" borderId="1" xfId="0" applyFont="1" applyFill="1" applyBorder="1" applyAlignment="1" applyProtection="1">
      <alignment/>
      <protection/>
    </xf>
    <xf numFmtId="179" fontId="28" fillId="8" borderId="1" xfId="0" applyFont="1" applyFill="1" applyBorder="1" applyAlignment="1" applyProtection="1">
      <alignment horizontal="right"/>
      <protection/>
    </xf>
    <xf numFmtId="178" fontId="81" fillId="6" borderId="0" xfId="0" applyNumberFormat="1" applyFont="1" applyFill="1" applyBorder="1" applyAlignment="1" applyProtection="1">
      <alignment/>
      <protection/>
    </xf>
    <xf numFmtId="197" fontId="28" fillId="2" borderId="22" xfId="0" applyNumberFormat="1" applyFont="1" applyFill="1" applyBorder="1" applyAlignment="1" applyProtection="1">
      <alignment/>
      <protection locked="0"/>
    </xf>
    <xf numFmtId="178" fontId="29" fillId="8" borderId="53" xfId="0" applyNumberFormat="1" applyFont="1" applyFill="1" applyBorder="1" applyAlignment="1" applyProtection="1">
      <alignment/>
      <protection/>
    </xf>
    <xf numFmtId="179" fontId="80" fillId="8" borderId="8" xfId="0" applyFont="1" applyFill="1" applyBorder="1" applyAlignment="1" applyProtection="1">
      <alignment horizontal="right"/>
      <protection/>
    </xf>
    <xf numFmtId="197" fontId="28" fillId="3" borderId="8" xfId="28" applyNumberFormat="1" applyFont="1" applyBorder="1" applyProtection="1">
      <alignment/>
      <protection/>
    </xf>
    <xf numFmtId="179" fontId="28" fillId="8" borderId="56" xfId="0" applyFont="1" applyFill="1" applyBorder="1" applyAlignment="1" applyProtection="1">
      <alignment/>
      <protection/>
    </xf>
    <xf numFmtId="179" fontId="28" fillId="8" borderId="22" xfId="0" applyFont="1" applyFill="1" applyBorder="1" applyAlignment="1" applyProtection="1">
      <alignment/>
      <protection/>
    </xf>
    <xf numFmtId="179" fontId="28" fillId="8" borderId="22" xfId="0" applyFont="1" applyFill="1" applyBorder="1" applyAlignment="1" applyProtection="1">
      <alignment horizontal="right"/>
      <protection/>
    </xf>
    <xf numFmtId="179" fontId="29" fillId="8" borderId="22" xfId="0" applyFont="1" applyFill="1" applyBorder="1" applyAlignment="1" applyProtection="1">
      <alignment horizontal="right" vertical="center"/>
      <protection/>
    </xf>
    <xf numFmtId="179" fontId="28" fillId="8" borderId="57" xfId="0" applyFont="1" applyFill="1" applyBorder="1" applyAlignment="1" applyProtection="1">
      <alignment/>
      <protection/>
    </xf>
    <xf numFmtId="179" fontId="28" fillId="8" borderId="0" xfId="0" applyFont="1" applyFill="1" applyAlignment="1" applyProtection="1">
      <alignment/>
      <protection/>
    </xf>
    <xf numFmtId="197" fontId="28" fillId="2" borderId="8" xfId="0" applyNumberFormat="1" applyFont="1" applyFill="1" applyBorder="1" applyAlignment="1" applyProtection="1">
      <alignment/>
      <protection locked="0"/>
    </xf>
    <xf numFmtId="178" fontId="29" fillId="8" borderId="0" xfId="0" applyNumberFormat="1" applyFont="1" applyFill="1" applyAlignment="1" applyProtection="1">
      <alignment/>
      <protection/>
    </xf>
    <xf numFmtId="178" fontId="81" fillId="6" borderId="0" xfId="0" applyNumberFormat="1" applyFont="1" applyFill="1" applyAlignment="1" applyProtection="1">
      <alignment/>
      <protection/>
    </xf>
    <xf numFmtId="179" fontId="28" fillId="8" borderId="0" xfId="0" applyFont="1" applyFill="1" applyAlignment="1" applyProtection="1">
      <alignment horizontal="left"/>
      <protection/>
    </xf>
    <xf numFmtId="197" fontId="28" fillId="3" borderId="22" xfId="28" applyNumberFormat="1" applyFont="1" applyBorder="1" applyProtection="1">
      <alignment/>
      <protection/>
    </xf>
    <xf numFmtId="179" fontId="28" fillId="8" borderId="8" xfId="0" applyFont="1" applyFill="1" applyBorder="1" applyAlignment="1" applyProtection="1">
      <alignment/>
      <protection/>
    </xf>
    <xf numFmtId="179" fontId="80" fillId="8" borderId="8" xfId="0" applyFont="1" applyFill="1" applyBorder="1" applyAlignment="1" applyProtection="1">
      <alignment/>
      <protection/>
    </xf>
    <xf numFmtId="179" fontId="80" fillId="8" borderId="0" xfId="0" applyFont="1" applyFill="1" applyAlignment="1" applyProtection="1">
      <alignment/>
      <protection/>
    </xf>
    <xf numFmtId="179" fontId="28" fillId="8" borderId="2" xfId="0" applyFont="1" applyFill="1" applyBorder="1" applyAlignment="1" applyProtection="1">
      <alignment/>
      <protection/>
    </xf>
    <xf numFmtId="179" fontId="80" fillId="8" borderId="2" xfId="0" applyFont="1" applyFill="1" applyBorder="1" applyAlignment="1" applyProtection="1">
      <alignment/>
      <protection/>
    </xf>
    <xf numFmtId="179" fontId="28" fillId="8" borderId="2" xfId="0" applyFont="1" applyFill="1" applyBorder="1" applyAlignment="1" applyProtection="1">
      <alignment horizontal="right"/>
      <protection/>
    </xf>
    <xf numFmtId="179" fontId="28" fillId="8" borderId="58" xfId="0" applyFont="1" applyFill="1" applyBorder="1" applyAlignment="1" applyProtection="1">
      <alignment horizontal="right"/>
      <protection/>
    </xf>
    <xf numFmtId="179" fontId="29" fillId="8" borderId="0" xfId="0" applyFont="1" applyFill="1" applyAlignment="1" applyProtection="1">
      <alignment horizontal="right"/>
      <protection/>
    </xf>
    <xf numFmtId="179" fontId="29" fillId="8" borderId="1" xfId="0" applyFont="1" applyFill="1" applyBorder="1" applyAlignment="1" applyProtection="1">
      <alignment horizontal="right"/>
      <protection/>
    </xf>
    <xf numFmtId="197" fontId="28" fillId="3" borderId="11" xfId="28" applyNumberFormat="1" applyFont="1" applyBorder="1" applyProtection="1">
      <alignment/>
      <protection/>
    </xf>
    <xf numFmtId="179" fontId="29" fillId="8" borderId="41" xfId="0" applyFont="1" applyFill="1" applyBorder="1" applyAlignment="1" applyProtection="1">
      <alignment vertical="top"/>
      <protection/>
    </xf>
    <xf numFmtId="179" fontId="28" fillId="8" borderId="42" xfId="0" applyFont="1" applyFill="1" applyBorder="1" applyAlignment="1" applyProtection="1">
      <alignment/>
      <protection/>
    </xf>
    <xf numFmtId="179" fontId="29" fillId="8" borderId="42" xfId="0" applyFont="1" applyFill="1" applyBorder="1" applyAlignment="1" applyProtection="1">
      <alignment/>
      <protection/>
    </xf>
    <xf numFmtId="179" fontId="28" fillId="8" borderId="43" xfId="0" applyFont="1" applyFill="1" applyBorder="1" applyAlignment="1" applyProtection="1">
      <alignment/>
      <protection/>
    </xf>
    <xf numFmtId="179" fontId="28" fillId="8" borderId="59" xfId="0" applyFont="1" applyFill="1" applyBorder="1" applyAlignment="1" applyProtection="1">
      <alignment/>
      <protection/>
    </xf>
    <xf numFmtId="179" fontId="28" fillId="3" borderId="8" xfId="0" applyFont="1" applyFill="1" applyBorder="1" applyAlignment="1" applyProtection="1">
      <alignment/>
      <protection/>
    </xf>
    <xf numFmtId="179" fontId="28" fillId="8" borderId="60" xfId="0" applyFont="1" applyFill="1" applyBorder="1" applyAlignment="1" applyProtection="1">
      <alignment/>
      <protection/>
    </xf>
    <xf numFmtId="179" fontId="28" fillId="3" borderId="47" xfId="0" applyFont="1" applyFill="1" applyBorder="1" applyAlignment="1" applyProtection="1">
      <alignment/>
      <protection/>
    </xf>
    <xf numFmtId="179" fontId="29" fillId="8" borderId="60" xfId="0" applyFont="1" applyFill="1" applyBorder="1" applyAlignment="1" applyProtection="1">
      <alignment/>
      <protection/>
    </xf>
    <xf numFmtId="179" fontId="29" fillId="8" borderId="54" xfId="0" applyFont="1" applyFill="1" applyBorder="1" applyAlignment="1" applyProtection="1">
      <alignment vertical="top"/>
      <protection/>
    </xf>
    <xf numFmtId="179" fontId="28" fillId="8" borderId="55" xfId="0" applyFont="1" applyFill="1" applyBorder="1" applyAlignment="1" applyProtection="1">
      <alignment/>
      <protection/>
    </xf>
    <xf numFmtId="178" fontId="29" fillId="8" borderId="0" xfId="0" applyNumberFormat="1" applyFont="1" applyFill="1" applyBorder="1" applyAlignment="1" applyProtection="1">
      <alignment/>
      <protection/>
    </xf>
    <xf numFmtId="197" fontId="28" fillId="3" borderId="47" xfId="28" applyNumberFormat="1" applyFont="1" applyBorder="1" applyProtection="1">
      <alignment/>
      <protection/>
    </xf>
    <xf numFmtId="0" fontId="3" fillId="8" borderId="0" xfId="25" applyFont="1" applyFill="1" applyAlignment="1" applyProtection="1">
      <alignment horizontal="right"/>
      <protection/>
    </xf>
    <xf numFmtId="179" fontId="63" fillId="8" borderId="0" xfId="22" applyFont="1" applyFill="1" applyAlignment="1" applyProtection="1">
      <alignment horizontal="left" wrapText="1"/>
      <protection/>
    </xf>
    <xf numFmtId="179" fontId="63" fillId="8" borderId="0" xfId="22" applyFont="1" applyFill="1" applyAlignment="1" applyProtection="1">
      <alignment horizontal="left"/>
      <protection/>
    </xf>
    <xf numFmtId="0" fontId="57" fillId="8" borderId="0" xfId="25" applyFont="1" applyFill="1" applyAlignment="1" applyProtection="1">
      <alignment vertical="top"/>
      <protection/>
    </xf>
    <xf numFmtId="179" fontId="3" fillId="12" borderId="5" xfId="0" applyFont="1" applyFill="1" applyBorder="1" applyAlignment="1" applyProtection="1">
      <alignment/>
      <protection/>
    </xf>
    <xf numFmtId="178" fontId="3" fillId="12" borderId="6" xfId="0" applyNumberFormat="1" applyFont="1" applyFill="1" applyBorder="1" applyAlignment="1" applyProtection="1">
      <alignment/>
      <protection/>
    </xf>
    <xf numFmtId="1" fontId="28" fillId="2" borderId="1" xfId="0" applyNumberFormat="1" applyFont="1" applyFill="1" applyBorder="1" applyAlignment="1" applyProtection="1">
      <alignment/>
      <protection locked="0"/>
    </xf>
    <xf numFmtId="197" fontId="2" fillId="2" borderId="22" xfId="28" applyNumberFormat="1" applyFont="1" applyFill="1" applyBorder="1" applyProtection="1">
      <alignment/>
      <protection locked="0"/>
    </xf>
    <xf numFmtId="179" fontId="3" fillId="12" borderId="8" xfId="0" applyFont="1" applyFill="1" applyBorder="1" applyAlignment="1" applyProtection="1">
      <alignment horizontal="center" vertical="center"/>
      <protection/>
    </xf>
    <xf numFmtId="179" fontId="0" fillId="8" borderId="0" xfId="0" applyFont="1" applyFill="1" applyBorder="1" applyAlignment="1" applyProtection="1">
      <alignment/>
      <protection/>
    </xf>
    <xf numFmtId="178" fontId="9" fillId="6" borderId="0" xfId="0" applyNumberFormat="1" applyFont="1" applyFill="1" applyBorder="1" applyAlignment="1" applyProtection="1" quotePrefix="1">
      <alignment/>
      <protection/>
    </xf>
    <xf numFmtId="178" fontId="3" fillId="12" borderId="7" xfId="0" applyNumberFormat="1" applyFont="1" applyFill="1" applyBorder="1" applyAlignment="1" applyProtection="1">
      <alignment/>
      <protection/>
    </xf>
    <xf numFmtId="178" fontId="3" fillId="12" borderId="0" xfId="0" applyNumberFormat="1" applyFont="1" applyFill="1" applyBorder="1" applyAlignment="1" applyProtection="1">
      <alignment/>
      <protection/>
    </xf>
    <xf numFmtId="179" fontId="2" fillId="12" borderId="0" xfId="0" applyFont="1" applyFill="1" applyBorder="1" applyAlignment="1" applyProtection="1">
      <alignment vertical="top"/>
      <protection/>
    </xf>
    <xf numFmtId="179" fontId="42" fillId="12" borderId="8" xfId="0" applyFont="1" applyFill="1" applyBorder="1" applyAlignment="1" applyProtection="1">
      <alignment/>
      <protection/>
    </xf>
    <xf numFmtId="49" fontId="0" fillId="2" borderId="8" xfId="0" applyNumberFormat="1" applyBorder="1" applyAlignment="1" applyProtection="1">
      <alignment horizontal="center" vertical="center" shrinkToFit="1"/>
      <protection locked="0"/>
    </xf>
    <xf numFmtId="179" fontId="39" fillId="14" borderId="8" xfId="0" applyFont="1" applyFill="1" applyBorder="1" applyAlignment="1" applyProtection="1">
      <alignment/>
      <protection/>
    </xf>
    <xf numFmtId="179" fontId="4" fillId="12" borderId="8" xfId="0" applyFont="1" applyFill="1" applyBorder="1" applyAlignment="1" applyProtection="1">
      <alignment/>
      <protection/>
    </xf>
    <xf numFmtId="179" fontId="39" fillId="14" borderId="2" xfId="0" applyFont="1" applyFill="1" applyBorder="1" applyAlignment="1" applyProtection="1">
      <alignment/>
      <protection/>
    </xf>
    <xf numFmtId="49" fontId="0" fillId="2" borderId="8" xfId="0" applyNumberFormat="1" applyBorder="1" applyAlignment="1" applyProtection="1">
      <alignment horizontal="center" vertical="center"/>
      <protection locked="0"/>
    </xf>
    <xf numFmtId="0" fontId="21" fillId="8" borderId="8" xfId="23" applyFont="1" applyFill="1" applyBorder="1" applyAlignment="1">
      <alignment horizontal="center"/>
      <protection/>
    </xf>
    <xf numFmtId="179" fontId="17" fillId="8" borderId="0" xfId="0" applyFont="1" applyFill="1" applyAlignment="1" applyProtection="1">
      <alignment horizontal="left"/>
      <protection hidden="1"/>
    </xf>
    <xf numFmtId="179" fontId="69" fillId="12" borderId="0" xfId="20" applyFont="1" applyFill="1" applyAlignment="1" applyProtection="1">
      <alignment/>
      <protection hidden="1"/>
    </xf>
    <xf numFmtId="179" fontId="2" fillId="8" borderId="0" xfId="0" applyFont="1" applyFill="1" applyBorder="1" applyAlignment="1" applyProtection="1">
      <alignment wrapText="1"/>
      <protection/>
    </xf>
    <xf numFmtId="179" fontId="2" fillId="8" borderId="0" xfId="0" applyFont="1" applyFill="1" applyBorder="1" applyAlignment="1" applyProtection="1">
      <alignment/>
      <protection/>
    </xf>
    <xf numFmtId="179" fontId="3" fillId="8" borderId="8" xfId="0" applyFont="1" applyFill="1" applyBorder="1" applyAlignment="1" applyProtection="1">
      <alignment horizontal="left"/>
      <protection/>
    </xf>
    <xf numFmtId="179" fontId="69" fillId="8" borderId="9" xfId="20" applyFont="1" applyFill="1" applyBorder="1" applyAlignment="1">
      <alignment/>
    </xf>
    <xf numFmtId="179" fontId="69" fillId="8" borderId="21" xfId="20" applyFont="1" applyFill="1" applyBorder="1" applyAlignment="1">
      <alignment/>
    </xf>
    <xf numFmtId="179" fontId="39" fillId="8" borderId="0" xfId="0" applyFont="1" applyFill="1" applyAlignment="1">
      <alignment horizontal="center"/>
    </xf>
    <xf numFmtId="179" fontId="0" fillId="8" borderId="0" xfId="0" applyFont="1" applyFill="1" applyAlignment="1">
      <alignment horizontal="center"/>
    </xf>
    <xf numFmtId="179" fontId="69" fillId="8" borderId="2" xfId="20" applyFont="1" applyFill="1" applyBorder="1" applyAlignment="1">
      <alignment/>
    </xf>
    <xf numFmtId="197" fontId="2" fillId="8" borderId="5" xfId="0" applyNumberFormat="1" applyFont="1" applyFill="1" applyBorder="1" applyAlignment="1" applyProtection="1">
      <alignment/>
      <protection locked="0"/>
    </xf>
    <xf numFmtId="197" fontId="84" fillId="3" borderId="2" xfId="20" applyNumberFormat="1" applyFont="1" applyBorder="1" applyAlignment="1" applyProtection="1">
      <alignment/>
      <protection/>
    </xf>
    <xf numFmtId="179" fontId="29" fillId="8" borderId="0" xfId="0" applyFont="1" applyFill="1" applyAlignment="1" applyProtection="1">
      <alignment/>
      <protection hidden="1"/>
    </xf>
    <xf numFmtId="0" fontId="1" fillId="0" borderId="0" xfId="25" applyAlignment="1">
      <alignment horizontal="center"/>
      <protection/>
    </xf>
    <xf numFmtId="179" fontId="32" fillId="8" borderId="0" xfId="0" applyFont="1" applyFill="1" applyAlignment="1">
      <alignment horizontal="center" vertical="center"/>
    </xf>
    <xf numFmtId="0" fontId="10" fillId="11" borderId="0" xfId="26" applyFont="1" applyFill="1" applyBorder="1" applyAlignment="1" applyProtection="1">
      <alignment horizontal="center"/>
      <protection/>
    </xf>
    <xf numFmtId="0" fontId="42" fillId="11" borderId="0" xfId="26" applyFont="1" applyFill="1" applyBorder="1" applyAlignment="1" applyProtection="1">
      <alignment horizontal="center"/>
      <protection/>
    </xf>
    <xf numFmtId="0" fontId="23" fillId="0" borderId="0" xfId="26" applyFont="1">
      <alignment/>
      <protection/>
    </xf>
    <xf numFmtId="49" fontId="30" fillId="8" borderId="0" xfId="22" applyNumberFormat="1" applyFont="1" applyFill="1" applyAlignment="1" applyProtection="1">
      <alignment horizontal="center" vertical="center"/>
      <protection/>
    </xf>
    <xf numFmtId="179" fontId="0" fillId="8" borderId="0" xfId="22" applyFont="1" applyFill="1" applyProtection="1">
      <alignment/>
      <protection/>
    </xf>
    <xf numFmtId="179" fontId="32" fillId="8" borderId="0" xfId="22" applyFont="1" applyFill="1" applyProtection="1">
      <alignment/>
      <protection/>
    </xf>
    <xf numFmtId="179" fontId="48" fillId="8" borderId="0" xfId="0" applyFont="1" applyFill="1" applyBorder="1" applyAlignment="1" applyProtection="1">
      <alignment horizontal="right"/>
      <protection/>
    </xf>
    <xf numFmtId="179" fontId="49" fillId="8" borderId="0" xfId="0" applyFont="1" applyFill="1" applyBorder="1" applyAlignment="1" applyProtection="1">
      <alignment horizontal="right"/>
      <protection/>
    </xf>
    <xf numFmtId="179" fontId="48" fillId="8" borderId="0" xfId="0" applyFont="1" applyFill="1" applyBorder="1" applyAlignment="1" applyProtection="1">
      <alignment horizontal="left"/>
      <protection/>
    </xf>
    <xf numFmtId="179" fontId="49" fillId="8" borderId="0" xfId="0" applyFont="1" applyFill="1" applyBorder="1" applyAlignment="1" applyProtection="1">
      <alignment horizontal="left"/>
      <protection/>
    </xf>
    <xf numFmtId="179" fontId="24" fillId="8" borderId="0" xfId="0" applyFont="1" applyFill="1" applyBorder="1" applyAlignment="1" applyProtection="1">
      <alignment horizontal="center"/>
      <protection/>
    </xf>
    <xf numFmtId="179" fontId="39" fillId="8" borderId="0" xfId="22" applyFont="1" applyFill="1" applyProtection="1">
      <alignment/>
      <protection/>
    </xf>
    <xf numFmtId="49" fontId="32" fillId="8" borderId="0" xfId="22" applyNumberFormat="1" applyFont="1" applyFill="1" applyAlignment="1" applyProtection="1">
      <alignment horizontal="center" vertical="center"/>
      <protection/>
    </xf>
    <xf numFmtId="49" fontId="39" fillId="8" borderId="0" xfId="22" applyNumberFormat="1" applyFont="1" applyFill="1" applyAlignment="1" applyProtection="1">
      <alignment horizontal="center" vertical="center"/>
      <protection/>
    </xf>
    <xf numFmtId="49" fontId="7" fillId="0" borderId="0" xfId="22" applyNumberFormat="1" applyFont="1" applyFill="1" applyBorder="1" applyAlignment="1" applyProtection="1">
      <alignment horizontal="center" vertical="center"/>
      <protection/>
    </xf>
    <xf numFmtId="49" fontId="7" fillId="0" borderId="0" xfId="22" applyNumberFormat="1" applyFont="1" applyFill="1" applyBorder="1" applyAlignment="1" applyProtection="1">
      <alignment horizontal="center" vertical="center" shrinkToFit="1"/>
      <protection/>
    </xf>
    <xf numFmtId="179" fontId="4" fillId="0" borderId="0" xfId="22" applyFont="1" applyFill="1" applyBorder="1" applyAlignment="1" applyProtection="1">
      <alignment horizontal="center" vertical="center" wrapText="1"/>
      <protection/>
    </xf>
    <xf numFmtId="1" fontId="4" fillId="8" borderId="0" xfId="22" applyNumberFormat="1" applyFont="1" applyFill="1" applyBorder="1" applyAlignment="1" applyProtection="1">
      <alignment horizontal="center" vertical="center"/>
      <protection/>
    </xf>
    <xf numFmtId="1" fontId="4" fillId="8" borderId="0" xfId="22" applyNumberFormat="1" applyFont="1" applyFill="1" applyProtection="1">
      <alignment/>
      <protection/>
    </xf>
    <xf numFmtId="49" fontId="4" fillId="8" borderId="0" xfId="22" applyNumberFormat="1" applyFont="1" applyFill="1" applyBorder="1" applyAlignment="1" applyProtection="1">
      <alignment horizontal="center"/>
      <protection/>
    </xf>
    <xf numFmtId="179" fontId="5" fillId="8" borderId="0" xfId="22" applyFont="1" applyFill="1" applyAlignment="1" applyProtection="1">
      <alignment horizontal="right"/>
      <protection/>
    </xf>
    <xf numFmtId="0" fontId="85" fillId="8" borderId="0" xfId="24" applyFont="1" applyFill="1">
      <alignment/>
      <protection/>
    </xf>
    <xf numFmtId="197" fontId="2" fillId="2" borderId="2" xfId="0" applyNumberFormat="1" applyFont="1" applyFill="1" applyBorder="1" applyAlignment="1" applyProtection="1">
      <alignment horizontal="left"/>
      <protection locked="0"/>
    </xf>
    <xf numFmtId="197" fontId="84" fillId="3" borderId="8" xfId="20" applyNumberFormat="1" applyFont="1" applyBorder="1" applyAlignment="1" applyProtection="1">
      <alignment/>
      <protection/>
    </xf>
    <xf numFmtId="1" fontId="2" fillId="3" borderId="11" xfId="28" applyNumberFormat="1" applyBorder="1" applyAlignment="1" applyProtection="1">
      <alignment horizontal="center"/>
      <protection locked="0"/>
    </xf>
    <xf numFmtId="197" fontId="2" fillId="3" borderId="8" xfId="28" applyNumberFormat="1" applyBorder="1" applyProtection="1">
      <alignment/>
      <protection locked="0"/>
    </xf>
    <xf numFmtId="49" fontId="5" fillId="8" borderId="0" xfId="22" applyNumberFormat="1" applyFont="1" applyFill="1" applyBorder="1" applyAlignment="1" applyProtection="1">
      <alignment horizontal="center" vertical="center"/>
      <protection/>
    </xf>
    <xf numFmtId="179" fontId="5" fillId="8" borderId="0" xfId="22" applyFont="1" applyFill="1" applyAlignment="1" applyProtection="1">
      <alignment horizontal="center"/>
      <protection/>
    </xf>
    <xf numFmtId="179" fontId="16" fillId="8" borderId="4" xfId="0" applyFont="1" applyFill="1" applyBorder="1" applyAlignment="1" applyProtection="1">
      <alignment horizontal="center"/>
      <protection hidden="1"/>
    </xf>
    <xf numFmtId="179" fontId="2" fillId="12" borderId="0" xfId="0" applyFont="1" applyFill="1" applyAlignment="1" applyProtection="1">
      <alignment/>
      <protection/>
    </xf>
    <xf numFmtId="179" fontId="3" fillId="12" borderId="0" xfId="0" applyFont="1" applyFill="1" applyBorder="1" applyAlignment="1" applyProtection="1" quotePrefix="1">
      <alignment horizontal="center"/>
      <protection/>
    </xf>
    <xf numFmtId="197" fontId="4" fillId="2" borderId="7" xfId="22" applyNumberFormat="1" applyFont="1" applyFill="1" applyBorder="1" applyAlignment="1" applyProtection="1">
      <alignment horizontal="right"/>
      <protection locked="0"/>
    </xf>
    <xf numFmtId="179" fontId="7" fillId="3" borderId="7" xfId="22" applyFont="1" applyFill="1" applyBorder="1" applyAlignment="1" applyProtection="1">
      <alignment horizontal="right"/>
      <protection/>
    </xf>
    <xf numFmtId="179" fontId="7" fillId="3" borderId="20" xfId="22" applyFont="1" applyFill="1" applyBorder="1" applyAlignment="1" applyProtection="1">
      <alignment horizontal="right"/>
      <protection/>
    </xf>
    <xf numFmtId="179" fontId="87" fillId="3" borderId="3" xfId="22" applyFont="1" applyFill="1" applyBorder="1" applyProtection="1">
      <alignment/>
      <protection/>
    </xf>
    <xf numFmtId="179" fontId="52" fillId="2" borderId="0" xfId="20" applyAlignment="1">
      <alignment/>
    </xf>
    <xf numFmtId="179" fontId="6" fillId="12" borderId="0" xfId="0" applyFont="1" applyFill="1" applyBorder="1" applyAlignment="1" applyProtection="1">
      <alignment horizontal="center"/>
      <protection/>
    </xf>
    <xf numFmtId="197" fontId="2" fillId="3" borderId="47" xfId="28" applyNumberFormat="1" applyFont="1" applyBorder="1" applyAlignment="1" applyProtection="1">
      <alignment vertical="center"/>
      <protection/>
    </xf>
    <xf numFmtId="9" fontId="2" fillId="3" borderId="47" xfId="28" applyNumberFormat="1" applyBorder="1" applyAlignment="1" applyProtection="1">
      <alignment vertical="center"/>
      <protection/>
    </xf>
    <xf numFmtId="1" fontId="2" fillId="3" borderId="1" xfId="0" applyNumberFormat="1" applyFont="1" applyFill="1" applyBorder="1" applyAlignment="1" applyProtection="1">
      <alignment/>
      <protection/>
    </xf>
    <xf numFmtId="1" fontId="9" fillId="8" borderId="0" xfId="0" applyNumberFormat="1" applyFont="1" applyFill="1" applyAlignment="1" applyProtection="1">
      <alignment horizontal="center"/>
      <protection hidden="1"/>
    </xf>
    <xf numFmtId="179" fontId="88" fillId="8" borderId="0" xfId="0" applyFont="1" applyFill="1" applyAlignment="1" applyProtection="1">
      <alignment/>
      <protection hidden="1"/>
    </xf>
    <xf numFmtId="179" fontId="89" fillId="8" borderId="0" xfId="0" applyFont="1" applyFill="1" applyAlignment="1" applyProtection="1">
      <alignment horizontal="right"/>
      <protection hidden="1"/>
    </xf>
    <xf numFmtId="179" fontId="9" fillId="8" borderId="0" xfId="0" applyFont="1" applyFill="1" applyAlignment="1" applyProtection="1">
      <alignment horizontal="right"/>
      <protection hidden="1"/>
    </xf>
    <xf numFmtId="179" fontId="9" fillId="8" borderId="0" xfId="0" applyFont="1" applyFill="1" applyAlignment="1" applyProtection="1">
      <alignment/>
      <protection hidden="1"/>
    </xf>
    <xf numFmtId="179" fontId="74" fillId="8" borderId="0" xfId="0" applyFont="1" applyFill="1" applyAlignment="1" applyProtection="1">
      <alignment/>
      <protection hidden="1"/>
    </xf>
    <xf numFmtId="179" fontId="9" fillId="8" borderId="0" xfId="0" applyFont="1" applyFill="1" applyAlignment="1" applyProtection="1">
      <alignment horizontal="center" shrinkToFit="1"/>
      <protection hidden="1"/>
    </xf>
    <xf numFmtId="179" fontId="54" fillId="8" borderId="0" xfId="0" applyFont="1" applyFill="1" applyBorder="1" applyAlignment="1" applyProtection="1">
      <alignment horizontal="right"/>
      <protection hidden="1"/>
    </xf>
    <xf numFmtId="179" fontId="9" fillId="8" borderId="0" xfId="0" applyFont="1" applyFill="1" applyAlignment="1" applyProtection="1">
      <alignment shrinkToFit="1"/>
      <protection hidden="1"/>
    </xf>
    <xf numFmtId="179" fontId="74" fillId="8" borderId="0" xfId="0" applyFont="1" applyFill="1" applyBorder="1" applyAlignment="1" applyProtection="1">
      <alignment horizontal="right"/>
      <protection hidden="1"/>
    </xf>
    <xf numFmtId="179" fontId="3" fillId="12"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24" applyFill="1" applyBorder="1">
      <alignment/>
      <protection/>
    </xf>
    <xf numFmtId="202" fontId="64" fillId="0" borderId="0" xfId="24" applyNumberFormat="1" applyFont="1" applyFill="1" applyBorder="1" applyAlignment="1">
      <alignment/>
      <protection/>
    </xf>
    <xf numFmtId="0" fontId="61" fillId="0" borderId="0" xfId="25" applyFont="1" applyFill="1" applyBorder="1" applyProtection="1">
      <alignment/>
      <protection/>
    </xf>
    <xf numFmtId="1" fontId="54" fillId="0" borderId="0" xfId="0" applyNumberFormat="1" applyFont="1" applyFill="1" applyAlignment="1" applyProtection="1">
      <alignment/>
      <protection/>
    </xf>
    <xf numFmtId="179" fontId="54" fillId="0" borderId="0" xfId="0" applyFont="1" applyFill="1" applyAlignment="1" applyProtection="1">
      <alignment/>
      <protection/>
    </xf>
    <xf numFmtId="179" fontId="0" fillId="0" borderId="0" xfId="0" applyFill="1" applyAlignment="1" applyProtection="1">
      <alignment/>
      <protection/>
    </xf>
    <xf numFmtId="0" fontId="64" fillId="0" borderId="0" xfId="24" applyFont="1" applyFill="1" applyBorder="1">
      <alignment/>
      <protection/>
    </xf>
    <xf numFmtId="0" fontId="85" fillId="0" borderId="0" xfId="24" applyFont="1" applyFill="1" applyBorder="1">
      <alignment/>
      <protection/>
    </xf>
    <xf numFmtId="195" fontId="64" fillId="0" borderId="0" xfId="24" applyNumberFormat="1" applyFont="1" applyFill="1" applyBorder="1">
      <alignment/>
      <protection/>
    </xf>
    <xf numFmtId="208" fontId="64" fillId="0" borderId="0" xfId="24" applyNumberFormat="1" applyFont="1" applyFill="1" applyBorder="1">
      <alignment/>
      <protection/>
    </xf>
    <xf numFmtId="0" fontId="1" fillId="0" borderId="0" xfId="25" applyFill="1">
      <alignment/>
      <protection/>
    </xf>
    <xf numFmtId="1" fontId="19" fillId="8" borderId="0" xfId="24" applyNumberFormat="1" applyFont="1" applyFill="1" applyAlignment="1">
      <alignment horizontal="left" vertical="top"/>
      <protection/>
    </xf>
    <xf numFmtId="179" fontId="0" fillId="2" borderId="3" xfId="0" applyBorder="1" applyAlignment="1">
      <alignment horizontal="center"/>
    </xf>
    <xf numFmtId="179" fontId="0" fillId="2" borderId="7" xfId="0" applyBorder="1" applyAlignment="1">
      <alignment/>
    </xf>
    <xf numFmtId="179" fontId="0" fillId="2" borderId="0" xfId="0" applyAlignment="1" applyProtection="1">
      <alignment/>
      <protection hidden="1"/>
    </xf>
    <xf numFmtId="179" fontId="23" fillId="8" borderId="0" xfId="0" applyFont="1" applyFill="1" applyAlignment="1" applyProtection="1">
      <alignment wrapText="1"/>
      <protection hidden="1"/>
    </xf>
    <xf numFmtId="179" fontId="90" fillId="8" borderId="0" xfId="0" applyFont="1" applyFill="1" applyAlignment="1" applyProtection="1">
      <alignment horizontal="center"/>
      <protection hidden="1"/>
    </xf>
    <xf numFmtId="179" fontId="0" fillId="8" borderId="0" xfId="0" applyFill="1" applyAlignment="1" applyProtection="1">
      <alignment/>
      <protection hidden="1"/>
    </xf>
    <xf numFmtId="179" fontId="0" fillId="8" borderId="3" xfId="0" applyFill="1" applyBorder="1" applyAlignment="1">
      <alignment horizontal="center"/>
    </xf>
    <xf numFmtId="179" fontId="0" fillId="8" borderId="0" xfId="0" applyFill="1" applyAlignment="1" applyProtection="1">
      <alignment wrapText="1"/>
      <protection hidden="1"/>
    </xf>
    <xf numFmtId="179" fontId="69" fillId="8" borderId="3" xfId="20" applyFont="1" applyFill="1" applyBorder="1" applyAlignment="1" quotePrefix="1">
      <alignment horizontal="center"/>
    </xf>
    <xf numFmtId="179" fontId="69" fillId="8" borderId="7" xfId="20" applyFont="1" applyFill="1" applyBorder="1" applyAlignment="1" quotePrefix="1">
      <alignment horizontal="center"/>
    </xf>
    <xf numFmtId="179" fontId="7" fillId="8" borderId="0" xfId="0" applyFont="1" applyFill="1" applyAlignment="1" applyProtection="1">
      <alignment vertical="top"/>
      <protection hidden="1"/>
    </xf>
    <xf numFmtId="179" fontId="48" fillId="8" borderId="0" xfId="0" applyFont="1" applyFill="1" applyBorder="1" applyAlignment="1">
      <alignment/>
    </xf>
    <xf numFmtId="179" fontId="0" fillId="8" borderId="5" xfId="0" applyFont="1" applyFill="1" applyBorder="1" applyAlignment="1">
      <alignment horizontal="left"/>
    </xf>
    <xf numFmtId="179" fontId="0" fillId="8" borderId="0" xfId="0" applyFont="1" applyFill="1" applyBorder="1" applyAlignment="1">
      <alignment horizontal="left"/>
    </xf>
    <xf numFmtId="0" fontId="64" fillId="5" borderId="4" xfId="24" applyFont="1" applyFill="1" applyBorder="1">
      <alignment/>
      <protection/>
    </xf>
    <xf numFmtId="0" fontId="64" fillId="5" borderId="5" xfId="24" applyFont="1" applyFill="1" applyBorder="1">
      <alignment/>
      <protection/>
    </xf>
    <xf numFmtId="0" fontId="81" fillId="5" borderId="5" xfId="24" applyFont="1" applyFill="1" applyBorder="1">
      <alignment/>
      <protection/>
    </xf>
    <xf numFmtId="0" fontId="64" fillId="5" borderId="6" xfId="24" applyFont="1" applyFill="1" applyBorder="1">
      <alignment/>
      <protection/>
    </xf>
    <xf numFmtId="0" fontId="81" fillId="5" borderId="5" xfId="24" applyFont="1" applyFill="1" applyBorder="1" applyAlignment="1">
      <alignment horizontal="center"/>
      <protection/>
    </xf>
    <xf numFmtId="0" fontId="64" fillId="5" borderId="3" xfId="24" applyFont="1" applyFill="1" applyBorder="1">
      <alignment/>
      <protection/>
    </xf>
    <xf numFmtId="0" fontId="64" fillId="5" borderId="0" xfId="24" applyFont="1" applyFill="1" applyBorder="1" applyAlignment="1">
      <alignment vertical="center"/>
      <protection/>
    </xf>
    <xf numFmtId="0" fontId="64" fillId="5" borderId="0" xfId="24" applyFont="1" applyFill="1" applyBorder="1">
      <alignment/>
      <protection/>
    </xf>
    <xf numFmtId="0" fontId="64" fillId="5" borderId="7" xfId="24" applyFont="1" applyFill="1" applyBorder="1">
      <alignment/>
      <protection/>
    </xf>
    <xf numFmtId="0" fontId="81" fillId="5" borderId="0" xfId="24" applyFont="1" applyFill="1" applyBorder="1" applyAlignment="1">
      <alignment horizontal="center"/>
      <protection/>
    </xf>
    <xf numFmtId="0" fontId="81" fillId="5" borderId="0" xfId="24" applyFont="1" applyFill="1" applyBorder="1">
      <alignment/>
      <protection/>
    </xf>
    <xf numFmtId="0" fontId="92" fillId="5" borderId="0" xfId="24" applyFont="1" applyFill="1" applyBorder="1">
      <alignment/>
      <protection/>
    </xf>
    <xf numFmtId="49" fontId="24" fillId="8" borderId="0" xfId="24" applyNumberFormat="1" applyFont="1" applyFill="1" applyBorder="1">
      <alignment/>
      <protection/>
    </xf>
    <xf numFmtId="0" fontId="64" fillId="5" borderId="0" xfId="24" applyFont="1" applyFill="1">
      <alignment/>
      <protection/>
    </xf>
    <xf numFmtId="0" fontId="92" fillId="5" borderId="0" xfId="24" applyFont="1" applyFill="1" applyAlignment="1">
      <alignment horizontal="center"/>
      <protection/>
    </xf>
    <xf numFmtId="0" fontId="64" fillId="8" borderId="0" xfId="24" applyFont="1" applyFill="1">
      <alignment/>
      <protection/>
    </xf>
    <xf numFmtId="0" fontId="64" fillId="5" borderId="57" xfId="24" applyFont="1" applyFill="1" applyBorder="1">
      <alignment/>
      <protection/>
    </xf>
    <xf numFmtId="0" fontId="1" fillId="8" borderId="61" xfId="24" applyFill="1" applyBorder="1">
      <alignment/>
      <protection/>
    </xf>
    <xf numFmtId="0" fontId="1" fillId="8" borderId="0" xfId="24" applyFont="1" applyFill="1" applyBorder="1" applyAlignment="1">
      <alignment horizontal="right"/>
      <protection/>
    </xf>
    <xf numFmtId="0" fontId="21" fillId="8" borderId="13" xfId="24" applyFont="1" applyFill="1" applyBorder="1">
      <alignment/>
      <protection/>
    </xf>
    <xf numFmtId="0" fontId="21" fillId="8" borderId="9" xfId="24" applyFont="1" applyFill="1" applyBorder="1">
      <alignment/>
      <protection/>
    </xf>
    <xf numFmtId="0" fontId="1" fillId="8" borderId="59" xfId="24" applyFill="1" applyBorder="1">
      <alignment/>
      <protection/>
    </xf>
    <xf numFmtId="0" fontId="1" fillId="8" borderId="8" xfId="24" applyFill="1" applyBorder="1" applyAlignment="1">
      <alignment vertical="top"/>
      <protection/>
    </xf>
    <xf numFmtId="0" fontId="1" fillId="8" borderId="62" xfId="24" applyFill="1" applyBorder="1">
      <alignment/>
      <protection/>
    </xf>
    <xf numFmtId="0" fontId="1" fillId="0" borderId="41" xfId="24" applyFill="1" applyBorder="1">
      <alignment/>
      <protection/>
    </xf>
    <xf numFmtId="0" fontId="1" fillId="0" borderId="42" xfId="24" applyFill="1" applyBorder="1">
      <alignment/>
      <protection/>
    </xf>
    <xf numFmtId="0" fontId="1" fillId="0" borderId="43" xfId="24" applyFill="1" applyBorder="1">
      <alignment/>
      <protection/>
    </xf>
    <xf numFmtId="0" fontId="1" fillId="0" borderId="54" xfId="24" applyFill="1" applyBorder="1">
      <alignment/>
      <protection/>
    </xf>
    <xf numFmtId="0" fontId="26" fillId="0" borderId="0" xfId="24" applyFont="1" applyFill="1" applyBorder="1" applyAlignment="1">
      <alignment horizontal="left"/>
      <protection/>
    </xf>
    <xf numFmtId="0" fontId="22" fillId="0" borderId="0" xfId="24" applyFont="1" applyFill="1" applyBorder="1" applyAlignment="1">
      <alignment horizontal="left"/>
      <protection/>
    </xf>
    <xf numFmtId="0" fontId="1" fillId="0" borderId="53" xfId="24" applyFill="1" applyBorder="1">
      <alignment/>
      <protection/>
    </xf>
    <xf numFmtId="0" fontId="15" fillId="0" borderId="0" xfId="24" applyFont="1" applyFill="1" applyBorder="1">
      <alignment/>
      <protection/>
    </xf>
    <xf numFmtId="0" fontId="23" fillId="0" borderId="0" xfId="24" applyFont="1" applyFill="1" applyBorder="1">
      <alignment/>
      <protection/>
    </xf>
    <xf numFmtId="0" fontId="1" fillId="0" borderId="63" xfId="24" applyFill="1" applyBorder="1">
      <alignment/>
      <protection/>
    </xf>
    <xf numFmtId="0" fontId="23" fillId="0" borderId="0" xfId="24" applyFont="1" applyFill="1" applyBorder="1" applyAlignment="1">
      <alignment horizontal="right"/>
      <protection/>
    </xf>
    <xf numFmtId="0" fontId="26" fillId="0" borderId="11" xfId="24" applyFont="1" applyFill="1" applyBorder="1" applyProtection="1">
      <alignment/>
      <protection locked="0"/>
    </xf>
    <xf numFmtId="0" fontId="23" fillId="0" borderId="0" xfId="24" applyFont="1" applyFill="1" applyBorder="1" quotePrefix="1">
      <alignment/>
      <protection/>
    </xf>
    <xf numFmtId="0" fontId="1" fillId="0" borderId="56" xfId="24" applyFill="1" applyBorder="1">
      <alignment/>
      <protection/>
    </xf>
    <xf numFmtId="0" fontId="23" fillId="0" borderId="22" xfId="24" applyFont="1" applyFill="1" applyBorder="1">
      <alignment/>
      <protection/>
    </xf>
    <xf numFmtId="0" fontId="1" fillId="0" borderId="22" xfId="24" applyFill="1" applyBorder="1">
      <alignment/>
      <protection/>
    </xf>
    <xf numFmtId="0" fontId="1" fillId="0" borderId="57" xfId="24" applyFill="1" applyBorder="1">
      <alignment/>
      <protection/>
    </xf>
    <xf numFmtId="0" fontId="21" fillId="0" borderId="0" xfId="24" applyFont="1" applyFill="1" applyBorder="1" applyProtection="1">
      <alignment/>
      <protection/>
    </xf>
    <xf numFmtId="0" fontId="93" fillId="0" borderId="0" xfId="24" applyFont="1" applyFill="1" applyBorder="1" applyAlignment="1">
      <alignment horizontal="right"/>
      <protection/>
    </xf>
    <xf numFmtId="0" fontId="1" fillId="8" borderId="0" xfId="24" applyFont="1" applyFill="1" applyAlignment="1">
      <alignment vertical="top"/>
      <protection/>
    </xf>
    <xf numFmtId="0" fontId="23" fillId="0" borderId="0" xfId="24" applyFont="1" applyFill="1" applyBorder="1">
      <alignment/>
      <protection/>
    </xf>
    <xf numFmtId="0" fontId="21" fillId="8" borderId="17" xfId="24" applyFont="1" applyFill="1" applyBorder="1" applyAlignment="1">
      <alignment horizontal="center"/>
      <protection/>
    </xf>
    <xf numFmtId="0" fontId="21" fillId="8" borderId="13" xfId="24" applyFont="1" applyFill="1" applyBorder="1" applyAlignment="1">
      <alignment horizontal="center"/>
      <protection/>
    </xf>
    <xf numFmtId="0" fontId="63" fillId="8" borderId="0" xfId="24" applyFont="1" applyFill="1">
      <alignment/>
      <protection/>
    </xf>
    <xf numFmtId="0" fontId="10" fillId="8" borderId="0" xfId="24" applyFont="1" applyFill="1" applyAlignment="1">
      <alignment horizontal="center"/>
      <protection/>
    </xf>
    <xf numFmtId="0" fontId="1" fillId="9" borderId="13" xfId="24" applyFill="1" applyBorder="1">
      <alignment/>
      <protection/>
    </xf>
    <xf numFmtId="0" fontId="1" fillId="9" borderId="10" xfId="24" applyFill="1" applyBorder="1">
      <alignment/>
      <protection/>
    </xf>
    <xf numFmtId="0" fontId="21" fillId="8" borderId="5" xfId="24" applyFont="1" applyFill="1" applyBorder="1">
      <alignment/>
      <protection/>
    </xf>
    <xf numFmtId="0" fontId="1" fillId="8" borderId="4" xfId="24" applyFont="1" applyFill="1" applyBorder="1">
      <alignment/>
      <protection/>
    </xf>
    <xf numFmtId="197" fontId="7" fillId="3" borderId="8" xfId="28" applyNumberFormat="1" applyFont="1" applyBorder="1" applyAlignment="1" applyProtection="1">
      <alignment horizontal="center"/>
      <protection/>
    </xf>
    <xf numFmtId="197" fontId="7" fillId="3" borderId="8" xfId="28" applyNumberFormat="1" applyFont="1" applyBorder="1" applyAlignment="1" applyProtection="1">
      <alignment horizontal="right"/>
      <protection/>
    </xf>
    <xf numFmtId="197" fontId="7" fillId="2" borderId="47" xfId="28" applyNumberFormat="1" applyFont="1" applyFill="1" applyBorder="1" applyAlignment="1" applyProtection="1">
      <alignment horizontal="right"/>
      <protection locked="0"/>
    </xf>
    <xf numFmtId="197" fontId="7" fillId="2" borderId="22" xfId="0" applyNumberFormat="1" applyFont="1" applyFill="1" applyBorder="1" applyAlignment="1" applyProtection="1">
      <alignment horizontal="right"/>
      <protection locked="0"/>
    </xf>
    <xf numFmtId="2" fontId="25" fillId="8" borderId="0" xfId="24" applyNumberFormat="1" applyFont="1" applyFill="1" applyBorder="1" applyAlignment="1" applyProtection="1">
      <alignment horizontal="right"/>
      <protection/>
    </xf>
    <xf numFmtId="0" fontId="24" fillId="8" borderId="0" xfId="24" applyFont="1" applyFill="1" applyBorder="1" applyAlignment="1" applyProtection="1">
      <alignment horizontal="left" vertical="center"/>
      <protection/>
    </xf>
    <xf numFmtId="0" fontId="26" fillId="0" borderId="0" xfId="24" applyFont="1" applyFill="1" applyBorder="1" applyProtection="1">
      <alignment/>
      <protection/>
    </xf>
    <xf numFmtId="0" fontId="95" fillId="8" borderId="0" xfId="24" applyFont="1" applyFill="1" applyAlignment="1">
      <alignment horizontal="center" vertical="center"/>
      <protection/>
    </xf>
    <xf numFmtId="0" fontId="96" fillId="8" borderId="0" xfId="24" applyFont="1" applyFill="1" applyProtection="1">
      <alignment/>
      <protection/>
    </xf>
    <xf numFmtId="0" fontId="97" fillId="0" borderId="0" xfId="24" applyFont="1" applyFill="1" applyBorder="1" applyAlignment="1">
      <alignment horizontal="center"/>
      <protection/>
    </xf>
    <xf numFmtId="0" fontId="96" fillId="0" borderId="0" xfId="24" applyFont="1" applyFill="1" applyBorder="1">
      <alignment/>
      <protection/>
    </xf>
    <xf numFmtId="179" fontId="0" fillId="8" borderId="8" xfId="0" applyFont="1" applyFill="1" applyBorder="1" applyAlignment="1">
      <alignment/>
    </xf>
    <xf numFmtId="179" fontId="15" fillId="8" borderId="8" xfId="0" applyFont="1" applyFill="1" applyBorder="1" applyAlignment="1" applyProtection="1">
      <alignment vertical="top"/>
      <protection/>
    </xf>
    <xf numFmtId="179" fontId="99" fillId="8" borderId="0" xfId="20" applyFont="1" applyFill="1" applyAlignment="1" applyProtection="1">
      <alignment wrapText="1"/>
      <protection hidden="1"/>
    </xf>
    <xf numFmtId="179" fontId="7" fillId="8" borderId="0" xfId="0" applyFont="1" applyFill="1" applyAlignment="1" applyProtection="1">
      <alignment vertical="top" wrapText="1"/>
      <protection hidden="1"/>
    </xf>
    <xf numFmtId="179" fontId="0" fillId="8" borderId="8" xfId="0" applyFont="1" applyFill="1" applyBorder="1" applyAlignment="1">
      <alignment horizontal="center"/>
    </xf>
    <xf numFmtId="179" fontId="48" fillId="8" borderId="2" xfId="0" applyFont="1" applyFill="1" applyBorder="1" applyAlignment="1">
      <alignment horizontal="left"/>
    </xf>
    <xf numFmtId="179" fontId="100" fillId="8" borderId="2" xfId="20" applyFont="1" applyFill="1" applyBorder="1" applyAlignment="1">
      <alignment vertical="center"/>
    </xf>
    <xf numFmtId="179" fontId="100" fillId="8" borderId="2" xfId="20" applyFont="1" applyFill="1" applyBorder="1" applyAlignment="1">
      <alignment horizontal="right" vertical="center"/>
    </xf>
    <xf numFmtId="179" fontId="0" fillId="8" borderId="2" xfId="0" applyFont="1" applyFill="1" applyBorder="1" applyAlignment="1">
      <alignment horizontal="left" vertical="center"/>
    </xf>
    <xf numFmtId="179" fontId="0" fillId="8" borderId="8" xfId="0" applyFill="1" applyBorder="1" applyAlignment="1">
      <alignment/>
    </xf>
    <xf numFmtId="179" fontId="0" fillId="8" borderId="14" xfId="0" applyFill="1" applyBorder="1" applyAlignment="1">
      <alignment horizontal="left" vertical="center"/>
    </xf>
    <xf numFmtId="179" fontId="96" fillId="8" borderId="0" xfId="0" applyFont="1" applyFill="1" applyAlignment="1" applyProtection="1">
      <alignment/>
      <protection/>
    </xf>
    <xf numFmtId="178" fontId="3" fillId="8" borderId="5" xfId="0" applyNumberFormat="1" applyFont="1" applyFill="1" applyBorder="1" applyAlignment="1" applyProtection="1">
      <alignment/>
      <protection/>
    </xf>
    <xf numFmtId="179" fontId="97" fillId="2" borderId="4" xfId="0" applyFont="1" applyFill="1" applyBorder="1" applyAlignment="1" applyProtection="1">
      <alignment/>
      <protection/>
    </xf>
    <xf numFmtId="179" fontId="4" fillId="2" borderId="5" xfId="0" applyFont="1" applyFill="1" applyBorder="1" applyAlignment="1" applyProtection="1">
      <alignment/>
      <protection/>
    </xf>
    <xf numFmtId="179" fontId="12" fillId="2" borderId="5" xfId="0" applyFont="1" applyFill="1" applyBorder="1" applyAlignment="1" applyProtection="1">
      <alignment/>
      <protection/>
    </xf>
    <xf numFmtId="179" fontId="2" fillId="2" borderId="5" xfId="0" applyFont="1" applyFill="1" applyBorder="1" applyAlignment="1" applyProtection="1">
      <alignment/>
      <protection/>
    </xf>
    <xf numFmtId="179" fontId="3" fillId="2" borderId="5" xfId="0" applyFont="1" applyFill="1" applyBorder="1" applyAlignment="1" applyProtection="1">
      <alignment horizontal="center"/>
      <protection/>
    </xf>
    <xf numFmtId="179" fontId="3" fillId="2" borderId="5" xfId="0" applyFont="1" applyFill="1" applyBorder="1" applyAlignment="1" applyProtection="1">
      <alignment/>
      <protection/>
    </xf>
    <xf numFmtId="178" fontId="4" fillId="2" borderId="6" xfId="0" applyNumberFormat="1" applyFont="1" applyFill="1" applyBorder="1" applyAlignment="1" applyProtection="1">
      <alignment/>
      <protection/>
    </xf>
    <xf numFmtId="179" fontId="2" fillId="2" borderId="3"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7"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11"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11" xfId="0" applyNumberFormat="1" applyFont="1" applyFill="1" applyBorder="1" applyAlignment="1" applyProtection="1">
      <alignment horizontal="center"/>
      <protection locked="0"/>
    </xf>
    <xf numFmtId="178" fontId="7" fillId="2" borderId="7" xfId="0" applyNumberFormat="1" applyFont="1" applyFill="1" applyBorder="1" applyAlignment="1" applyProtection="1" quotePrefix="1">
      <alignment/>
      <protection/>
    </xf>
    <xf numFmtId="179" fontId="2" fillId="2" borderId="8" xfId="0" applyFont="1" applyFill="1" applyBorder="1" applyAlignment="1" applyProtection="1">
      <alignment/>
      <protection/>
    </xf>
    <xf numFmtId="179" fontId="12" fillId="2" borderId="8" xfId="0" applyFont="1" applyFill="1" applyBorder="1" applyAlignment="1" applyProtection="1">
      <alignment/>
      <protection/>
    </xf>
    <xf numFmtId="179" fontId="3" fillId="2" borderId="8" xfId="0" applyFont="1" applyFill="1" applyBorder="1" applyAlignment="1" applyProtection="1">
      <alignment horizontal="center"/>
      <protection/>
    </xf>
    <xf numFmtId="179" fontId="3" fillId="2" borderId="8" xfId="0" applyFont="1" applyFill="1" applyBorder="1" applyAlignment="1" applyProtection="1">
      <alignment/>
      <protection/>
    </xf>
    <xf numFmtId="178" fontId="4" fillId="2" borderId="10" xfId="0" applyNumberFormat="1" applyFont="1" applyFill="1" applyBorder="1" applyAlignment="1" applyProtection="1">
      <alignment/>
      <protection/>
    </xf>
    <xf numFmtId="178" fontId="9" fillId="5" borderId="0" xfId="0" applyNumberFormat="1" applyFont="1" applyFill="1" applyAlignment="1" applyProtection="1">
      <alignment/>
      <protection/>
    </xf>
    <xf numFmtId="179" fontId="2" fillId="2" borderId="9" xfId="0" applyFont="1" applyFill="1" applyBorder="1" applyAlignment="1" applyProtection="1">
      <alignment vertical="center"/>
      <protection/>
    </xf>
    <xf numFmtId="179" fontId="100" fillId="8" borderId="8" xfId="20" applyFont="1" applyFill="1" applyBorder="1" applyAlignment="1">
      <alignment vertical="center"/>
    </xf>
    <xf numFmtId="179" fontId="101" fillId="8" borderId="0" xfId="0" applyFont="1" applyFill="1" applyBorder="1" applyAlignment="1" applyProtection="1">
      <alignment/>
      <protection/>
    </xf>
    <xf numFmtId="179" fontId="102" fillId="8" borderId="0" xfId="0" applyFont="1" applyFill="1" applyBorder="1" applyAlignment="1" applyProtection="1">
      <alignment horizontal="right"/>
      <protection/>
    </xf>
    <xf numFmtId="179" fontId="103" fillId="8" borderId="0" xfId="0" applyFont="1" applyFill="1" applyAlignment="1" applyProtection="1">
      <alignment horizontal="right"/>
      <protection/>
    </xf>
    <xf numFmtId="179" fontId="98" fillId="8" borderId="0" xfId="0" applyFont="1" applyFill="1" applyAlignment="1" applyProtection="1">
      <alignment/>
      <protection/>
    </xf>
    <xf numFmtId="49" fontId="48" fillId="2" borderId="8" xfId="0" applyNumberFormat="1" applyFont="1" applyBorder="1" applyAlignment="1" applyProtection="1">
      <alignment horizontal="center" vertical="center"/>
      <protection locked="0"/>
    </xf>
    <xf numFmtId="179" fontId="31" fillId="8" borderId="0" xfId="0" applyFont="1" applyFill="1" applyBorder="1" applyAlignment="1" applyProtection="1">
      <alignment horizontal="center"/>
      <protection/>
    </xf>
    <xf numFmtId="179" fontId="48" fillId="8" borderId="5" xfId="0" applyFont="1" applyFill="1" applyBorder="1" applyAlignment="1" applyProtection="1">
      <alignment horizontal="center"/>
      <protection/>
    </xf>
    <xf numFmtId="179" fontId="39" fillId="8" borderId="4" xfId="0" applyFont="1" applyFill="1" applyBorder="1" applyAlignment="1" applyProtection="1" quotePrefix="1">
      <alignment/>
      <protection/>
    </xf>
    <xf numFmtId="179" fontId="0" fillId="8" borderId="3" xfId="0" applyFill="1" applyBorder="1" applyAlignment="1" applyProtection="1">
      <alignment horizontal="center"/>
      <protection/>
    </xf>
    <xf numFmtId="179" fontId="0" fillId="8" borderId="9" xfId="0" applyFill="1" applyBorder="1" applyAlignment="1" applyProtection="1">
      <alignment horizontal="center"/>
      <protection/>
    </xf>
    <xf numFmtId="179" fontId="48" fillId="8" borderId="2" xfId="0" applyFont="1" applyFill="1" applyBorder="1" applyAlignment="1" applyProtection="1">
      <alignment horizontal="left"/>
      <protection/>
    </xf>
    <xf numFmtId="179" fontId="0" fillId="8" borderId="2" xfId="0" applyFill="1" applyBorder="1" applyAlignment="1" applyProtection="1">
      <alignment/>
      <protection/>
    </xf>
    <xf numFmtId="179" fontId="0" fillId="8" borderId="14" xfId="0" applyFill="1" applyBorder="1" applyAlignment="1" applyProtection="1">
      <alignment/>
      <protection/>
    </xf>
    <xf numFmtId="179" fontId="16" fillId="9" borderId="0" xfId="0" applyFont="1" applyFill="1" applyBorder="1" applyAlignment="1" applyProtection="1">
      <alignment/>
      <protection/>
    </xf>
    <xf numFmtId="1" fontId="2" fillId="8" borderId="8" xfId="0" applyNumberFormat="1" applyFont="1" applyFill="1" applyBorder="1" applyAlignment="1" applyProtection="1">
      <alignment horizontal="left"/>
      <protection/>
    </xf>
    <xf numFmtId="179" fontId="7" fillId="8" borderId="8" xfId="0" applyFont="1" applyFill="1" applyBorder="1" applyAlignment="1" applyProtection="1">
      <alignment/>
      <protection/>
    </xf>
    <xf numFmtId="1" fontId="2" fillId="8" borderId="2" xfId="0" applyNumberFormat="1" applyFont="1" applyFill="1" applyBorder="1" applyAlignment="1" applyProtection="1">
      <alignment horizontal="left"/>
      <protection/>
    </xf>
    <xf numFmtId="179" fontId="7" fillId="8" borderId="2" xfId="0" applyFont="1" applyFill="1" applyBorder="1" applyAlignment="1" applyProtection="1">
      <alignment/>
      <protection/>
    </xf>
    <xf numFmtId="179" fontId="2" fillId="9" borderId="0" xfId="0" applyFont="1" applyFill="1" applyBorder="1" applyAlignment="1" applyProtection="1">
      <alignment/>
      <protection/>
    </xf>
    <xf numFmtId="179" fontId="2" fillId="9" borderId="0" xfId="0" applyFont="1" applyFill="1" applyAlignment="1" applyProtection="1">
      <alignment/>
      <protection/>
    </xf>
    <xf numFmtId="1" fontId="2" fillId="9" borderId="0" xfId="0" applyNumberFormat="1" applyFont="1" applyFill="1" applyAlignment="1" applyProtection="1">
      <alignment horizontal="left"/>
      <protection/>
    </xf>
    <xf numFmtId="179" fontId="7" fillId="9" borderId="0" xfId="0" applyFont="1" applyFill="1" applyAlignment="1" applyProtection="1">
      <alignment/>
      <protection/>
    </xf>
    <xf numFmtId="179" fontId="2" fillId="7"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8" borderId="0" xfId="0" applyFont="1" applyFill="1" applyBorder="1" applyAlignment="1" applyProtection="1" quotePrefix="1">
      <alignment/>
      <protection/>
    </xf>
    <xf numFmtId="1" fontId="2" fillId="8" borderId="0" xfId="0" applyNumberFormat="1" applyFont="1" applyFill="1" applyBorder="1" applyAlignment="1" applyProtection="1" quotePrefix="1">
      <alignment horizontal="left"/>
      <protection/>
    </xf>
    <xf numFmtId="179" fontId="0" fillId="7" borderId="0" xfId="0" applyFill="1" applyAlignment="1">
      <alignment/>
    </xf>
    <xf numFmtId="179" fontId="0" fillId="9" borderId="0" xfId="0" applyFill="1" applyAlignment="1">
      <alignment/>
    </xf>
    <xf numFmtId="179" fontId="7" fillId="9" borderId="0" xfId="0" applyFont="1" applyFill="1" applyBorder="1" applyAlignment="1" applyProtection="1">
      <alignment/>
      <protection/>
    </xf>
    <xf numFmtId="179" fontId="2" fillId="8" borderId="0" xfId="0" applyNumberFormat="1" applyFont="1" applyFill="1" applyBorder="1" applyAlignment="1" applyProtection="1">
      <alignment/>
      <protection/>
    </xf>
    <xf numFmtId="179" fontId="32" fillId="8" borderId="0" xfId="0" applyFont="1" applyFill="1" applyBorder="1" applyAlignment="1">
      <alignment/>
    </xf>
    <xf numFmtId="179" fontId="30" fillId="8" borderId="0" xfId="0" applyFont="1" applyFill="1" applyBorder="1" applyAlignment="1">
      <alignment/>
    </xf>
    <xf numFmtId="179" fontId="7" fillId="7" borderId="0" xfId="0" applyFont="1" applyFill="1" applyBorder="1" applyAlignment="1" applyProtection="1">
      <alignment/>
      <protection/>
    </xf>
    <xf numFmtId="179" fontId="0" fillId="8" borderId="5" xfId="0" applyFill="1" applyBorder="1" applyAlignment="1">
      <alignment/>
    </xf>
    <xf numFmtId="179" fontId="4" fillId="9" borderId="0" xfId="0" applyFont="1" applyFill="1" applyBorder="1" applyAlignment="1" applyProtection="1">
      <alignment/>
      <protection/>
    </xf>
    <xf numFmtId="179" fontId="71" fillId="8" borderId="0" xfId="0" applyFont="1" applyFill="1" applyBorder="1" applyAlignment="1" applyProtection="1">
      <alignment/>
      <protection/>
    </xf>
    <xf numFmtId="179" fontId="2" fillId="8" borderId="42" xfId="0" applyFont="1" applyFill="1" applyBorder="1" applyAlignment="1" applyProtection="1">
      <alignment/>
      <protection/>
    </xf>
    <xf numFmtId="197" fontId="7" fillId="3" borderId="22" xfId="28" applyNumberFormat="1" applyFont="1" applyBorder="1" applyProtection="1">
      <alignment/>
      <protection locked="0"/>
    </xf>
    <xf numFmtId="179" fontId="71" fillId="9" borderId="0" xfId="0" applyFont="1" applyFill="1" applyBorder="1" applyAlignment="1" applyProtection="1">
      <alignment/>
      <protection/>
    </xf>
    <xf numFmtId="1" fontId="2" fillId="9" borderId="0" xfId="0" applyNumberFormat="1" applyFont="1" applyFill="1" applyBorder="1" applyAlignment="1" applyProtection="1">
      <alignment horizontal="left"/>
      <protection/>
    </xf>
    <xf numFmtId="179" fontId="0" fillId="9" borderId="0" xfId="0" applyFill="1" applyBorder="1" applyAlignment="1">
      <alignment/>
    </xf>
    <xf numFmtId="197" fontId="7" fillId="8" borderId="2" xfId="28" applyNumberFormat="1" applyFont="1" applyFill="1" applyBorder="1" applyProtection="1">
      <alignment/>
      <protection/>
    </xf>
    <xf numFmtId="179" fontId="18" fillId="8" borderId="0" xfId="0" applyFont="1" applyFill="1" applyAlignment="1" applyProtection="1">
      <alignment horizontal="center"/>
      <protection/>
    </xf>
    <xf numFmtId="179" fontId="18" fillId="8" borderId="0" xfId="0" applyFont="1" applyFill="1" applyAlignment="1" applyProtection="1">
      <alignment horizontal="left"/>
      <protection/>
    </xf>
    <xf numFmtId="1" fontId="4" fillId="8" borderId="0" xfId="0" applyNumberFormat="1" applyFont="1" applyFill="1" applyBorder="1" applyAlignment="1" applyProtection="1">
      <alignment horizontal="center"/>
      <protection/>
    </xf>
    <xf numFmtId="179" fontId="28" fillId="9" borderId="0" xfId="0" applyFont="1" applyFill="1" applyBorder="1" applyAlignment="1" applyProtection="1">
      <alignment/>
      <protection/>
    </xf>
    <xf numFmtId="179" fontId="0" fillId="2" borderId="0" xfId="0" applyAlignment="1">
      <alignment/>
    </xf>
    <xf numFmtId="179" fontId="3" fillId="8" borderId="0" xfId="0" applyFont="1" applyFill="1" applyAlignment="1" applyProtection="1">
      <alignment/>
      <protection/>
    </xf>
    <xf numFmtId="179" fontId="97" fillId="8" borderId="0" xfId="0" applyFont="1" applyFill="1" applyAlignment="1" applyProtection="1">
      <alignment/>
      <protection/>
    </xf>
    <xf numFmtId="179" fontId="104" fillId="8" borderId="0" xfId="0" applyFont="1" applyFill="1" applyAlignment="1" applyProtection="1">
      <alignment horizontal="right"/>
      <protection/>
    </xf>
    <xf numFmtId="197" fontId="23" fillId="2" borderId="8" xfId="28" applyNumberFormat="1" applyFont="1" applyFill="1" applyBorder="1" applyProtection="1">
      <alignment/>
      <protection locked="0"/>
    </xf>
    <xf numFmtId="178" fontId="3" fillId="8" borderId="0" xfId="0" applyNumberFormat="1" applyFont="1" applyFill="1" applyAlignment="1" applyProtection="1">
      <alignment horizontal="right"/>
      <protection/>
    </xf>
    <xf numFmtId="179" fontId="4" fillId="8" borderId="0" xfId="22" applyFont="1" applyFill="1" applyAlignment="1" applyProtection="1" quotePrefix="1">
      <alignment horizontal="center"/>
      <protection/>
    </xf>
    <xf numFmtId="179" fontId="29" fillId="8" borderId="0" xfId="22" applyFont="1" applyFill="1" applyProtection="1">
      <alignment/>
      <protection/>
    </xf>
    <xf numFmtId="179" fontId="2" fillId="8" borderId="0" xfId="0" applyFont="1" applyFill="1" applyAlignment="1" applyProtection="1" quotePrefix="1">
      <alignment/>
      <protection/>
    </xf>
    <xf numFmtId="178" fontId="3" fillId="8" borderId="0" xfId="0" applyNumberFormat="1" applyFont="1" applyFill="1" applyAlignment="1" applyProtection="1">
      <alignment horizontal="center"/>
      <protection/>
    </xf>
    <xf numFmtId="1" fontId="2" fillId="8" borderId="0" xfId="0" applyNumberFormat="1" applyFont="1" applyFill="1" applyAlignment="1" applyProtection="1" quotePrefix="1">
      <alignment horizontal="center"/>
      <protection/>
    </xf>
    <xf numFmtId="179" fontId="2" fillId="8" borderId="0" xfId="0" applyFont="1" applyFill="1" applyAlignment="1" applyProtection="1" quotePrefix="1">
      <alignment horizontal="center"/>
      <protection/>
    </xf>
    <xf numFmtId="179" fontId="10" fillId="8" borderId="3" xfId="0" applyFont="1" applyFill="1" applyBorder="1" applyAlignment="1" applyProtection="1">
      <alignment/>
      <protection/>
    </xf>
    <xf numFmtId="179" fontId="3" fillId="8" borderId="0" xfId="0" applyFont="1" applyFill="1" applyAlignment="1" applyProtection="1">
      <alignment horizontal="center"/>
      <protection/>
    </xf>
    <xf numFmtId="197" fontId="2" fillId="8" borderId="0" xfId="0" applyNumberFormat="1" applyFont="1" applyFill="1" applyBorder="1" applyAlignment="1" applyProtection="1">
      <alignment horizontal="right"/>
      <protection/>
    </xf>
    <xf numFmtId="179" fontId="96" fillId="8" borderId="0" xfId="0" applyFont="1" applyFill="1" applyAlignment="1" applyProtection="1">
      <alignment horizontal="right"/>
      <protection/>
    </xf>
    <xf numFmtId="179" fontId="96" fillId="8" borderId="0" xfId="0" applyFont="1" applyFill="1" applyAlignment="1" applyProtection="1">
      <alignment horizontal="center"/>
      <protection/>
    </xf>
    <xf numFmtId="179" fontId="2" fillId="8" borderId="0" xfId="0" applyFont="1" applyFill="1" applyAlignment="1" applyProtection="1">
      <alignment horizontal="center"/>
      <protection/>
    </xf>
    <xf numFmtId="179" fontId="104" fillId="8" borderId="0" xfId="0" applyFont="1" applyFill="1" applyAlignment="1" applyProtection="1">
      <alignment horizontal="center"/>
      <protection/>
    </xf>
    <xf numFmtId="212" fontId="2" fillId="2" borderId="11" xfId="0" applyNumberFormat="1" applyFont="1" applyFill="1" applyBorder="1" applyAlignment="1" applyProtection="1">
      <alignment/>
      <protection locked="0"/>
    </xf>
    <xf numFmtId="179" fontId="2" fillId="8" borderId="2" xfId="0" applyFont="1" applyFill="1" applyBorder="1" applyAlignment="1" applyProtection="1" quotePrefix="1">
      <alignment horizontal="center"/>
      <protection/>
    </xf>
    <xf numFmtId="178" fontId="2" fillId="8" borderId="2" xfId="0" applyNumberFormat="1" applyFont="1" applyFill="1" applyBorder="1" applyAlignment="1" applyProtection="1" quotePrefix="1">
      <alignment horizontal="center"/>
      <protection/>
    </xf>
    <xf numFmtId="178" fontId="2" fillId="8" borderId="5" xfId="0" applyNumberFormat="1" applyFont="1" applyFill="1" applyBorder="1" applyAlignment="1" applyProtection="1" quotePrefix="1">
      <alignment horizontal="center"/>
      <protection/>
    </xf>
    <xf numFmtId="178" fontId="2" fillId="8" borderId="8" xfId="0" applyNumberFormat="1" applyFont="1" applyFill="1" applyBorder="1" applyAlignment="1" applyProtection="1" quotePrefix="1">
      <alignment horizontal="center"/>
      <protection/>
    </xf>
    <xf numFmtId="178" fontId="9" fillId="5" borderId="6" xfId="0" applyNumberFormat="1" applyFont="1" applyFill="1" applyBorder="1" applyAlignment="1" applyProtection="1">
      <alignment horizontal="center"/>
      <protection/>
    </xf>
    <xf numFmtId="178" fontId="9" fillId="5" borderId="6" xfId="0" applyNumberFormat="1" applyFont="1" applyFill="1" applyBorder="1" applyAlignment="1" applyProtection="1">
      <alignment/>
      <protection/>
    </xf>
    <xf numFmtId="179" fontId="10" fillId="8" borderId="6" xfId="0" applyFont="1" applyFill="1" applyBorder="1" applyAlignment="1" applyProtection="1">
      <alignment horizontal="center"/>
      <protection/>
    </xf>
    <xf numFmtId="179" fontId="2" fillId="8" borderId="8" xfId="0" applyFont="1" applyFill="1" applyBorder="1" applyAlignment="1" applyProtection="1">
      <alignment/>
      <protection/>
    </xf>
    <xf numFmtId="179" fontId="48" fillId="8" borderId="6" xfId="0" applyFont="1" applyFill="1" applyBorder="1" applyAlignment="1">
      <alignment horizontal="right"/>
    </xf>
    <xf numFmtId="179" fontId="10" fillId="8" borderId="20" xfId="0" applyFont="1" applyFill="1" applyBorder="1" applyAlignment="1" applyProtection="1">
      <alignment horizontal="center"/>
      <protection/>
    </xf>
    <xf numFmtId="179" fontId="10" fillId="8" borderId="13" xfId="0" applyFont="1" applyFill="1" applyBorder="1" applyAlignment="1" applyProtection="1">
      <alignment horizontal="center"/>
      <protection/>
    </xf>
    <xf numFmtId="197" fontId="2" fillId="2" borderId="9" xfId="0" applyNumberFormat="1" applyFont="1" applyFill="1" applyBorder="1" applyAlignment="1" applyProtection="1">
      <alignment/>
      <protection locked="0"/>
    </xf>
    <xf numFmtId="212" fontId="2" fillId="3" borderId="21" xfId="0" applyNumberFormat="1" applyFont="1" applyFill="1" applyBorder="1" applyAlignment="1" applyProtection="1">
      <alignment/>
      <protection/>
    </xf>
    <xf numFmtId="212" fontId="2" fillId="2" borderId="21" xfId="0" applyNumberFormat="1" applyFont="1" applyFill="1" applyBorder="1" applyAlignment="1" applyProtection="1">
      <alignment/>
      <protection locked="0"/>
    </xf>
    <xf numFmtId="212" fontId="2" fillId="3" borderId="2" xfId="0" applyNumberFormat="1" applyFont="1" applyFill="1" applyBorder="1" applyAlignment="1" applyProtection="1">
      <alignment/>
      <protection/>
    </xf>
    <xf numFmtId="212" fontId="2" fillId="2" borderId="2" xfId="0" applyNumberFormat="1" applyFont="1" applyFill="1" applyBorder="1" applyAlignment="1" applyProtection="1">
      <alignment/>
      <protection locked="0"/>
    </xf>
    <xf numFmtId="179" fontId="104" fillId="8" borderId="0" xfId="0" applyFont="1" applyFill="1" applyAlignment="1" applyProtection="1">
      <alignment/>
      <protection/>
    </xf>
    <xf numFmtId="179" fontId="14" fillId="8" borderId="0" xfId="0" applyFont="1" applyFill="1" applyAlignment="1" applyProtection="1">
      <alignment horizontal="left"/>
      <protection/>
    </xf>
    <xf numFmtId="179" fontId="29" fillId="8" borderId="42" xfId="0" applyFont="1" applyFill="1" applyBorder="1" applyAlignment="1" applyProtection="1">
      <alignment vertical="top"/>
      <protection/>
    </xf>
    <xf numFmtId="179" fontId="29" fillId="8" borderId="2" xfId="0" applyFont="1" applyFill="1" applyBorder="1" applyAlignment="1" applyProtection="1">
      <alignment/>
      <protection/>
    </xf>
    <xf numFmtId="179" fontId="29" fillId="8" borderId="0" xfId="0" applyFont="1" applyFill="1" applyBorder="1" applyAlignment="1" applyProtection="1">
      <alignment vertical="top"/>
      <protection/>
    </xf>
    <xf numFmtId="179" fontId="29" fillId="8" borderId="1" xfId="0" applyFont="1" applyFill="1" applyBorder="1" applyAlignment="1" applyProtection="1">
      <alignment/>
      <protection/>
    </xf>
    <xf numFmtId="179" fontId="3" fillId="8" borderId="0" xfId="0" applyFont="1" applyFill="1" applyAlignment="1" applyProtection="1">
      <alignment horizontal="center" vertical="top"/>
      <protection/>
    </xf>
    <xf numFmtId="179" fontId="28" fillId="8" borderId="0" xfId="0" applyFont="1" applyFill="1" applyBorder="1" applyAlignment="1" applyProtection="1">
      <alignment horizontal="left"/>
      <protection/>
    </xf>
    <xf numFmtId="179" fontId="28" fillId="8" borderId="0" xfId="0" applyFont="1" applyFill="1" applyBorder="1" applyAlignment="1" applyProtection="1">
      <alignment horizontal="center"/>
      <protection/>
    </xf>
    <xf numFmtId="179" fontId="29" fillId="8" borderId="15" xfId="0" applyFont="1" applyFill="1" applyBorder="1" applyAlignment="1" applyProtection="1">
      <alignment/>
      <protection/>
    </xf>
    <xf numFmtId="179" fontId="28" fillId="8" borderId="1" xfId="0" applyFont="1" applyFill="1" applyBorder="1" applyAlignment="1" applyProtection="1">
      <alignment horizontal="center"/>
      <protection/>
    </xf>
    <xf numFmtId="179" fontId="28" fillId="8" borderId="15" xfId="0" applyFont="1" applyFill="1" applyBorder="1" applyAlignment="1" applyProtection="1">
      <alignment horizontal="center"/>
      <protection/>
    </xf>
    <xf numFmtId="178" fontId="29" fillId="8" borderId="0" xfId="0" applyNumberFormat="1" applyFont="1" applyFill="1" applyAlignment="1" applyProtection="1">
      <alignment horizontal="center"/>
      <protection/>
    </xf>
    <xf numFmtId="179" fontId="29" fillId="8" borderId="8" xfId="0" applyFont="1" applyFill="1" applyBorder="1" applyAlignment="1" applyProtection="1">
      <alignment/>
      <protection/>
    </xf>
    <xf numFmtId="179" fontId="28" fillId="8" borderId="5" xfId="0" applyFont="1" applyFill="1" applyBorder="1" applyAlignment="1" applyProtection="1">
      <alignment/>
      <protection/>
    </xf>
    <xf numFmtId="179" fontId="28" fillId="8" borderId="0" xfId="0" applyFont="1" applyFill="1" applyBorder="1" applyAlignment="1" applyProtection="1">
      <alignment horizontal="center"/>
      <protection/>
    </xf>
    <xf numFmtId="179" fontId="28" fillId="8" borderId="8" xfId="0" applyFont="1" applyFill="1" applyBorder="1" applyAlignment="1" applyProtection="1">
      <alignment horizontal="right"/>
      <protection/>
    </xf>
    <xf numFmtId="179" fontId="28" fillId="8" borderId="5" xfId="0" applyFont="1" applyFill="1" applyBorder="1" applyAlignment="1" applyProtection="1">
      <alignment horizontal="right"/>
      <protection/>
    </xf>
    <xf numFmtId="179" fontId="28" fillId="8" borderId="0" xfId="0" applyFont="1" applyFill="1" applyAlignment="1" applyProtection="1">
      <alignment horizontal="center"/>
      <protection/>
    </xf>
    <xf numFmtId="179" fontId="80" fillId="8" borderId="12" xfId="0" applyFont="1" applyFill="1" applyBorder="1" applyAlignment="1" applyProtection="1">
      <alignment/>
      <protection/>
    </xf>
    <xf numFmtId="179" fontId="82" fillId="8" borderId="1" xfId="0" applyFont="1" applyFill="1" applyBorder="1" applyAlignment="1" applyProtection="1">
      <alignment horizontal="left"/>
      <protection/>
    </xf>
    <xf numFmtId="179" fontId="82" fillId="8" borderId="1" xfId="0" applyFont="1" applyFill="1" applyBorder="1" applyAlignment="1" applyProtection="1">
      <alignment horizontal="center"/>
      <protection/>
    </xf>
    <xf numFmtId="179" fontId="2" fillId="12" borderId="8" xfId="0" applyFont="1" applyFill="1" applyBorder="1" applyAlignment="1" applyProtection="1">
      <alignment/>
      <protection/>
    </xf>
    <xf numFmtId="179" fontId="2" fillId="12" borderId="0" xfId="0" applyFont="1" applyFill="1" applyAlignment="1" applyProtection="1">
      <alignment horizontal="center"/>
      <protection/>
    </xf>
    <xf numFmtId="197" fontId="4" fillId="2" borderId="7" xfId="22" applyNumberFormat="1" applyFont="1" applyFill="1" applyBorder="1" applyAlignment="1" applyProtection="1">
      <alignment horizontal="center" vertical="center"/>
      <protection locked="0"/>
    </xf>
    <xf numFmtId="0" fontId="1" fillId="0" borderId="0" xfId="25" applyFont="1">
      <alignment/>
      <protection/>
    </xf>
    <xf numFmtId="0" fontId="106" fillId="8" borderId="0" xfId="25" applyFont="1" applyFill="1">
      <alignment/>
      <protection/>
    </xf>
    <xf numFmtId="0" fontId="106" fillId="8" borderId="0" xfId="25" applyFont="1" applyFill="1" applyBorder="1">
      <alignment/>
      <protection/>
    </xf>
    <xf numFmtId="0" fontId="57" fillId="8" borderId="30" xfId="25" applyFont="1" applyFill="1" applyBorder="1" applyAlignment="1" applyProtection="1">
      <alignment horizontal="right"/>
      <protection/>
    </xf>
    <xf numFmtId="2" fontId="57" fillId="3" borderId="22" xfId="25" applyNumberFormat="1" applyFont="1" applyFill="1" applyBorder="1" applyAlignment="1" applyProtection="1" quotePrefix="1">
      <alignment horizontal="right"/>
      <protection/>
    </xf>
    <xf numFmtId="0" fontId="58" fillId="8" borderId="0" xfId="25" applyFont="1" applyFill="1" applyBorder="1" applyAlignment="1" applyProtection="1">
      <alignment horizontal="left"/>
      <protection/>
    </xf>
    <xf numFmtId="0" fontId="57" fillId="8" borderId="0" xfId="25" applyFont="1" applyFill="1" applyBorder="1" applyAlignment="1" applyProtection="1">
      <alignment horizontal="left"/>
      <protection/>
    </xf>
    <xf numFmtId="0" fontId="1" fillId="8" borderId="0" xfId="24" applyFont="1" applyFill="1" applyAlignment="1" applyProtection="1">
      <alignment horizontal="center" vertical="top"/>
      <protection/>
    </xf>
    <xf numFmtId="179" fontId="26" fillId="8" borderId="30" xfId="22" applyFont="1" applyFill="1" applyBorder="1" applyAlignment="1" applyProtection="1">
      <alignment horizontal="left" wrapText="1"/>
      <protection/>
    </xf>
    <xf numFmtId="179" fontId="26" fillId="8" borderId="29" xfId="22" applyFont="1" applyFill="1" applyBorder="1" applyAlignment="1" applyProtection="1">
      <alignment horizontal="left" wrapText="1"/>
      <protection/>
    </xf>
    <xf numFmtId="179" fontId="0" fillId="8" borderId="0" xfId="0" applyFill="1" applyBorder="1" applyAlignment="1" applyProtection="1">
      <alignment horizontal="left"/>
      <protection/>
    </xf>
    <xf numFmtId="1" fontId="109" fillId="0" borderId="0" xfId="0" applyNumberFormat="1" applyFont="1" applyFill="1" applyAlignment="1" applyProtection="1">
      <alignment/>
      <protection/>
    </xf>
    <xf numFmtId="197" fontId="4" fillId="2" borderId="7" xfId="22" applyNumberFormat="1" applyFont="1" applyFill="1" applyBorder="1" applyAlignment="1" applyProtection="1">
      <alignment horizontal="center"/>
      <protection locked="0"/>
    </xf>
    <xf numFmtId="197" fontId="4" fillId="2" borderId="20" xfId="22" applyNumberFormat="1" applyFont="1" applyFill="1" applyBorder="1" applyAlignment="1" applyProtection="1">
      <alignment horizontal="center"/>
      <protection locked="0"/>
    </xf>
    <xf numFmtId="2" fontId="32" fillId="15" borderId="13" xfId="22" applyNumberFormat="1" applyFont="1" applyFill="1" applyBorder="1" applyAlignment="1" applyProtection="1">
      <alignment vertical="center"/>
      <protection/>
    </xf>
    <xf numFmtId="2" fontId="32" fillId="15" borderId="11" xfId="22" applyNumberFormat="1" applyFont="1" applyFill="1" applyBorder="1" applyAlignment="1" applyProtection="1">
      <alignment vertical="center"/>
      <protection/>
    </xf>
    <xf numFmtId="179" fontId="4" fillId="12" borderId="0" xfId="0" applyFont="1" applyFill="1" applyAlignment="1" applyProtection="1">
      <alignment/>
      <protection/>
    </xf>
    <xf numFmtId="179" fontId="7" fillId="8" borderId="0" xfId="0" applyFont="1" applyFill="1" applyAlignment="1" applyProtection="1">
      <alignment vertical="center"/>
      <protection hidden="1"/>
    </xf>
    <xf numFmtId="179" fontId="3" fillId="12" borderId="2" xfId="0" applyFont="1" applyFill="1" applyBorder="1" applyAlignment="1" applyProtection="1">
      <alignment horizontal="left"/>
      <protection/>
    </xf>
    <xf numFmtId="197" fontId="2" fillId="3" borderId="0" xfId="28" applyNumberFormat="1" applyBorder="1" applyProtection="1">
      <alignment/>
      <protection/>
    </xf>
    <xf numFmtId="1" fontId="2" fillId="2" borderId="8" xfId="28" applyNumberFormat="1" applyFill="1" applyBorder="1" applyProtection="1">
      <alignment/>
      <protection locked="0"/>
    </xf>
    <xf numFmtId="178" fontId="9" fillId="5" borderId="8" xfId="0" applyNumberFormat="1" applyFont="1" applyFill="1" applyBorder="1" applyAlignment="1" applyProtection="1">
      <alignment horizontal="right"/>
      <protection/>
    </xf>
    <xf numFmtId="179" fontId="10" fillId="12" borderId="8" xfId="0" applyFont="1" applyFill="1" applyBorder="1" applyAlignment="1" applyProtection="1" quotePrefix="1">
      <alignment horizontal="center"/>
      <protection/>
    </xf>
    <xf numFmtId="179" fontId="2" fillId="12" borderId="0" xfId="0" applyFont="1" applyFill="1" applyAlignment="1" applyProtection="1">
      <alignment vertical="center"/>
      <protection/>
    </xf>
    <xf numFmtId="192" fontId="25" fillId="2" borderId="14" xfId="24" applyNumberFormat="1" applyFont="1" applyFill="1" applyBorder="1" applyAlignment="1" applyProtection="1">
      <alignment horizontal="center"/>
      <protection locked="0"/>
    </xf>
    <xf numFmtId="0" fontId="1" fillId="8" borderId="8" xfId="24" applyFill="1" applyBorder="1" applyAlignment="1">
      <alignment horizontal="center"/>
      <protection/>
    </xf>
    <xf numFmtId="200" fontId="65" fillId="2" borderId="0" xfId="24" applyNumberFormat="1" applyFont="1" applyFill="1" applyBorder="1" applyAlignment="1" applyProtection="1">
      <alignment horizontal="center" vertical="center" shrinkToFit="1"/>
      <protection locked="0"/>
    </xf>
    <xf numFmtId="0" fontId="1" fillId="8" borderId="0" xfId="24" applyFill="1" applyBorder="1" applyAlignment="1">
      <alignment horizontal="center"/>
      <protection/>
    </xf>
    <xf numFmtId="192" fontId="25" fillId="2" borderId="21" xfId="24" applyNumberFormat="1" applyFont="1" applyFill="1" applyBorder="1" applyAlignment="1" applyProtection="1">
      <alignment horizontal="center"/>
      <protection locked="0"/>
    </xf>
    <xf numFmtId="0" fontId="24" fillId="2" borderId="8" xfId="24" applyFont="1" applyFill="1" applyBorder="1" applyAlignment="1" applyProtection="1">
      <alignment horizontal="left"/>
      <protection locked="0"/>
    </xf>
    <xf numFmtId="0" fontId="24" fillId="2" borderId="8" xfId="24" applyFont="1" applyFill="1" applyBorder="1" applyAlignment="1" applyProtection="1">
      <alignment horizontal="left" vertical="center"/>
      <protection locked="0"/>
    </xf>
    <xf numFmtId="179" fontId="2" fillId="12" borderId="8" xfId="0" applyFont="1" applyFill="1" applyBorder="1" applyAlignment="1" applyProtection="1" quotePrefix="1">
      <alignment horizontal="right"/>
      <protection/>
    </xf>
    <xf numFmtId="10" fontId="2" fillId="3" borderId="47" xfId="28" applyNumberFormat="1" applyBorder="1" applyAlignment="1" applyProtection="1">
      <alignment horizontal="right"/>
      <protection/>
    </xf>
    <xf numFmtId="0" fontId="20" fillId="8" borderId="9" xfId="24" applyFont="1" applyFill="1" applyBorder="1" applyAlignment="1">
      <alignment horizontal="center" vertical="center"/>
      <protection/>
    </xf>
    <xf numFmtId="0" fontId="20" fillId="8" borderId="10" xfId="24" applyFont="1" applyFill="1" applyBorder="1" applyAlignment="1">
      <alignment horizontal="center" vertical="center"/>
      <protection/>
    </xf>
    <xf numFmtId="0" fontId="65" fillId="8" borderId="0" xfId="24" applyFont="1" applyFill="1" applyAlignment="1">
      <alignment horizontal="center"/>
      <protection/>
    </xf>
    <xf numFmtId="0" fontId="65" fillId="8" borderId="7" xfId="24" applyFont="1" applyFill="1" applyBorder="1" applyAlignment="1">
      <alignment horizontal="center"/>
      <protection/>
    </xf>
    <xf numFmtId="0" fontId="65" fillId="8" borderId="8" xfId="24" applyFont="1" applyFill="1" applyBorder="1" applyAlignment="1">
      <alignment horizontal="center"/>
      <protection/>
    </xf>
    <xf numFmtId="0" fontId="65" fillId="8" borderId="10" xfId="24" applyFont="1" applyFill="1" applyBorder="1" applyAlignment="1">
      <alignment horizontal="center"/>
      <protection/>
    </xf>
    <xf numFmtId="179" fontId="52" fillId="2" borderId="0" xfId="20" applyFill="1" applyAlignment="1">
      <alignment horizontal="center" vertical="center" textRotation="90"/>
    </xf>
    <xf numFmtId="179" fontId="52" fillId="2" borderId="0" xfId="20" applyAlignment="1">
      <alignment/>
    </xf>
    <xf numFmtId="179" fontId="69" fillId="8" borderId="3" xfId="20" applyFont="1" applyFill="1" applyBorder="1" applyAlignment="1">
      <alignment horizontal="center" vertical="center" wrapText="1"/>
    </xf>
    <xf numFmtId="179" fontId="69" fillId="8" borderId="7" xfId="20" applyFont="1" applyFill="1" applyBorder="1" applyAlignment="1">
      <alignment vertical="center"/>
    </xf>
    <xf numFmtId="179" fontId="69" fillId="8" borderId="3" xfId="20" applyFont="1" applyFill="1" applyBorder="1" applyAlignment="1">
      <alignment vertical="center"/>
    </xf>
    <xf numFmtId="179" fontId="69" fillId="8" borderId="3" xfId="20" applyFont="1" applyFill="1" applyBorder="1" applyAlignment="1">
      <alignment horizontal="center"/>
    </xf>
    <xf numFmtId="179" fontId="69" fillId="8" borderId="7" xfId="20" applyFont="1" applyFill="1" applyBorder="1" applyAlignment="1">
      <alignment/>
    </xf>
    <xf numFmtId="179" fontId="0" fillId="8" borderId="7" xfId="0" applyFill="1" applyBorder="1" applyAlignment="1">
      <alignment/>
    </xf>
    <xf numFmtId="179" fontId="69" fillId="8" borderId="3" xfId="20" applyFont="1" applyFill="1" applyBorder="1" applyAlignment="1">
      <alignment horizontal="center" vertical="center"/>
    </xf>
    <xf numFmtId="179" fontId="90" fillId="8" borderId="3" xfId="0" applyFont="1" applyFill="1" applyBorder="1" applyAlignment="1">
      <alignment horizontal="center"/>
    </xf>
    <xf numFmtId="179" fontId="86" fillId="8" borderId="0" xfId="20" applyFont="1" applyFill="1" applyAlignment="1" applyProtection="1">
      <alignment horizontal="left" vertical="center"/>
      <protection hidden="1"/>
    </xf>
    <xf numFmtId="179" fontId="86" fillId="2" borderId="0" xfId="20" applyFont="1" applyAlignment="1">
      <alignment horizontal="left"/>
    </xf>
    <xf numFmtId="179" fontId="99" fillId="8" borderId="0" xfId="20" applyFont="1" applyFill="1" applyAlignment="1" applyProtection="1">
      <alignment/>
      <protection hidden="1"/>
    </xf>
    <xf numFmtId="179" fontId="91" fillId="2" borderId="0" xfId="20" applyFont="1" applyAlignment="1">
      <alignment/>
    </xf>
    <xf numFmtId="179" fontId="39" fillId="8" borderId="2" xfId="0" applyFont="1" applyFill="1" applyBorder="1" applyAlignment="1">
      <alignment horizontal="left" wrapText="1"/>
    </xf>
    <xf numFmtId="179" fontId="0" fillId="2" borderId="2" xfId="0" applyBorder="1" applyAlignment="1">
      <alignment horizontal="left" wrapText="1"/>
    </xf>
    <xf numFmtId="179" fontId="0" fillId="2" borderId="14" xfId="0" applyBorder="1" applyAlignment="1">
      <alignment horizontal="left" wrapText="1"/>
    </xf>
    <xf numFmtId="179" fontId="0" fillId="8" borderId="2" xfId="0" applyFont="1" applyFill="1" applyBorder="1" applyAlignment="1">
      <alignment horizontal="left" vertical="center"/>
    </xf>
    <xf numFmtId="179" fontId="0" fillId="2" borderId="14" xfId="0" applyBorder="1" applyAlignment="1">
      <alignment horizontal="left" vertical="center"/>
    </xf>
    <xf numFmtId="179" fontId="100" fillId="8" borderId="2" xfId="20" applyFont="1" applyFill="1" applyBorder="1" applyAlignment="1">
      <alignment horizontal="left" vertical="center"/>
    </xf>
    <xf numFmtId="179" fontId="100" fillId="2" borderId="14" xfId="20" applyFont="1" applyBorder="1" applyAlignment="1">
      <alignment horizontal="left" vertical="center"/>
    </xf>
    <xf numFmtId="179" fontId="0" fillId="8" borderId="2" xfId="0" applyFont="1" applyFill="1" applyBorder="1" applyAlignment="1">
      <alignment horizontal="left"/>
    </xf>
    <xf numFmtId="179" fontId="0" fillId="2" borderId="14" xfId="0" applyBorder="1" applyAlignment="1">
      <alignment horizontal="left"/>
    </xf>
    <xf numFmtId="0" fontId="52" fillId="2" borderId="0" xfId="20" applyFill="1" applyBorder="1" applyAlignment="1">
      <alignment horizontal="center" vertical="center" textRotation="90"/>
    </xf>
    <xf numFmtId="0" fontId="21" fillId="2" borderId="0" xfId="23" applyFont="1" applyFill="1" applyBorder="1" applyAlignment="1" applyProtection="1">
      <alignment horizontal="center" vertical="center"/>
      <protection locked="0"/>
    </xf>
    <xf numFmtId="0" fontId="21" fillId="8" borderId="6" xfId="23" applyFont="1" applyFill="1" applyBorder="1" applyAlignment="1">
      <alignment horizontal="left" vertical="top"/>
      <protection/>
    </xf>
    <xf numFmtId="179" fontId="0" fillId="2" borderId="10" xfId="0" applyBorder="1" applyAlignment="1">
      <alignment horizontal="left" vertical="top"/>
    </xf>
    <xf numFmtId="0" fontId="21" fillId="2" borderId="0" xfId="23" applyFont="1" applyFill="1" applyAlignment="1" applyProtection="1">
      <alignment horizontal="center" vertical="center"/>
      <protection locked="0"/>
    </xf>
    <xf numFmtId="179" fontId="39" fillId="2" borderId="0" xfId="0" applyFont="1" applyFill="1" applyAlignment="1" applyProtection="1">
      <alignment horizontal="center" vertical="center"/>
      <protection locked="0"/>
    </xf>
    <xf numFmtId="0" fontId="52" fillId="0" borderId="0" xfId="20" applyAlignment="1">
      <alignment/>
    </xf>
    <xf numFmtId="0" fontId="20" fillId="8" borderId="4" xfId="24" applyFont="1" applyFill="1" applyBorder="1" applyAlignment="1">
      <alignment horizontal="center" vertical="center"/>
      <protection/>
    </xf>
    <xf numFmtId="0" fontId="20" fillId="8" borderId="6" xfId="24" applyFont="1" applyFill="1" applyBorder="1" applyAlignment="1">
      <alignment horizontal="center" vertical="center"/>
      <protection/>
    </xf>
    <xf numFmtId="179" fontId="0" fillId="2" borderId="0" xfId="0" applyBorder="1" applyAlignment="1" applyProtection="1">
      <alignment vertical="center"/>
      <protection locked="0"/>
    </xf>
    <xf numFmtId="200" fontId="25" fillId="2" borderId="8" xfId="24" applyNumberFormat="1" applyFont="1" applyFill="1" applyBorder="1" applyAlignment="1" applyProtection="1">
      <alignment horizontal="center" shrinkToFit="1"/>
      <protection locked="0"/>
    </xf>
    <xf numFmtId="0" fontId="24" fillId="2" borderId="8" xfId="24" applyFont="1" applyFill="1" applyBorder="1" applyAlignment="1" applyProtection="1">
      <alignment horizontal="left" vertical="center" shrinkToFit="1"/>
      <protection locked="0"/>
    </xf>
    <xf numFmtId="179" fontId="0" fillId="2" borderId="8" xfId="0" applyBorder="1" applyAlignment="1" applyProtection="1">
      <alignment vertical="center" shrinkToFit="1"/>
      <protection locked="0"/>
    </xf>
    <xf numFmtId="179" fontId="0" fillId="2" borderId="8" xfId="0" applyBorder="1" applyAlignment="1" applyProtection="1">
      <alignment vertical="center"/>
      <protection locked="0"/>
    </xf>
    <xf numFmtId="0" fontId="24" fillId="2" borderId="9" xfId="24" applyFont="1" applyFill="1" applyBorder="1" applyAlignment="1" applyProtection="1">
      <alignment horizontal="left" vertical="center"/>
      <protection locked="0"/>
    </xf>
    <xf numFmtId="179" fontId="0" fillId="2" borderId="8" xfId="0" applyBorder="1" applyAlignment="1" applyProtection="1">
      <alignment horizontal="left" vertical="center"/>
      <protection locked="0"/>
    </xf>
    <xf numFmtId="0" fontId="1" fillId="9" borderId="9" xfId="24" applyFill="1" applyBorder="1" applyAlignment="1">
      <alignment horizontal="center"/>
      <protection/>
    </xf>
    <xf numFmtId="0" fontId="1" fillId="9" borderId="10" xfId="24" applyFill="1" applyBorder="1" applyAlignment="1">
      <alignment horizontal="center"/>
      <protection/>
    </xf>
    <xf numFmtId="0" fontId="1" fillId="9" borderId="8" xfId="24" applyFill="1" applyBorder="1" applyAlignment="1">
      <alignment horizontal="center"/>
      <protection/>
    </xf>
    <xf numFmtId="1" fontId="25" fillId="2" borderId="21" xfId="24" applyNumberFormat="1" applyFont="1" applyFill="1" applyBorder="1" applyAlignment="1" applyProtection="1">
      <alignment horizontal="center"/>
      <protection locked="0"/>
    </xf>
    <xf numFmtId="1" fontId="25" fillId="2" borderId="14" xfId="24" applyNumberFormat="1" applyFont="1" applyFill="1" applyBorder="1" applyAlignment="1" applyProtection="1">
      <alignment horizontal="center"/>
      <protection locked="0"/>
    </xf>
    <xf numFmtId="0" fontId="1" fillId="8" borderId="51" xfId="24" applyFill="1" applyBorder="1" applyAlignment="1">
      <alignment horizontal="center"/>
      <protection/>
    </xf>
    <xf numFmtId="0" fontId="1" fillId="0" borderId="51" xfId="24" applyBorder="1" applyAlignment="1">
      <alignment horizontal="center"/>
      <protection/>
    </xf>
    <xf numFmtId="2" fontId="25" fillId="0" borderId="8" xfId="24" applyNumberFormat="1" applyFont="1" applyFill="1" applyBorder="1" applyAlignment="1" applyProtection="1">
      <alignment horizontal="right"/>
      <protection locked="0"/>
    </xf>
    <xf numFmtId="0" fontId="26" fillId="0" borderId="4" xfId="24" applyFont="1" applyBorder="1" applyAlignment="1">
      <alignment horizontal="center" vertical="center"/>
      <protection/>
    </xf>
    <xf numFmtId="0" fontId="26" fillId="0" borderId="6" xfId="24" applyFont="1" applyBorder="1" applyAlignment="1">
      <alignment horizontal="center" vertical="center"/>
      <protection/>
    </xf>
    <xf numFmtId="0" fontId="26" fillId="0" borderId="9" xfId="24" applyFont="1" applyBorder="1" applyAlignment="1">
      <alignment horizontal="center" vertical="center"/>
      <protection/>
    </xf>
    <xf numFmtId="0" fontId="26" fillId="0" borderId="10" xfId="24" applyFont="1" applyBorder="1" applyAlignment="1">
      <alignment horizontal="center" vertical="center"/>
      <protection/>
    </xf>
    <xf numFmtId="0" fontId="1" fillId="9" borderId="11" xfId="24" applyFill="1" applyBorder="1" applyAlignment="1">
      <alignment horizontal="center"/>
      <protection/>
    </xf>
    <xf numFmtId="0" fontId="1" fillId="9" borderId="21" xfId="24" applyFill="1" applyBorder="1" applyAlignment="1">
      <alignment horizontal="center"/>
      <protection/>
    </xf>
    <xf numFmtId="0" fontId="1" fillId="9" borderId="14" xfId="24" applyFill="1" applyBorder="1" applyAlignment="1">
      <alignment horizontal="center"/>
      <protection/>
    </xf>
    <xf numFmtId="0" fontId="26" fillId="0" borderId="5" xfId="24" applyFont="1" applyBorder="1" applyAlignment="1">
      <alignment horizontal="center" vertical="center"/>
      <protection/>
    </xf>
    <xf numFmtId="0" fontId="26" fillId="0" borderId="8" xfId="24" applyFont="1" applyBorder="1" applyAlignment="1">
      <alignment horizontal="center" vertical="center"/>
      <protection/>
    </xf>
    <xf numFmtId="0" fontId="1" fillId="9" borderId="2" xfId="24" applyFill="1" applyBorder="1" applyAlignment="1">
      <alignment horizontal="center"/>
      <protection/>
    </xf>
    <xf numFmtId="0" fontId="1" fillId="0" borderId="14" xfId="24" applyBorder="1" applyAlignment="1">
      <alignment horizontal="center"/>
      <protection/>
    </xf>
    <xf numFmtId="1" fontId="94" fillId="8" borderId="0" xfId="24" applyNumberFormat="1" applyFont="1" applyFill="1" applyAlignment="1">
      <alignment horizontal="center" vertical="top"/>
      <protection/>
    </xf>
    <xf numFmtId="0" fontId="24" fillId="2" borderId="8" xfId="24" applyNumberFormat="1" applyFont="1" applyFill="1" applyBorder="1" applyAlignment="1" applyProtection="1">
      <alignment horizontal="left"/>
      <protection locked="0"/>
    </xf>
    <xf numFmtId="0" fontId="0" fillId="2" borderId="8" xfId="0" applyNumberFormat="1" applyBorder="1" applyAlignment="1" applyProtection="1">
      <alignment horizontal="left"/>
      <protection locked="0"/>
    </xf>
    <xf numFmtId="2" fontId="25" fillId="2" borderId="0" xfId="24" applyNumberFormat="1" applyFont="1" applyFill="1" applyBorder="1" applyAlignment="1" applyProtection="1">
      <alignment horizontal="right"/>
      <protection locked="0"/>
    </xf>
    <xf numFmtId="2" fontId="25" fillId="2" borderId="8" xfId="24" applyNumberFormat="1" applyFont="1" applyFill="1" applyBorder="1" applyAlignment="1" applyProtection="1">
      <alignment horizontal="right"/>
      <protection locked="0"/>
    </xf>
    <xf numFmtId="0" fontId="1" fillId="8" borderId="42" xfId="24" applyFill="1" applyBorder="1" applyAlignment="1">
      <alignment horizontal="center"/>
      <protection/>
    </xf>
    <xf numFmtId="179" fontId="2" fillId="8" borderId="0" xfId="0" applyFont="1" applyFill="1" applyAlignment="1" applyProtection="1">
      <alignment/>
      <protection/>
    </xf>
    <xf numFmtId="179" fontId="0" fillId="2" borderId="0" xfId="0" applyAlignment="1">
      <alignment/>
    </xf>
    <xf numFmtId="197" fontId="2" fillId="2" borderId="2" xfId="0" applyNumberFormat="1" applyFont="1" applyFill="1" applyBorder="1" applyAlignment="1" applyProtection="1">
      <alignment horizontal="center"/>
      <protection locked="0"/>
    </xf>
    <xf numFmtId="211" fontId="0" fillId="2" borderId="8" xfId="0" applyNumberFormat="1" applyFill="1" applyBorder="1" applyAlignment="1" applyProtection="1">
      <alignment horizontal="center"/>
      <protection locked="0"/>
    </xf>
    <xf numFmtId="179" fontId="39" fillId="0" borderId="9" xfId="0" applyFont="1" applyFill="1" applyBorder="1" applyAlignment="1" applyProtection="1">
      <alignment horizontal="left"/>
      <protection/>
    </xf>
    <xf numFmtId="179" fontId="39" fillId="0" borderId="8" xfId="0" applyFont="1" applyFill="1" applyBorder="1" applyAlignment="1" applyProtection="1">
      <alignment horizontal="left"/>
      <protection/>
    </xf>
    <xf numFmtId="179" fontId="52" fillId="2" borderId="0" xfId="20" applyAlignment="1" applyProtection="1">
      <alignment/>
      <protection/>
    </xf>
    <xf numFmtId="179" fontId="0" fillId="9" borderId="2" xfId="0" applyFill="1" applyBorder="1" applyAlignment="1" applyProtection="1">
      <alignment horizontal="center"/>
      <protection locked="0"/>
    </xf>
    <xf numFmtId="179" fontId="0" fillId="9" borderId="14" xfId="0" applyFill="1" applyBorder="1" applyAlignment="1" applyProtection="1">
      <alignment horizontal="center"/>
      <protection locked="0"/>
    </xf>
    <xf numFmtId="179" fontId="2" fillId="9" borderId="2" xfId="0" applyNumberFormat="1" applyFont="1" applyFill="1" applyBorder="1" applyAlignment="1" applyProtection="1">
      <alignment horizontal="center"/>
      <protection locked="0"/>
    </xf>
    <xf numFmtId="179" fontId="2" fillId="9" borderId="14" xfId="0" applyNumberFormat="1" applyFont="1" applyFill="1" applyBorder="1" applyAlignment="1" applyProtection="1">
      <alignment horizontal="center"/>
      <protection locked="0"/>
    </xf>
    <xf numFmtId="197" fontId="2" fillId="3" borderId="17" xfId="28" applyNumberFormat="1" applyBorder="1" applyAlignment="1" applyProtection="1">
      <alignment/>
      <protection/>
    </xf>
    <xf numFmtId="179" fontId="0" fillId="2" borderId="13" xfId="0" applyBorder="1" applyAlignment="1">
      <alignment/>
    </xf>
    <xf numFmtId="197" fontId="2" fillId="3" borderId="8" xfId="28" applyNumberFormat="1" applyFont="1" applyBorder="1" applyAlignment="1" applyProtection="1">
      <alignment horizontal="center"/>
      <protection/>
    </xf>
    <xf numFmtId="197" fontId="2" fillId="3" borderId="8" xfId="28" applyNumberFormat="1" applyBorder="1" applyAlignment="1" applyProtection="1">
      <alignment horizontal="center"/>
      <protection/>
    </xf>
    <xf numFmtId="179" fontId="2" fillId="8" borderId="2" xfId="0" applyFont="1" applyFill="1" applyBorder="1" applyAlignment="1" applyProtection="1">
      <alignment wrapText="1"/>
      <protection/>
    </xf>
    <xf numFmtId="179" fontId="2" fillId="8" borderId="2" xfId="0" applyFont="1" applyFill="1" applyBorder="1" applyAlignment="1" applyProtection="1">
      <alignment/>
      <protection/>
    </xf>
    <xf numFmtId="179" fontId="2" fillId="8" borderId="2" xfId="0" applyFont="1" applyFill="1" applyBorder="1" applyAlignment="1" applyProtection="1">
      <alignment horizontal="left" wrapText="1"/>
      <protection/>
    </xf>
    <xf numFmtId="179" fontId="0" fillId="2" borderId="2" xfId="0" applyBorder="1" applyAlignment="1">
      <alignment/>
    </xf>
    <xf numFmtId="179" fontId="2" fillId="8" borderId="2" xfId="0" applyFont="1" applyFill="1" applyBorder="1" applyAlignment="1" applyProtection="1">
      <alignment horizontal="right" wrapText="1"/>
      <protection/>
    </xf>
    <xf numFmtId="179" fontId="2" fillId="8" borderId="2" xfId="0" applyFont="1" applyFill="1" applyBorder="1" applyAlignment="1" applyProtection="1">
      <alignment shrinkToFit="1"/>
      <protection/>
    </xf>
    <xf numFmtId="179" fontId="0" fillId="2" borderId="2" xfId="0" applyBorder="1" applyAlignment="1">
      <alignment shrinkToFit="1"/>
    </xf>
    <xf numFmtId="179" fontId="2" fillId="8" borderId="5" xfId="0" applyFont="1" applyFill="1" applyBorder="1" applyAlignment="1" applyProtection="1">
      <alignment wrapText="1"/>
      <protection/>
    </xf>
    <xf numFmtId="179" fontId="0" fillId="2" borderId="5" xfId="0" applyBorder="1" applyAlignment="1">
      <alignment/>
    </xf>
    <xf numFmtId="179" fontId="34" fillId="8" borderId="2" xfId="0" applyFont="1" applyFill="1" applyBorder="1" applyAlignment="1" applyProtection="1">
      <alignment wrapText="1"/>
      <protection/>
    </xf>
    <xf numFmtId="179" fontId="78" fillId="2" borderId="2" xfId="0" applyFont="1" applyBorder="1" applyAlignment="1">
      <alignment/>
    </xf>
    <xf numFmtId="197" fontId="52" fillId="2" borderId="0" xfId="20" applyNumberFormat="1" applyBorder="1" applyAlignment="1" applyProtection="1">
      <alignment/>
      <protection/>
    </xf>
    <xf numFmtId="197" fontId="2" fillId="2" borderId="9" xfId="0" applyNumberFormat="1" applyFont="1" applyFill="1" applyBorder="1" applyAlignment="1" applyProtection="1">
      <alignment horizontal="center"/>
      <protection locked="0"/>
    </xf>
    <xf numFmtId="197" fontId="2" fillId="2" borderId="10" xfId="0" applyNumberFormat="1" applyFont="1" applyFill="1" applyBorder="1" applyAlignment="1" applyProtection="1">
      <alignment horizontal="center"/>
      <protection locked="0"/>
    </xf>
    <xf numFmtId="197" fontId="2" fillId="2" borderId="8"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79" fontId="9" fillId="5" borderId="5" xfId="0" applyFont="1" applyFill="1" applyBorder="1" applyAlignment="1" applyProtection="1">
      <alignment/>
      <protection/>
    </xf>
    <xf numFmtId="197" fontId="2" fillId="2" borderId="9" xfId="0" applyNumberFormat="1" applyFont="1" applyFill="1" applyBorder="1" applyAlignment="1" applyProtection="1">
      <alignment/>
      <protection locked="0"/>
    </xf>
    <xf numFmtId="197" fontId="2" fillId="2" borderId="10" xfId="0" applyNumberFormat="1" applyFont="1" applyFill="1" applyBorder="1" applyAlignment="1" applyProtection="1">
      <alignment/>
      <protection locked="0"/>
    </xf>
    <xf numFmtId="179" fontId="5" fillId="8" borderId="4" xfId="0" applyFont="1" applyFill="1" applyBorder="1" applyAlignment="1" applyProtection="1">
      <alignment horizontal="center"/>
      <protection/>
    </xf>
    <xf numFmtId="179" fontId="5" fillId="8" borderId="6" xfId="0" applyFont="1" applyFill="1" applyBorder="1" applyAlignment="1" applyProtection="1">
      <alignment horizontal="center"/>
      <protection/>
    </xf>
    <xf numFmtId="179" fontId="10" fillId="8" borderId="3" xfId="0" applyFont="1" applyFill="1" applyBorder="1" applyAlignment="1" applyProtection="1">
      <alignment horizontal="center"/>
      <protection/>
    </xf>
    <xf numFmtId="179" fontId="10" fillId="8" borderId="7" xfId="0" applyFont="1" applyFill="1" applyBorder="1" applyAlignment="1" applyProtection="1">
      <alignment horizontal="center"/>
      <protection/>
    </xf>
    <xf numFmtId="179" fontId="9" fillId="5" borderId="0" xfId="0" applyFont="1" applyFill="1" applyAlignment="1" applyProtection="1">
      <alignment/>
      <protection/>
    </xf>
    <xf numFmtId="179" fontId="54" fillId="5" borderId="0" xfId="0" applyFont="1" applyFill="1" applyAlignment="1">
      <alignment/>
    </xf>
    <xf numFmtId="49" fontId="2" fillId="2" borderId="9"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179" fontId="5" fillId="8" borderId="9" xfId="0" applyFont="1" applyFill="1" applyBorder="1" applyAlignment="1" applyProtection="1">
      <alignment horizontal="center"/>
      <protection/>
    </xf>
    <xf numFmtId="179" fontId="5" fillId="8" borderId="10" xfId="0" applyFont="1" applyFill="1" applyBorder="1" applyAlignment="1" applyProtection="1">
      <alignment horizontal="center"/>
      <protection/>
    </xf>
    <xf numFmtId="179" fontId="0" fillId="8" borderId="9" xfId="0" applyFill="1" applyBorder="1" applyAlignment="1" applyProtection="1">
      <alignment/>
      <protection/>
    </xf>
    <xf numFmtId="179" fontId="0" fillId="2" borderId="8" xfId="0" applyBorder="1" applyAlignment="1">
      <alignment/>
    </xf>
    <xf numFmtId="179" fontId="0" fillId="8" borderId="3" xfId="0" applyFill="1" applyBorder="1" applyAlignment="1" applyProtection="1">
      <alignment/>
      <protection/>
    </xf>
    <xf numFmtId="179" fontId="0" fillId="2" borderId="0" xfId="0" applyBorder="1" applyAlignment="1">
      <alignment/>
    </xf>
    <xf numFmtId="179" fontId="10" fillId="8" borderId="4" xfId="0" applyFont="1" applyFill="1" applyBorder="1" applyAlignment="1" applyProtection="1">
      <alignment horizontal="center"/>
      <protection/>
    </xf>
    <xf numFmtId="179" fontId="10" fillId="8" borderId="6" xfId="0" applyFont="1" applyFill="1" applyBorder="1" applyAlignment="1" applyProtection="1">
      <alignment horizontal="center"/>
      <protection/>
    </xf>
    <xf numFmtId="179" fontId="0" fillId="8" borderId="0" xfId="0" applyFill="1" applyAlignment="1" applyProtection="1">
      <alignment horizontal="center" textRotation="90"/>
      <protection/>
    </xf>
    <xf numFmtId="179" fontId="0" fillId="2" borderId="10" xfId="0" applyBorder="1" applyAlignment="1">
      <alignment/>
    </xf>
    <xf numFmtId="49" fontId="2" fillId="2" borderId="8" xfId="0" applyNumberFormat="1" applyFont="1" applyFill="1" applyBorder="1" applyAlignment="1" applyProtection="1">
      <alignment horizontal="center"/>
      <protection locked="0"/>
    </xf>
    <xf numFmtId="179" fontId="48" fillId="2" borderId="5" xfId="0" applyFont="1" applyBorder="1" applyAlignment="1">
      <alignment/>
    </xf>
    <xf numFmtId="179" fontId="48" fillId="2" borderId="6" xfId="0" applyFont="1" applyBorder="1" applyAlignment="1">
      <alignment/>
    </xf>
    <xf numFmtId="179" fontId="10" fillId="8" borderId="4" xfId="0" applyFont="1" applyFill="1" applyBorder="1" applyAlignment="1" applyProtection="1">
      <alignment horizontal="left"/>
      <protection/>
    </xf>
    <xf numFmtId="179" fontId="48" fillId="2" borderId="5" xfId="0" applyFont="1" applyBorder="1" applyAlignment="1">
      <alignment horizontal="left"/>
    </xf>
    <xf numFmtId="179" fontId="48" fillId="2" borderId="6" xfId="0" applyFont="1" applyBorder="1" applyAlignment="1">
      <alignment horizontal="left"/>
    </xf>
    <xf numFmtId="179" fontId="3" fillId="8" borderId="0" xfId="0" applyFont="1" applyFill="1" applyBorder="1" applyAlignment="1" applyProtection="1">
      <alignment wrapText="1"/>
      <protection/>
    </xf>
    <xf numFmtId="1" fontId="2" fillId="2" borderId="9" xfId="0" applyNumberFormat="1" applyFont="1" applyFill="1" applyBorder="1" applyAlignment="1" applyProtection="1">
      <alignment/>
      <protection locked="0"/>
    </xf>
    <xf numFmtId="1" fontId="2" fillId="2" borderId="10" xfId="0" applyNumberFormat="1" applyFont="1" applyFill="1" applyBorder="1" applyAlignment="1" applyProtection="1">
      <alignment/>
      <protection locked="0"/>
    </xf>
    <xf numFmtId="197" fontId="2" fillId="3" borderId="12" xfId="0" applyNumberFormat="1" applyFont="1" applyFill="1" applyBorder="1" applyAlignment="1" applyProtection="1">
      <alignment horizontal="center"/>
      <protection/>
    </xf>
    <xf numFmtId="197" fontId="2" fillId="2" borderId="12" xfId="0" applyNumberFormat="1" applyFont="1" applyFill="1" applyBorder="1" applyAlignment="1" applyProtection="1">
      <alignment horizontal="left"/>
      <protection locked="0"/>
    </xf>
    <xf numFmtId="179" fontId="2" fillId="2" borderId="8" xfId="0" applyFont="1" applyFill="1" applyBorder="1" applyAlignment="1" applyProtection="1">
      <alignment horizontal="left"/>
      <protection locked="0"/>
    </xf>
    <xf numFmtId="197" fontId="2" fillId="3" borderId="12" xfId="0" applyNumberFormat="1" applyFont="1" applyFill="1" applyBorder="1" applyAlignment="1" applyProtection="1">
      <alignment horizontal="left"/>
      <protection/>
    </xf>
    <xf numFmtId="197" fontId="2" fillId="2" borderId="1" xfId="0" applyNumberFormat="1" applyFont="1" applyFill="1" applyBorder="1" applyAlignment="1" applyProtection="1">
      <alignment horizontal="left"/>
      <protection locked="0"/>
    </xf>
    <xf numFmtId="197" fontId="2" fillId="3" borderId="1" xfId="0" applyNumberFormat="1" applyFont="1" applyFill="1" applyBorder="1" applyAlignment="1" applyProtection="1">
      <alignment horizontal="left"/>
      <protection/>
    </xf>
    <xf numFmtId="179" fontId="2" fillId="8" borderId="4" xfId="0" applyFont="1" applyFill="1" applyBorder="1" applyAlignment="1" applyProtection="1">
      <alignment horizontal="center" vertical="top" wrapText="1"/>
      <protection/>
    </xf>
    <xf numFmtId="179" fontId="0" fillId="2" borderId="6" xfId="0" applyBorder="1" applyAlignment="1">
      <alignment vertical="top"/>
    </xf>
    <xf numFmtId="179" fontId="0" fillId="2" borderId="3" xfId="0" applyBorder="1" applyAlignment="1">
      <alignment vertical="top"/>
    </xf>
    <xf numFmtId="179" fontId="0" fillId="2" borderId="7" xfId="0" applyBorder="1" applyAlignment="1">
      <alignment vertical="top"/>
    </xf>
    <xf numFmtId="179" fontId="0" fillId="2" borderId="9" xfId="0" applyBorder="1" applyAlignment="1">
      <alignment vertical="top"/>
    </xf>
    <xf numFmtId="179" fontId="0" fillId="2" borderId="10" xfId="0" applyBorder="1" applyAlignment="1">
      <alignment vertical="top"/>
    </xf>
    <xf numFmtId="197" fontId="2" fillId="2" borderId="21" xfId="0" applyNumberFormat="1" applyFont="1" applyFill="1" applyBorder="1" applyAlignment="1" applyProtection="1">
      <alignment/>
      <protection locked="0"/>
    </xf>
    <xf numFmtId="179" fontId="0" fillId="2" borderId="14" xfId="0" applyBorder="1" applyAlignment="1">
      <alignment/>
    </xf>
    <xf numFmtId="179" fontId="52" fillId="0" borderId="0" xfId="20" applyAlignment="1" applyProtection="1">
      <alignment/>
      <protection/>
    </xf>
    <xf numFmtId="179" fontId="4" fillId="8" borderId="0" xfId="22" applyFont="1" applyFill="1" applyAlignment="1" applyProtection="1">
      <alignment wrapText="1"/>
      <protection/>
    </xf>
    <xf numFmtId="179" fontId="0" fillId="0" borderId="0" xfId="22" applyAlignment="1" applyProtection="1">
      <alignment wrapText="1"/>
      <protection/>
    </xf>
    <xf numFmtId="179" fontId="30" fillId="2" borderId="0" xfId="0" applyFont="1" applyAlignment="1">
      <alignment wrapText="1"/>
    </xf>
    <xf numFmtId="179" fontId="29" fillId="8" borderId="0" xfId="22" applyFont="1" applyFill="1" applyAlignment="1" applyProtection="1">
      <alignment vertical="top" wrapText="1"/>
      <protection/>
    </xf>
    <xf numFmtId="179" fontId="0" fillId="8" borderId="0" xfId="0" applyFont="1" applyFill="1" applyBorder="1" applyAlignment="1" applyProtection="1">
      <alignment horizontal="center"/>
      <protection/>
    </xf>
    <xf numFmtId="179" fontId="0" fillId="2" borderId="0" xfId="0" applyAlignment="1">
      <alignment horizontal="center"/>
    </xf>
    <xf numFmtId="179" fontId="0" fillId="2" borderId="8" xfId="0" applyFill="1" applyBorder="1" applyAlignment="1" applyProtection="1">
      <alignment horizontal="center"/>
      <protection locked="0"/>
    </xf>
    <xf numFmtId="197" fontId="2" fillId="2" borderId="2" xfId="0" applyNumberFormat="1" applyFont="1" applyFill="1" applyBorder="1" applyAlignment="1" applyProtection="1">
      <alignment horizontal="left"/>
      <protection locked="0"/>
    </xf>
    <xf numFmtId="197" fontId="2" fillId="2" borderId="8" xfId="0" applyNumberFormat="1" applyFont="1" applyFill="1" applyBorder="1" applyAlignment="1" applyProtection="1">
      <alignment horizontal="left"/>
      <protection locked="0"/>
    </xf>
    <xf numFmtId="179" fontId="0" fillId="2" borderId="2" xfId="0" applyBorder="1" applyAlignment="1" applyProtection="1">
      <alignment horizontal="left"/>
      <protection locked="0"/>
    </xf>
    <xf numFmtId="0" fontId="57" fillId="8" borderId="0" xfId="25" applyFont="1" applyFill="1" applyAlignment="1" applyProtection="1">
      <alignment wrapText="1"/>
      <protection/>
    </xf>
    <xf numFmtId="0" fontId="57" fillId="8" borderId="0" xfId="25" applyFont="1" applyFill="1" applyBorder="1" applyAlignment="1" applyProtection="1">
      <alignment horizontal="right"/>
      <protection/>
    </xf>
    <xf numFmtId="179" fontId="108" fillId="2" borderId="0" xfId="0" applyFont="1" applyBorder="1" applyAlignment="1">
      <alignment/>
    </xf>
    <xf numFmtId="167" fontId="57" fillId="8" borderId="21" xfId="25" applyNumberFormat="1" applyFont="1" applyFill="1" applyBorder="1" applyAlignment="1" applyProtection="1">
      <alignment horizontal="center"/>
      <protection/>
    </xf>
    <xf numFmtId="0" fontId="57" fillId="8" borderId="2" xfId="25" applyFont="1" applyFill="1" applyBorder="1" applyAlignment="1" applyProtection="1">
      <alignment horizontal="center"/>
      <protection/>
    </xf>
    <xf numFmtId="0" fontId="59" fillId="8" borderId="3" xfId="25" applyFont="1" applyFill="1" applyBorder="1" applyAlignment="1" applyProtection="1">
      <alignment horizontal="center"/>
      <protection/>
    </xf>
    <xf numFmtId="0" fontId="59" fillId="8" borderId="0" xfId="25" applyFont="1" applyFill="1" applyBorder="1" applyAlignment="1" applyProtection="1">
      <alignment horizontal="center"/>
      <protection/>
    </xf>
    <xf numFmtId="0" fontId="60" fillId="8" borderId="4" xfId="25" applyFont="1" applyFill="1" applyBorder="1" applyAlignment="1" applyProtection="1">
      <alignment horizontal="center"/>
      <protection/>
    </xf>
    <xf numFmtId="0" fontId="60" fillId="8" borderId="5" xfId="25" applyFont="1" applyFill="1" applyBorder="1" applyAlignment="1" applyProtection="1">
      <alignment horizontal="center"/>
      <protection/>
    </xf>
    <xf numFmtId="0" fontId="59" fillId="8" borderId="9" xfId="25" applyFont="1" applyFill="1" applyBorder="1" applyAlignment="1" applyProtection="1">
      <alignment horizontal="center"/>
      <protection/>
    </xf>
    <xf numFmtId="0" fontId="59" fillId="8" borderId="8" xfId="25" applyFont="1" applyFill="1" applyBorder="1" applyAlignment="1" applyProtection="1">
      <alignment horizontal="center"/>
      <protection/>
    </xf>
    <xf numFmtId="49" fontId="7" fillId="3" borderId="9" xfId="26" applyNumberFormat="1" applyFont="1" applyFill="1" applyBorder="1" applyAlignment="1" applyProtection="1">
      <alignment horizontal="center" vertical="center"/>
      <protection/>
    </xf>
    <xf numFmtId="49" fontId="7" fillId="3" borderId="8" xfId="26" applyNumberFormat="1" applyFont="1" applyFill="1" applyBorder="1" applyAlignment="1" applyProtection="1">
      <alignment horizontal="center" vertical="center"/>
      <protection/>
    </xf>
    <xf numFmtId="49" fontId="7" fillId="3" borderId="10" xfId="26" applyNumberFormat="1" applyFont="1" applyFill="1" applyBorder="1" applyAlignment="1" applyProtection="1">
      <alignment horizontal="center" vertical="center"/>
      <protection/>
    </xf>
    <xf numFmtId="49" fontId="7" fillId="13" borderId="9" xfId="26" applyNumberFormat="1" applyFont="1" applyFill="1" applyBorder="1" applyAlignment="1" applyProtection="1">
      <alignment horizontal="center" vertical="center"/>
      <protection locked="0"/>
    </xf>
    <xf numFmtId="49" fontId="7" fillId="13" borderId="8" xfId="26" applyNumberFormat="1" applyFont="1" applyFill="1" applyBorder="1" applyAlignment="1" applyProtection="1">
      <alignment horizontal="center" vertical="center"/>
      <protection locked="0"/>
    </xf>
    <xf numFmtId="49" fontId="7" fillId="13" borderId="10" xfId="26" applyNumberFormat="1" applyFont="1" applyFill="1" applyBorder="1" applyAlignment="1" applyProtection="1">
      <alignment horizontal="center" vertical="center"/>
      <protection locked="0"/>
    </xf>
    <xf numFmtId="0" fontId="52" fillId="0" borderId="0" xfId="20" applyFill="1" applyAlignment="1">
      <alignment/>
    </xf>
    <xf numFmtId="179" fontId="52" fillId="2" borderId="0" xfId="20" applyFill="1" applyBorder="1" applyAlignment="1" applyProtection="1">
      <alignment horizontal="center" vertical="center" textRotation="90"/>
      <protection/>
    </xf>
    <xf numFmtId="179" fontId="52" fillId="2" borderId="0" xfId="20" applyFill="1" applyBorder="1" applyAlignment="1">
      <alignment horizontal="center" vertical="center" textRotation="90"/>
    </xf>
  </cellXfs>
  <cellStyles count="16">
    <cellStyle name="Normal" xfId="0"/>
    <cellStyle name="Comma" xfId="15"/>
    <cellStyle name="Comma [0]" xfId="16"/>
    <cellStyle name="Currency" xfId="17"/>
    <cellStyle name="Currency [0]" xfId="18"/>
    <cellStyle name="Followed Hyperlink" xfId="19"/>
    <cellStyle name="Hyperlink" xfId="20"/>
    <cellStyle name="Main 1" xfId="21"/>
    <cellStyle name="Normal_alberta" xfId="22"/>
    <cellStyle name="Normal_Book1" xfId="23"/>
    <cellStyle name="Normal_T1-Page 1 b" xfId="24"/>
    <cellStyle name="Normal_T2204a" xfId="25"/>
    <cellStyle name="Normal_T2205" xfId="26"/>
    <cellStyle name="Percent" xfId="27"/>
    <cellStyle name="protect &amp; lock" xfId="28"/>
    <cellStyle name="sch1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47</xdr:row>
      <xdr:rowOff>28575</xdr:rowOff>
    </xdr:from>
    <xdr:to>
      <xdr:col>0</xdr:col>
      <xdr:colOff>533400</xdr:colOff>
      <xdr:row>47</xdr:row>
      <xdr:rowOff>200025</xdr:rowOff>
    </xdr:to>
    <xdr:sp>
      <xdr:nvSpPr>
        <xdr:cNvPr id="1" name="AutoShape 2"/>
        <xdr:cNvSpPr>
          <a:spLocks/>
        </xdr:cNvSpPr>
      </xdr:nvSpPr>
      <xdr:spPr>
        <a:xfrm>
          <a:off x="352425" y="10896600"/>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714375</xdr:colOff>
      <xdr:row>3</xdr:row>
      <xdr:rowOff>200025</xdr:rowOff>
    </xdr:to>
    <xdr:pic>
      <xdr:nvPicPr>
        <xdr:cNvPr id="1" name="Picture 1"/>
        <xdr:cNvPicPr preferRelativeResize="1">
          <a:picLocks noChangeAspect="1"/>
        </xdr:cNvPicPr>
      </xdr:nvPicPr>
      <xdr:blipFill>
        <a:blip r:embed="rId1"/>
        <a:stretch>
          <a:fillRect/>
        </a:stretch>
      </xdr:blipFill>
      <xdr:spPr>
        <a:xfrm>
          <a:off x="152400" y="161925"/>
          <a:ext cx="828675" cy="361950"/>
        </a:xfrm>
        <a:prstGeom prst="rect">
          <a:avLst/>
        </a:prstGeom>
        <a:noFill/>
        <a:ln w="9525" cmpd="sng">
          <a:noFill/>
        </a:ln>
      </xdr:spPr>
    </xdr:pic>
    <xdr:clientData/>
  </xdr:twoCellAnchor>
  <xdr:twoCellAnchor editAs="oneCell">
    <xdr:from>
      <xdr:col>2</xdr:col>
      <xdr:colOff>0</xdr:colOff>
      <xdr:row>43</xdr:row>
      <xdr:rowOff>133350</xdr:rowOff>
    </xdr:from>
    <xdr:to>
      <xdr:col>2</xdr:col>
      <xdr:colOff>533400</xdr:colOff>
      <xdr:row>45</xdr:row>
      <xdr:rowOff>9525</xdr:rowOff>
    </xdr:to>
    <xdr:pic>
      <xdr:nvPicPr>
        <xdr:cNvPr id="2" name="Picture 23"/>
        <xdr:cNvPicPr preferRelativeResize="1">
          <a:picLocks noChangeAspect="1"/>
        </xdr:cNvPicPr>
      </xdr:nvPicPr>
      <xdr:blipFill>
        <a:blip r:embed="rId2"/>
        <a:stretch>
          <a:fillRect/>
        </a:stretch>
      </xdr:blipFill>
      <xdr:spPr>
        <a:xfrm>
          <a:off x="266700" y="8448675"/>
          <a:ext cx="5334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51</xdr:row>
      <xdr:rowOff>28575</xdr:rowOff>
    </xdr:from>
    <xdr:to>
      <xdr:col>1</xdr:col>
      <xdr:colOff>438150</xdr:colOff>
      <xdr:row>53</xdr:row>
      <xdr:rowOff>76200</xdr:rowOff>
    </xdr:to>
    <xdr:sp>
      <xdr:nvSpPr>
        <xdr:cNvPr id="1" name="AutoShape 9"/>
        <xdr:cNvSpPr>
          <a:spLocks/>
        </xdr:cNvSpPr>
      </xdr:nvSpPr>
      <xdr:spPr>
        <a:xfrm>
          <a:off x="152400" y="11772900"/>
          <a:ext cx="438150"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133</xdr:row>
      <xdr:rowOff>95250</xdr:rowOff>
    </xdr:from>
    <xdr:to>
      <xdr:col>10</xdr:col>
      <xdr:colOff>457200</xdr:colOff>
      <xdr:row>133</xdr:row>
      <xdr:rowOff>95250</xdr:rowOff>
    </xdr:to>
    <xdr:sp>
      <xdr:nvSpPr>
        <xdr:cNvPr id="2" name="Line 11"/>
        <xdr:cNvSpPr>
          <a:spLocks/>
        </xdr:cNvSpPr>
      </xdr:nvSpPr>
      <xdr:spPr>
        <a:xfrm>
          <a:off x="3324225" y="290417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132</xdr:row>
      <xdr:rowOff>104775</xdr:rowOff>
    </xdr:from>
    <xdr:to>
      <xdr:col>5</xdr:col>
      <xdr:colOff>381000</xdr:colOff>
      <xdr:row>132</xdr:row>
      <xdr:rowOff>104775</xdr:rowOff>
    </xdr:to>
    <xdr:sp>
      <xdr:nvSpPr>
        <xdr:cNvPr id="3" name="Line 14"/>
        <xdr:cNvSpPr>
          <a:spLocks/>
        </xdr:cNvSpPr>
      </xdr:nvSpPr>
      <xdr:spPr>
        <a:xfrm flipH="1">
          <a:off x="4905375" y="28860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132</xdr:row>
      <xdr:rowOff>104775</xdr:rowOff>
    </xdr:from>
    <xdr:to>
      <xdr:col>4</xdr:col>
      <xdr:colOff>981075</xdr:colOff>
      <xdr:row>133</xdr:row>
      <xdr:rowOff>104775</xdr:rowOff>
    </xdr:to>
    <xdr:sp>
      <xdr:nvSpPr>
        <xdr:cNvPr id="4" name="Line 15"/>
        <xdr:cNvSpPr>
          <a:spLocks/>
        </xdr:cNvSpPr>
      </xdr:nvSpPr>
      <xdr:spPr>
        <a:xfrm>
          <a:off x="4905375" y="28860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153</xdr:row>
      <xdr:rowOff>0</xdr:rowOff>
    </xdr:from>
    <xdr:to>
      <xdr:col>11</xdr:col>
      <xdr:colOff>66675</xdr:colOff>
      <xdr:row>153</xdr:row>
      <xdr:rowOff>0</xdr:rowOff>
    </xdr:to>
    <xdr:sp>
      <xdr:nvSpPr>
        <xdr:cNvPr id="5" name="Line 16"/>
        <xdr:cNvSpPr>
          <a:spLocks/>
        </xdr:cNvSpPr>
      </xdr:nvSpPr>
      <xdr:spPr>
        <a:xfrm>
          <a:off x="2581275" y="32956500"/>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139</xdr:row>
      <xdr:rowOff>95250</xdr:rowOff>
    </xdr:from>
    <xdr:to>
      <xdr:col>1</xdr:col>
      <xdr:colOff>2428875</xdr:colOff>
      <xdr:row>152</xdr:row>
      <xdr:rowOff>104775</xdr:rowOff>
    </xdr:to>
    <xdr:sp>
      <xdr:nvSpPr>
        <xdr:cNvPr id="6" name="Line 17"/>
        <xdr:cNvSpPr>
          <a:spLocks/>
        </xdr:cNvSpPr>
      </xdr:nvSpPr>
      <xdr:spPr>
        <a:xfrm flipV="1">
          <a:off x="2581275" y="3015615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11</xdr:col>
      <xdr:colOff>66675</xdr:colOff>
      <xdr:row>140</xdr:row>
      <xdr:rowOff>0</xdr:rowOff>
    </xdr:from>
    <xdr:to>
      <xdr:col>11</xdr:col>
      <xdr:colOff>66675</xdr:colOff>
      <xdr:row>153</xdr:row>
      <xdr:rowOff>0</xdr:rowOff>
    </xdr:to>
    <xdr:sp>
      <xdr:nvSpPr>
        <xdr:cNvPr id="7" name="Line 18"/>
        <xdr:cNvSpPr>
          <a:spLocks/>
        </xdr:cNvSpPr>
      </xdr:nvSpPr>
      <xdr:spPr>
        <a:xfrm flipV="1">
          <a:off x="9153525" y="3015615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140</xdr:row>
      <xdr:rowOff>0</xdr:rowOff>
    </xdr:from>
    <xdr:to>
      <xdr:col>11</xdr:col>
      <xdr:colOff>38100</xdr:colOff>
      <xdr:row>140</xdr:row>
      <xdr:rowOff>0</xdr:rowOff>
    </xdr:to>
    <xdr:sp>
      <xdr:nvSpPr>
        <xdr:cNvPr id="8" name="Line 19"/>
        <xdr:cNvSpPr>
          <a:spLocks/>
        </xdr:cNvSpPr>
      </xdr:nvSpPr>
      <xdr:spPr>
        <a:xfrm>
          <a:off x="2590800" y="30156150"/>
          <a:ext cx="653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1866900</xdr:colOff>
      <xdr:row>168</xdr:row>
      <xdr:rowOff>9525</xdr:rowOff>
    </xdr:from>
    <xdr:to>
      <xdr:col>1</xdr:col>
      <xdr:colOff>2105025</xdr:colOff>
      <xdr:row>168</xdr:row>
      <xdr:rowOff>180975</xdr:rowOff>
    </xdr:to>
    <xdr:sp>
      <xdr:nvSpPr>
        <xdr:cNvPr id="9" name="Rectangle 23"/>
        <xdr:cNvSpPr>
          <a:spLocks/>
        </xdr:cNvSpPr>
      </xdr:nvSpPr>
      <xdr:spPr>
        <a:xfrm>
          <a:off x="2019300" y="35671125"/>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28575</xdr:colOff>
      <xdr:row>168</xdr:row>
      <xdr:rowOff>9525</xdr:rowOff>
    </xdr:from>
    <xdr:to>
      <xdr:col>2</xdr:col>
      <xdr:colOff>266700</xdr:colOff>
      <xdr:row>168</xdr:row>
      <xdr:rowOff>180975</xdr:rowOff>
    </xdr:to>
    <xdr:sp>
      <xdr:nvSpPr>
        <xdr:cNvPr id="10" name="Rectangle 54"/>
        <xdr:cNvSpPr>
          <a:spLocks/>
        </xdr:cNvSpPr>
      </xdr:nvSpPr>
      <xdr:spPr>
        <a:xfrm>
          <a:off x="2962275" y="35671125"/>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167</xdr:row>
      <xdr:rowOff>0</xdr:rowOff>
    </xdr:from>
    <xdr:to>
      <xdr:col>1</xdr:col>
      <xdr:colOff>1123950</xdr:colOff>
      <xdr:row>170</xdr:row>
      <xdr:rowOff>9525</xdr:rowOff>
    </xdr:to>
    <xdr:sp>
      <xdr:nvSpPr>
        <xdr:cNvPr id="11" name="Line 71"/>
        <xdr:cNvSpPr>
          <a:spLocks/>
        </xdr:cNvSpPr>
      </xdr:nvSpPr>
      <xdr:spPr>
        <a:xfrm>
          <a:off x="1276350" y="3540442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419100</xdr:colOff>
      <xdr:row>167</xdr:row>
      <xdr:rowOff>9525</xdr:rowOff>
    </xdr:from>
    <xdr:to>
      <xdr:col>6</xdr:col>
      <xdr:colOff>419100</xdr:colOff>
      <xdr:row>169</xdr:row>
      <xdr:rowOff>9525</xdr:rowOff>
    </xdr:to>
    <xdr:sp>
      <xdr:nvSpPr>
        <xdr:cNvPr id="12" name="Line 76"/>
        <xdr:cNvSpPr>
          <a:spLocks/>
        </xdr:cNvSpPr>
      </xdr:nvSpPr>
      <xdr:spPr>
        <a:xfrm>
          <a:off x="5743575" y="354139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133</xdr:row>
      <xdr:rowOff>95250</xdr:rowOff>
    </xdr:from>
    <xdr:to>
      <xdr:col>2</xdr:col>
      <xdr:colOff>390525</xdr:colOff>
      <xdr:row>135</xdr:row>
      <xdr:rowOff>0</xdr:rowOff>
    </xdr:to>
    <xdr:sp>
      <xdr:nvSpPr>
        <xdr:cNvPr id="13" name="Line 85"/>
        <xdr:cNvSpPr>
          <a:spLocks/>
        </xdr:cNvSpPr>
      </xdr:nvSpPr>
      <xdr:spPr>
        <a:xfrm>
          <a:off x="3324225" y="290417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133</xdr:row>
      <xdr:rowOff>95250</xdr:rowOff>
    </xdr:from>
    <xdr:to>
      <xdr:col>10</xdr:col>
      <xdr:colOff>457200</xdr:colOff>
      <xdr:row>135</xdr:row>
      <xdr:rowOff>9525</xdr:rowOff>
    </xdr:to>
    <xdr:sp>
      <xdr:nvSpPr>
        <xdr:cNvPr id="14" name="Line 86"/>
        <xdr:cNvSpPr>
          <a:spLocks/>
        </xdr:cNvSpPr>
      </xdr:nvSpPr>
      <xdr:spPr>
        <a:xfrm>
          <a:off x="8620125" y="290417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1438275</xdr:colOff>
      <xdr:row>2</xdr:row>
      <xdr:rowOff>95250</xdr:rowOff>
    </xdr:to>
    <xdr:pic>
      <xdr:nvPicPr>
        <xdr:cNvPr id="1" name="Picture 5"/>
        <xdr:cNvPicPr preferRelativeResize="1">
          <a:picLocks noChangeAspect="1"/>
        </xdr:cNvPicPr>
      </xdr:nvPicPr>
      <xdr:blipFill>
        <a:blip r:embed="rId1"/>
        <a:stretch>
          <a:fillRect/>
        </a:stretch>
      </xdr:blipFill>
      <xdr:spPr>
        <a:xfrm>
          <a:off x="38100" y="38100"/>
          <a:ext cx="140017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47625</xdr:rowOff>
    </xdr:from>
    <xdr:to>
      <xdr:col>1</xdr:col>
      <xdr:colOff>1457325</xdr:colOff>
      <xdr:row>2</xdr:row>
      <xdr:rowOff>57150</xdr:rowOff>
    </xdr:to>
    <xdr:pic>
      <xdr:nvPicPr>
        <xdr:cNvPr id="1" name="Picture 11"/>
        <xdr:cNvPicPr preferRelativeResize="1">
          <a:picLocks noChangeAspect="1"/>
        </xdr:cNvPicPr>
      </xdr:nvPicPr>
      <xdr:blipFill>
        <a:blip r:embed="rId1"/>
        <a:stretch>
          <a:fillRect/>
        </a:stretch>
      </xdr:blipFill>
      <xdr:spPr>
        <a:xfrm>
          <a:off x="161925" y="47625"/>
          <a:ext cx="14287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1504950</xdr:colOff>
      <xdr:row>3</xdr:row>
      <xdr:rowOff>19050</xdr:rowOff>
    </xdr:to>
    <xdr:pic>
      <xdr:nvPicPr>
        <xdr:cNvPr id="1" name="Picture 9"/>
        <xdr:cNvPicPr preferRelativeResize="1">
          <a:picLocks noChangeAspect="1"/>
        </xdr:cNvPicPr>
      </xdr:nvPicPr>
      <xdr:blipFill>
        <a:blip r:embed="rId1"/>
        <a:stretch>
          <a:fillRect/>
        </a:stretch>
      </xdr:blipFill>
      <xdr:spPr>
        <a:xfrm>
          <a:off x="76200" y="47625"/>
          <a:ext cx="142875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9525</xdr:rowOff>
    </xdr:from>
    <xdr:to>
      <xdr:col>2</xdr:col>
      <xdr:colOff>504825</xdr:colOff>
      <xdr:row>3</xdr:row>
      <xdr:rowOff>28575</xdr:rowOff>
    </xdr:to>
    <xdr:pic>
      <xdr:nvPicPr>
        <xdr:cNvPr id="1" name="Picture 3"/>
        <xdr:cNvPicPr preferRelativeResize="1">
          <a:picLocks noChangeAspect="1"/>
        </xdr:cNvPicPr>
      </xdr:nvPicPr>
      <xdr:blipFill>
        <a:blip r:embed="rId1"/>
        <a:stretch>
          <a:fillRect/>
        </a:stretch>
      </xdr:blipFill>
      <xdr:spPr>
        <a:xfrm>
          <a:off x="200025" y="200025"/>
          <a:ext cx="142875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1466850</xdr:colOff>
      <xdr:row>2</xdr:row>
      <xdr:rowOff>190500</xdr:rowOff>
    </xdr:to>
    <xdr:pic>
      <xdr:nvPicPr>
        <xdr:cNvPr id="1" name="Picture 4"/>
        <xdr:cNvPicPr preferRelativeResize="1">
          <a:picLocks noChangeAspect="1"/>
        </xdr:cNvPicPr>
      </xdr:nvPicPr>
      <xdr:blipFill>
        <a:blip r:embed="rId1"/>
        <a:stretch>
          <a:fillRect/>
        </a:stretch>
      </xdr:blipFill>
      <xdr:spPr>
        <a:xfrm>
          <a:off x="38100" y="66675"/>
          <a:ext cx="142875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arc.gc.ca/E/pub/tg/5000-g/5000-g-01-06e.html#P65_887" TargetMode="External" /><Relationship Id="rId2" Type="http://schemas.openxmlformats.org/officeDocument/2006/relationships/hyperlink" Target="http://www.cra-arc.gc.ca/E/pub/tg/5000-g/5000-g-01-06e.html#uccb-01" TargetMode="External" /><Relationship Id="rId3" Type="http://schemas.openxmlformats.org/officeDocument/2006/relationships/hyperlink" Target="http://www.cra-arc.gc.ca/E/pub/tg/5000-g/5000-g-02-06e.html#uccb" TargetMode="External" /><Relationship Id="rId4" Type="http://schemas.openxmlformats.org/officeDocument/2006/relationships/hyperlink" Target="http://www.cra-arc.gc.ca/E/pub/tg/5000-g/5000-g-02-06e.html#P615_69146" TargetMode="External" /><Relationship Id="rId5" Type="http://schemas.openxmlformats.org/officeDocument/2006/relationships/hyperlink" Target="http://www.cra-arc.gc.ca/E/pub/tg/5000-g/5000-g-03-06e.html#ppip" TargetMode="External" /><Relationship Id="rId6" Type="http://schemas.openxmlformats.org/officeDocument/2006/relationships/hyperlink" Target="http://www.cra-arc.gc.ca/E/pub/tg/5000-g/5000-g-04-06e.html#line375" TargetMode="External" /><Relationship Id="rId7" Type="http://schemas.openxmlformats.org/officeDocument/2006/relationships/hyperlink" Target="http://www.cra-arc.gc.ca/E/pub/tg/5000-g/5000-g-04-06e.html#line376" TargetMode="External" /><Relationship Id="rId8" Type="http://schemas.openxmlformats.org/officeDocument/2006/relationships/hyperlink" Target="http://www.cra-arc.gc.ca/E/pub/tg/5000-g/5000-g-04-06e.html#line378" TargetMode="External" /><Relationship Id="rId9" Type="http://schemas.openxmlformats.org/officeDocument/2006/relationships/hyperlink" Target="http://www.cra-arc.gc.ca/E/pub/tg/5000-g/5000-g-06-06e.html#P1594_214888" TargetMode="External" /><Relationship Id="rId10" Type="http://schemas.openxmlformats.org/officeDocument/2006/relationships/hyperlink" Target="http://www.cra-arc.gc.ca/E/pub/tg/5000-g/5000-g-02-06e.html#P619_69600" TargetMode="External" /><Relationship Id="rId11" Type="http://schemas.openxmlformats.org/officeDocument/2006/relationships/hyperlink" Target="http://www.cra-arc.gc.ca/E/pub/tg/5000-g/5000-g-02-06e.html#P687_78801" TargetMode="External" /><Relationship Id="rId12" Type="http://schemas.openxmlformats.org/officeDocument/2006/relationships/hyperlink" Target="http://www.cra-arc.gc.ca/E/pub/tg/p113/README.html" TargetMode="External" /><Relationship Id="rId13" Type="http://schemas.openxmlformats.org/officeDocument/2006/relationships/hyperlink" Target="http://www.cra-arc.gc.ca/E/pub/tg/5000-g/5000-g-02-06e.html#P726_85923" TargetMode="External" /><Relationship Id="rId14" Type="http://schemas.openxmlformats.org/officeDocument/2006/relationships/hyperlink" Target="http://www.cra-arc.gc.ca/E/pub/tg/5000-g/5000-g-03-06e.html#P952_122406" TargetMode="External" /><Relationship Id="rId15" Type="http://schemas.openxmlformats.org/officeDocument/2006/relationships/hyperlink" Target="http://www.cra-arc.gc.ca/E/pub/tg/t4044/t4044-e.html" TargetMode="External" /><Relationship Id="rId16" Type="http://schemas.openxmlformats.org/officeDocument/2006/relationships/hyperlink" Target="http://www.cra-arc.gc.ca/E/pub/tg/5000-g/5000-g-03-06e.html#P1026_134851" TargetMode="External" /><Relationship Id="rId17" Type="http://schemas.openxmlformats.org/officeDocument/2006/relationships/hyperlink" Target="http://www.cra-arc.gc.ca/E/pub/tg/5000-g/5000-g-03-06e.html#P1033_136220" TargetMode="External" /><Relationship Id="rId18" Type="http://schemas.openxmlformats.org/officeDocument/2006/relationships/hyperlink" Target="http://www.cra-arc.gc.ca/E/pub/tg/t4037/t4037-e.html" TargetMode="External" /><Relationship Id="rId19" Type="http://schemas.openxmlformats.org/officeDocument/2006/relationships/hyperlink" Target="http://www.cra-arc.gc.ca/E/pub/tg/5000-g/5000-g-04-06e.html#P1091_142712" TargetMode="External" /><Relationship Id="rId20" Type="http://schemas.openxmlformats.org/officeDocument/2006/relationships/hyperlink" Target="http://www.cra-arc.gc.ca/E/pub/tg/5000-g/5000-g-04-06e.html#line363" TargetMode="External" /><Relationship Id="rId21" Type="http://schemas.openxmlformats.org/officeDocument/2006/relationships/hyperlink" Target="http://www.cra-arc.gc.ca/E/pub/tg/5000-g/5000-g-04-06e.html#line364" TargetMode="External" /><Relationship Id="rId22" Type="http://schemas.openxmlformats.org/officeDocument/2006/relationships/hyperlink" Target="http://www.cra-arc.gc.ca/E/pub/tg/5000-g/5000-g-04-06e.html#P1205_159093" TargetMode="External" /><Relationship Id="rId23" Type="http://schemas.openxmlformats.org/officeDocument/2006/relationships/hyperlink" Target="http://www.cra-arc.gc.ca/E/pub/tg/5000-g/5000-g-04-06e.html#P1278_171922" TargetMode="External" /><Relationship Id="rId24" Type="http://schemas.openxmlformats.org/officeDocument/2006/relationships/hyperlink" Target="http://www.cra-arc.gc.ca/E/pub/tg/5000-g/5000-g-04-06e.html#textbook" TargetMode="External" /><Relationship Id="rId25" Type="http://schemas.openxmlformats.org/officeDocument/2006/relationships/hyperlink" Target="http://www.cra-arc.gc.ca/E/pub/tg/5000-g/5000-g-05-06e.html#P1487_200786" TargetMode="External" /><Relationship Id="rId26" Type="http://schemas.openxmlformats.org/officeDocument/2006/relationships/hyperlink" Target="http://www.cra-arc.gc.ca/E/pub/tg/5000-g/5000-g-05-06e.html#apprentice" TargetMode="External" /><Relationship Id="rId27" Type="http://schemas.openxmlformats.org/officeDocument/2006/relationships/hyperlink" Target="http://www.cra-arc.gc.ca/E/pbg/tf/t2038_ind/README.html" TargetMode="External" /><Relationship Id="rId28" Type="http://schemas.openxmlformats.org/officeDocument/2006/relationships/hyperlink" Target="http://www.cra-arc.gc.ca/E/pub/tg/5000-g/5000-g-05-06e.html#P1520_205352" TargetMode="External" /><Relationship Id="rId29" Type="http://schemas.openxmlformats.org/officeDocument/2006/relationships/hyperlink" Target="http://www.cra-arc.gc.ca/E/pub/tg/5000-g/5000-g-06-06e.html#P1598_215359" TargetMode="External" /><Relationship Id="rId3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4.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5.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6.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7.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8.vml" /><Relationship Id="rId3" Type="http://schemas.openxmlformats.org/officeDocument/2006/relationships/drawing" Target="../drawings/drawing9.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9.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0.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t1-m-06e.pdf"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cpt20-06e.pdf" TargetMode="External" /><Relationship Id="rId4" Type="http://schemas.openxmlformats.org/officeDocument/2006/relationships/hyperlink" Target="http://www.cra-arc.gc.ca/E/pbg/tf/t1-adj/t1-adj-07e.pdf" TargetMode="External" /><Relationship Id="rId5" Type="http://schemas.openxmlformats.org/officeDocument/2006/relationships/hyperlink" Target="http://www.cra-arc.gc.ca/E/pbg/tf/t1-adj/t1-adj-fill-07e.pdf" TargetMode="External" /><Relationship Id="rId6" Type="http://schemas.openxmlformats.org/officeDocument/2006/relationships/hyperlink" Target="http://www.cra-arc.gc.ca/E/pbg/tf/t626/t626-06e.pdf" TargetMode="External" /><Relationship Id="rId7" Type="http://schemas.openxmlformats.org/officeDocument/2006/relationships/hyperlink" Target="http://www.cra-arc.gc.ca/E/pbg/tf/t657/t657-06e.pdf" TargetMode="External" /><Relationship Id="rId8" Type="http://schemas.openxmlformats.org/officeDocument/2006/relationships/hyperlink" Target="http://www.cra-arc.gc.ca/E/pbg/tf/t776/t776-06e.pdf" TargetMode="External" /><Relationship Id="rId9" Type="http://schemas.openxmlformats.org/officeDocument/2006/relationships/hyperlink" Target="http://www.cra-arc.gc.ca/E/pbg/tf/t777/t777-06e.pdf" TargetMode="External" /><Relationship Id="rId10" Type="http://schemas.openxmlformats.org/officeDocument/2006/relationships/hyperlink" Target="http://www.cra-arc.gc.ca/E/pbg/tf/t1139/t1139-06b.pdf" TargetMode="External" /><Relationship Id="rId11" Type="http://schemas.openxmlformats.org/officeDocument/2006/relationships/hyperlink" Target="http://www.cra-arc.gc.ca/E/pbg/tf/t1172/t1172-06e.pdf" TargetMode="External" /><Relationship Id="rId12" Type="http://schemas.openxmlformats.org/officeDocument/2006/relationships/hyperlink" Target="http://www.cra-arc.gc.ca/E/pbg/tf/t1206/t1206-06e.pdf" TargetMode="External" /><Relationship Id="rId13" Type="http://schemas.openxmlformats.org/officeDocument/2006/relationships/hyperlink" Target="http://www.cra-arc.gc.ca/E/pbg/tf/t2032/t2032-06e.pdf" TargetMode="External" /><Relationship Id="rId14" Type="http://schemas.openxmlformats.org/officeDocument/2006/relationships/hyperlink" Target="http://www.cra-arc.gc.ca/E/pbg/tf/t2036/t2036-06b.pdf" TargetMode="External" /><Relationship Id="rId15" Type="http://schemas.openxmlformats.org/officeDocument/2006/relationships/hyperlink" Target="http://www.cra-arc.gc.ca/E/pbg/tf/t2038_ind/t2038-ind-06e.pdf" TargetMode="External" /><Relationship Id="rId16" Type="http://schemas.openxmlformats.org/officeDocument/2006/relationships/hyperlink" Target="http://www.cra-arc.gc.ca/E/pbg/tf/t2124/t2124-06e.pdf" TargetMode="External" /><Relationship Id="rId17" Type="http://schemas.openxmlformats.org/officeDocument/2006/relationships/hyperlink" Target="http://www.cra-arc.gc.ca/E/pbg/tf/t2209/t2209-06e.pdf" TargetMode="External" /><Relationship Id="rId18" Type="http://schemas.openxmlformats.org/officeDocument/2006/relationships/hyperlink" Target="http://www.cra-arc.gc.ca/E/pbg/tf/t2222/t2222-06e.pdf" TargetMode="External" /><Relationship Id="rId19" Type="http://schemas.openxmlformats.org/officeDocument/2006/relationships/hyperlink" Target="http://www.cra-arc.gc.ca/E/pbg/tf/t1229/t1229-04e.pdf" TargetMode="External" /><Relationship Id="rId2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I79"/>
  <sheetViews>
    <sheetView tabSelected="1" zoomScale="75" zoomScaleNormal="75"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68" t="s">
        <v>1622</v>
      </c>
      <c r="B1" s="386" t="s">
        <v>1623</v>
      </c>
      <c r="C1" s="76"/>
      <c r="D1" s="76"/>
      <c r="E1" s="208"/>
      <c r="F1" s="76"/>
      <c r="G1" s="208" t="s">
        <v>854</v>
      </c>
      <c r="H1" s="80"/>
      <c r="I1" s="1269" t="s">
        <v>1793</v>
      </c>
    </row>
    <row r="2" spans="1:9" ht="27" customHeight="1">
      <c r="A2" s="769" t="s">
        <v>1671</v>
      </c>
      <c r="B2" s="386"/>
      <c r="C2" s="76"/>
      <c r="D2" s="76"/>
      <c r="E2" s="208"/>
      <c r="F2" s="76"/>
      <c r="G2" s="208"/>
      <c r="H2" s="80"/>
      <c r="I2" s="1269"/>
    </row>
    <row r="3" spans="1:9" ht="20.25">
      <c r="A3" s="769"/>
      <c r="B3" s="386"/>
      <c r="C3" s="76"/>
      <c r="D3" s="76"/>
      <c r="E3" s="208"/>
      <c r="F3" s="76"/>
      <c r="G3" s="208"/>
      <c r="H3" s="80"/>
      <c r="I3" s="1269"/>
    </row>
    <row r="4" spans="1:9" ht="20.25">
      <c r="A4" s="970" t="s">
        <v>329</v>
      </c>
      <c r="B4" s="84"/>
      <c r="C4" s="124"/>
      <c r="D4" s="125"/>
      <c r="E4" s="125"/>
      <c r="F4" s="125"/>
      <c r="G4" s="125"/>
      <c r="H4" s="125"/>
      <c r="I4" s="1269"/>
    </row>
    <row r="5" spans="1:9" ht="18">
      <c r="A5" s="770" t="s">
        <v>271</v>
      </c>
      <c r="B5" s="125"/>
      <c r="C5" s="124"/>
      <c r="D5" s="125"/>
      <c r="E5" s="125"/>
      <c r="F5" s="125"/>
      <c r="G5" s="125"/>
      <c r="H5" s="125"/>
      <c r="I5" s="1269"/>
    </row>
    <row r="6" spans="1:9" ht="18">
      <c r="A6" s="771" t="s">
        <v>187</v>
      </c>
      <c r="B6" s="77"/>
      <c r="C6" s="124"/>
      <c r="D6" s="125"/>
      <c r="E6" s="125"/>
      <c r="F6" s="125"/>
      <c r="G6" s="125"/>
      <c r="H6" s="125"/>
      <c r="I6" s="1269"/>
    </row>
    <row r="7" spans="1:9" ht="33" customHeight="1">
      <c r="A7" s="772" t="s">
        <v>330</v>
      </c>
      <c r="B7" s="125"/>
      <c r="C7" s="125"/>
      <c r="D7" s="125"/>
      <c r="E7" s="125"/>
      <c r="F7" s="80"/>
      <c r="G7" s="80"/>
      <c r="H7" s="80"/>
      <c r="I7" s="1269"/>
    </row>
    <row r="8" spans="1:9" ht="18">
      <c r="A8" s="772" t="s">
        <v>1648</v>
      </c>
      <c r="B8" s="125"/>
      <c r="C8" s="125"/>
      <c r="D8" s="125"/>
      <c r="E8" s="125"/>
      <c r="F8" s="80"/>
      <c r="G8" s="80"/>
      <c r="H8" s="80"/>
      <c r="I8" s="1269"/>
    </row>
    <row r="9" spans="1:9" ht="18">
      <c r="A9" s="772" t="s">
        <v>188</v>
      </c>
      <c r="B9" s="125"/>
      <c r="C9" s="125"/>
      <c r="D9" s="125"/>
      <c r="E9" s="125"/>
      <c r="F9" s="80"/>
      <c r="G9" s="80"/>
      <c r="H9" s="80"/>
      <c r="I9" s="1269"/>
    </row>
    <row r="10" spans="1:9" ht="18">
      <c r="A10" s="772" t="s">
        <v>853</v>
      </c>
      <c r="B10" s="125"/>
      <c r="C10" s="125"/>
      <c r="D10" s="125"/>
      <c r="E10" s="125"/>
      <c r="F10" s="80"/>
      <c r="G10" s="80"/>
      <c r="H10" s="80"/>
      <c r="I10" s="1269"/>
    </row>
    <row r="11" spans="1:9" ht="18">
      <c r="A11" s="772"/>
      <c r="B11" s="125"/>
      <c r="C11" s="125"/>
      <c r="D11" s="125"/>
      <c r="E11" s="125"/>
      <c r="F11" s="80"/>
      <c r="G11" s="80"/>
      <c r="H11" s="80"/>
      <c r="I11" s="1269"/>
    </row>
    <row r="12" spans="1:9" ht="18">
      <c r="A12" s="772" t="s">
        <v>189</v>
      </c>
      <c r="B12" s="125"/>
      <c r="C12" s="125"/>
      <c r="D12" s="125"/>
      <c r="E12" s="125"/>
      <c r="F12" s="80"/>
      <c r="G12" s="80"/>
      <c r="H12" s="80"/>
      <c r="I12" s="1269"/>
    </row>
    <row r="13" spans="1:9" ht="18">
      <c r="A13" s="772" t="s">
        <v>852</v>
      </c>
      <c r="B13" s="125"/>
      <c r="C13" s="125"/>
      <c r="D13" s="125"/>
      <c r="E13" s="125"/>
      <c r="F13" s="80"/>
      <c r="G13" s="80"/>
      <c r="H13" s="80"/>
      <c r="I13" s="1269"/>
    </row>
    <row r="14" spans="1:9" ht="18">
      <c r="A14" s="772" t="s">
        <v>1481</v>
      </c>
      <c r="B14" s="125"/>
      <c r="C14" s="125"/>
      <c r="D14" s="125"/>
      <c r="E14" s="125"/>
      <c r="F14" s="80"/>
      <c r="G14" s="80"/>
      <c r="H14" s="80"/>
      <c r="I14" s="1269"/>
    </row>
    <row r="15" spans="1:9" ht="25.5" customHeight="1">
      <c r="A15" s="772"/>
      <c r="B15" s="80"/>
      <c r="C15" s="518" t="s">
        <v>190</v>
      </c>
      <c r="D15" s="80"/>
      <c r="E15" s="80"/>
      <c r="F15" s="80"/>
      <c r="G15" s="80"/>
      <c r="H15" s="80"/>
      <c r="I15" s="1269"/>
    </row>
    <row r="16" spans="1:9" ht="30.75" customHeight="1">
      <c r="A16" s="772" t="s">
        <v>191</v>
      </c>
      <c r="B16" s="125"/>
      <c r="C16" s="125"/>
      <c r="D16" s="125"/>
      <c r="E16" s="125"/>
      <c r="F16" s="80"/>
      <c r="G16" s="80"/>
      <c r="H16" s="80"/>
      <c r="I16" s="1269"/>
    </row>
    <row r="17" spans="1:9" ht="31.5" customHeight="1">
      <c r="A17" s="1247" t="s">
        <v>1996</v>
      </c>
      <c r="B17" s="125"/>
      <c r="C17" s="125"/>
      <c r="D17" s="125"/>
      <c r="E17" s="125"/>
      <c r="F17" s="80"/>
      <c r="G17" s="80"/>
      <c r="H17" s="80"/>
      <c r="I17" s="1269"/>
    </row>
    <row r="18" spans="1:9" s="385" customFormat="1" ht="36.75" customHeight="1">
      <c r="A18" s="1086" t="s">
        <v>523</v>
      </c>
      <c r="B18" s="82"/>
      <c r="C18" s="82"/>
      <c r="D18" s="82"/>
      <c r="E18" s="82"/>
      <c r="F18" s="82"/>
      <c r="G18" s="82"/>
      <c r="H18" s="82"/>
      <c r="I18" s="1269"/>
    </row>
    <row r="19" spans="1:9" s="385" customFormat="1" ht="18">
      <c r="A19" s="1087" t="s">
        <v>525</v>
      </c>
      <c r="B19" s="82"/>
      <c r="C19" s="82"/>
      <c r="D19" s="82"/>
      <c r="E19" s="82"/>
      <c r="F19" s="82"/>
      <c r="G19" s="82"/>
      <c r="H19" s="82"/>
      <c r="I19" s="1269"/>
    </row>
    <row r="20" spans="1:9" s="385" customFormat="1" ht="18">
      <c r="A20" s="1016" t="s">
        <v>524</v>
      </c>
      <c r="B20" s="82"/>
      <c r="C20" s="82"/>
      <c r="D20" s="82"/>
      <c r="E20" s="82"/>
      <c r="F20" s="82"/>
      <c r="G20" s="82"/>
      <c r="H20" s="82"/>
      <c r="I20" s="1269"/>
    </row>
    <row r="21" spans="1:9" ht="33.75" customHeight="1">
      <c r="A21" s="828" t="s">
        <v>1314</v>
      </c>
      <c r="B21" s="80"/>
      <c r="C21" s="80"/>
      <c r="D21" s="80"/>
      <c r="E21" s="80"/>
      <c r="F21" s="80"/>
      <c r="G21" s="80"/>
      <c r="H21" s="80"/>
      <c r="I21" s="1269"/>
    </row>
    <row r="22" spans="1:9" ht="18">
      <c r="A22" s="774" t="s">
        <v>1479</v>
      </c>
      <c r="B22" s="80"/>
      <c r="C22" s="80"/>
      <c r="D22" s="80"/>
      <c r="E22" s="80"/>
      <c r="F22" s="80"/>
      <c r="G22" s="80"/>
      <c r="H22" s="80"/>
      <c r="I22" s="1269"/>
    </row>
    <row r="23" spans="1:9" ht="18">
      <c r="A23" s="772"/>
      <c r="B23" s="80"/>
      <c r="C23" s="80"/>
      <c r="D23" s="80"/>
      <c r="E23" s="80"/>
      <c r="F23" s="80"/>
      <c r="G23" s="80"/>
      <c r="H23" s="80"/>
      <c r="I23" s="1269"/>
    </row>
    <row r="24" spans="1:9" ht="24.75" customHeight="1">
      <c r="A24" s="774" t="s">
        <v>196</v>
      </c>
      <c r="B24" s="80"/>
      <c r="C24" s="80"/>
      <c r="D24" s="80"/>
      <c r="E24" s="80"/>
      <c r="F24" s="80"/>
      <c r="G24" s="80"/>
      <c r="H24" s="80"/>
      <c r="I24" s="1269"/>
    </row>
    <row r="25" spans="1:9" ht="18">
      <c r="A25" s="772" t="s">
        <v>1590</v>
      </c>
      <c r="B25" s="80"/>
      <c r="C25" s="80"/>
      <c r="D25" s="80"/>
      <c r="E25" s="80"/>
      <c r="F25" s="80"/>
      <c r="G25" s="80"/>
      <c r="H25" s="80"/>
      <c r="I25" s="1269"/>
    </row>
    <row r="26" spans="1:9" ht="18">
      <c r="A26" s="772"/>
      <c r="B26" s="80"/>
      <c r="C26" s="80"/>
      <c r="D26" s="80"/>
      <c r="E26" s="80"/>
      <c r="F26" s="80"/>
      <c r="G26" s="80"/>
      <c r="H26" s="80"/>
      <c r="I26" s="1269"/>
    </row>
    <row r="27" spans="1:9" ht="18">
      <c r="A27" s="772" t="s">
        <v>194</v>
      </c>
      <c r="B27" s="80"/>
      <c r="C27" s="80"/>
      <c r="D27" s="80"/>
      <c r="E27" s="80"/>
      <c r="F27" s="80"/>
      <c r="G27" s="80"/>
      <c r="H27" s="80"/>
      <c r="I27" s="1269"/>
    </row>
    <row r="28" spans="1:9" ht="30.75" customHeight="1">
      <c r="A28" s="772" t="s">
        <v>1591</v>
      </c>
      <c r="B28" s="80"/>
      <c r="C28" s="80"/>
      <c r="D28" s="80"/>
      <c r="E28" s="80"/>
      <c r="F28" s="80"/>
      <c r="G28" s="80"/>
      <c r="H28" s="80"/>
      <c r="I28" s="1269"/>
    </row>
    <row r="29" spans="1:9" ht="18">
      <c r="A29" s="772" t="s">
        <v>195</v>
      </c>
      <c r="B29" s="80"/>
      <c r="C29" s="80"/>
      <c r="D29" s="80"/>
      <c r="E29" s="80"/>
      <c r="F29" s="80"/>
      <c r="G29" s="80"/>
      <c r="H29" s="80"/>
      <c r="I29" s="1269"/>
    </row>
    <row r="30" spans="1:9" ht="18">
      <c r="A30" s="772" t="s">
        <v>1480</v>
      </c>
      <c r="B30" s="80"/>
      <c r="C30" s="80"/>
      <c r="D30" s="80"/>
      <c r="E30" s="80"/>
      <c r="F30" s="80"/>
      <c r="G30" s="80"/>
      <c r="H30" s="80"/>
      <c r="I30" s="1269"/>
    </row>
    <row r="31" spans="1:9" ht="18">
      <c r="A31" s="772"/>
      <c r="B31" s="80"/>
      <c r="C31" s="80"/>
      <c r="D31" s="80"/>
      <c r="E31" s="80"/>
      <c r="F31" s="80"/>
      <c r="G31" s="80"/>
      <c r="H31" s="80"/>
      <c r="I31" s="1269"/>
    </row>
    <row r="32" spans="1:9" ht="18">
      <c r="A32" s="773" t="s">
        <v>1072</v>
      </c>
      <c r="B32" s="80"/>
      <c r="C32" s="80"/>
      <c r="D32" s="80"/>
      <c r="E32" s="80"/>
      <c r="F32" s="80"/>
      <c r="G32" s="80"/>
      <c r="H32" s="80"/>
      <c r="I32" s="1269"/>
    </row>
    <row r="33" spans="1:9" ht="25.5" customHeight="1">
      <c r="A33" s="775" t="s">
        <v>1624</v>
      </c>
      <c r="B33" s="80"/>
      <c r="C33" s="107" t="s">
        <v>441</v>
      </c>
      <c r="D33" s="80"/>
      <c r="E33" s="80"/>
      <c r="F33" s="80"/>
      <c r="G33" s="80"/>
      <c r="H33" s="80"/>
      <c r="I33" s="1269"/>
    </row>
    <row r="34" spans="1:9" ht="18">
      <c r="A34" s="772" t="s">
        <v>442</v>
      </c>
      <c r="B34" s="80"/>
      <c r="C34" s="231"/>
      <c r="D34" s="80"/>
      <c r="E34" s="80" t="s">
        <v>2</v>
      </c>
      <c r="F34" s="80"/>
      <c r="G34" s="80"/>
      <c r="H34" s="80"/>
      <c r="I34" s="1269"/>
    </row>
    <row r="35" spans="1:9" ht="18">
      <c r="A35" s="772" t="s">
        <v>848</v>
      </c>
      <c r="B35" s="80"/>
      <c r="C35" s="77"/>
      <c r="D35" s="80"/>
      <c r="E35" s="80" t="s">
        <v>2</v>
      </c>
      <c r="F35" s="80"/>
      <c r="G35" s="80"/>
      <c r="H35" s="80"/>
      <c r="I35" s="1269"/>
    </row>
    <row r="36" spans="1:9" ht="18">
      <c r="A36" s="772" t="s">
        <v>849</v>
      </c>
      <c r="B36" s="80"/>
      <c r="C36" s="282"/>
      <c r="D36" s="80"/>
      <c r="E36" s="80" t="s">
        <v>2</v>
      </c>
      <c r="F36" s="80"/>
      <c r="G36" s="80"/>
      <c r="H36" s="80"/>
      <c r="I36" s="1269"/>
    </row>
    <row r="37" spans="1:9" ht="15">
      <c r="A37" s="776" t="s">
        <v>5</v>
      </c>
      <c r="B37" s="80"/>
      <c r="C37" s="283"/>
      <c r="D37" s="80"/>
      <c r="E37" s="80" t="s">
        <v>48</v>
      </c>
      <c r="F37" s="80"/>
      <c r="G37" s="80"/>
      <c r="H37" s="80"/>
      <c r="I37" s="1269"/>
    </row>
    <row r="38" spans="1:9" ht="18">
      <c r="A38" s="772" t="s">
        <v>1075</v>
      </c>
      <c r="B38" s="80"/>
      <c r="C38" s="462"/>
      <c r="D38" s="80"/>
      <c r="E38" s="80"/>
      <c r="F38" s="80"/>
      <c r="G38" s="80"/>
      <c r="H38" s="80"/>
      <c r="I38" s="1269"/>
    </row>
    <row r="39" spans="1:9" ht="18">
      <c r="A39" s="772" t="s">
        <v>443</v>
      </c>
      <c r="B39" s="80"/>
      <c r="C39" s="84"/>
      <c r="D39" s="80"/>
      <c r="E39" s="80"/>
      <c r="F39" s="80"/>
      <c r="G39" s="80"/>
      <c r="H39" s="80"/>
      <c r="I39" s="1269"/>
    </row>
    <row r="40" spans="1:9" ht="18.75" customHeight="1">
      <c r="A40" s="772"/>
      <c r="B40" s="80"/>
      <c r="C40" s="125"/>
      <c r="D40" s="80"/>
      <c r="E40" s="80"/>
      <c r="F40" s="80"/>
      <c r="G40" s="80"/>
      <c r="H40" s="80"/>
      <c r="I40" s="1269"/>
    </row>
    <row r="41" spans="1:9" ht="18">
      <c r="A41" s="774" t="s">
        <v>789</v>
      </c>
      <c r="B41" s="80"/>
      <c r="C41" s="80"/>
      <c r="D41" s="80"/>
      <c r="E41" s="80"/>
      <c r="F41" s="80"/>
      <c r="G41" s="80"/>
      <c r="H41" s="80"/>
      <c r="I41" s="1269"/>
    </row>
    <row r="42" spans="1:9" ht="18">
      <c r="A42" s="774" t="s">
        <v>2261</v>
      </c>
      <c r="B42" s="80"/>
      <c r="C42" s="80"/>
      <c r="D42" s="80"/>
      <c r="E42" s="80"/>
      <c r="F42" s="80"/>
      <c r="G42" s="80"/>
      <c r="H42" s="80"/>
      <c r="I42" s="1269"/>
    </row>
    <row r="43" spans="1:9" ht="18">
      <c r="A43" s="772" t="s">
        <v>1313</v>
      </c>
      <c r="B43" s="80"/>
      <c r="C43" s="80"/>
      <c r="D43" s="80"/>
      <c r="E43" s="80"/>
      <c r="F43" s="80"/>
      <c r="G43" s="80"/>
      <c r="H43" s="80"/>
      <c r="I43" s="1269"/>
    </row>
    <row r="44" spans="1:9" ht="18">
      <c r="A44" s="774" t="s">
        <v>1589</v>
      </c>
      <c r="B44" s="80"/>
      <c r="C44" s="80"/>
      <c r="D44" s="80"/>
      <c r="E44" s="80"/>
      <c r="F44" s="80"/>
      <c r="G44" s="80"/>
      <c r="H44" s="80"/>
      <c r="I44" s="1269"/>
    </row>
    <row r="45" spans="1:9" ht="18">
      <c r="A45" s="772" t="s">
        <v>192</v>
      </c>
      <c r="B45" s="80"/>
      <c r="C45" s="80"/>
      <c r="D45" s="80"/>
      <c r="E45" s="80"/>
      <c r="F45" s="80"/>
      <c r="G45" s="80"/>
      <c r="H45" s="80"/>
      <c r="I45" s="1269"/>
    </row>
    <row r="46" spans="1:9" ht="18">
      <c r="A46" s="772" t="s">
        <v>2004</v>
      </c>
      <c r="B46" s="80"/>
      <c r="C46" s="80"/>
      <c r="D46" s="80"/>
      <c r="E46" s="80"/>
      <c r="F46" s="80"/>
      <c r="G46" s="80"/>
      <c r="H46" s="80"/>
      <c r="I46" s="1269"/>
    </row>
    <row r="47" spans="1:9" ht="18">
      <c r="A47" s="772" t="s">
        <v>193</v>
      </c>
      <c r="B47" s="80"/>
      <c r="C47" s="80"/>
      <c r="D47" s="80"/>
      <c r="E47" s="80"/>
      <c r="F47" s="80"/>
      <c r="G47" s="80"/>
      <c r="H47" s="80"/>
      <c r="I47" s="1269"/>
    </row>
    <row r="48" spans="1:9" ht="18">
      <c r="A48" s="774" t="s">
        <v>2001</v>
      </c>
      <c r="B48" s="80"/>
      <c r="C48" s="80"/>
      <c r="D48" s="80"/>
      <c r="E48" s="80"/>
      <c r="F48" s="80"/>
      <c r="G48" s="80"/>
      <c r="H48" s="80"/>
      <c r="I48" s="1269"/>
    </row>
    <row r="49" spans="1:9" ht="18">
      <c r="A49" s="774" t="s">
        <v>997</v>
      </c>
      <c r="B49" s="80"/>
      <c r="C49" s="80"/>
      <c r="D49" s="80"/>
      <c r="E49" s="80"/>
      <c r="F49" s="80"/>
      <c r="G49" s="80"/>
      <c r="H49" s="80"/>
      <c r="I49" s="1269"/>
    </row>
    <row r="50" spans="1:9" ht="18">
      <c r="A50" s="772" t="s">
        <v>328</v>
      </c>
      <c r="B50" s="80"/>
      <c r="C50" s="80"/>
      <c r="D50" s="80"/>
      <c r="E50" s="80"/>
      <c r="F50" s="80"/>
      <c r="G50" s="80"/>
      <c r="H50" s="80"/>
      <c r="I50" s="1269"/>
    </row>
    <row r="51" spans="1:9" ht="18">
      <c r="A51" s="774" t="s">
        <v>563</v>
      </c>
      <c r="B51" s="80"/>
      <c r="C51" s="80"/>
      <c r="D51" s="80"/>
      <c r="E51" s="80"/>
      <c r="F51" s="80"/>
      <c r="G51" s="80"/>
      <c r="H51" s="80"/>
      <c r="I51" s="1269"/>
    </row>
    <row r="52" spans="1:9" ht="18">
      <c r="A52" s="774" t="s">
        <v>755</v>
      </c>
      <c r="B52" s="80"/>
      <c r="C52" s="80"/>
      <c r="D52" s="80"/>
      <c r="E52" s="80"/>
      <c r="F52" s="80"/>
      <c r="G52" s="80"/>
      <c r="H52" s="80"/>
      <c r="I52" s="1269"/>
    </row>
    <row r="53" spans="1:9" ht="18">
      <c r="A53" s="772" t="s">
        <v>1200</v>
      </c>
      <c r="B53" s="80"/>
      <c r="C53" s="80"/>
      <c r="D53" s="80"/>
      <c r="E53" s="80"/>
      <c r="F53" s="80"/>
      <c r="G53" s="80"/>
      <c r="H53" s="80"/>
      <c r="I53" s="1269"/>
    </row>
    <row r="54" spans="1:9" ht="30" customHeight="1">
      <c r="A54" s="774" t="s">
        <v>1345</v>
      </c>
      <c r="B54" s="80"/>
      <c r="C54" s="80"/>
      <c r="D54" s="80"/>
      <c r="E54" s="80"/>
      <c r="F54" s="80"/>
      <c r="G54" s="80"/>
      <c r="H54" s="80"/>
      <c r="I54" s="1269"/>
    </row>
    <row r="55" spans="1:9" ht="18">
      <c r="A55" s="777" t="s">
        <v>756</v>
      </c>
      <c r="B55" s="80"/>
      <c r="C55" s="80"/>
      <c r="D55" s="80"/>
      <c r="E55" s="80"/>
      <c r="F55" s="80"/>
      <c r="G55" s="80"/>
      <c r="H55" s="80"/>
      <c r="I55" s="1269"/>
    </row>
    <row r="56" spans="1:9" ht="18">
      <c r="A56" s="778" t="s">
        <v>1058</v>
      </c>
      <c r="B56" s="80"/>
      <c r="C56" s="80"/>
      <c r="D56" s="80"/>
      <c r="E56" s="80"/>
      <c r="F56" s="80"/>
      <c r="G56" s="80"/>
      <c r="H56" s="80"/>
      <c r="I56" s="1269"/>
    </row>
    <row r="57" spans="1:9" ht="18">
      <c r="A57" s="778" t="s">
        <v>1059</v>
      </c>
      <c r="B57" s="80"/>
      <c r="C57" s="80"/>
      <c r="D57" s="80"/>
      <c r="E57" s="80"/>
      <c r="F57" s="80"/>
      <c r="G57" s="80"/>
      <c r="H57" s="80"/>
      <c r="I57" s="1269"/>
    </row>
    <row r="58" spans="1:9" ht="18">
      <c r="A58" s="778" t="s">
        <v>268</v>
      </c>
      <c r="B58" s="80"/>
      <c r="C58" s="80"/>
      <c r="D58" s="80"/>
      <c r="E58" s="80"/>
      <c r="F58" s="80"/>
      <c r="G58" s="80"/>
      <c r="H58" s="80"/>
      <c r="I58" s="1269"/>
    </row>
    <row r="59" spans="1:9" ht="18.75" customHeight="1">
      <c r="A59" s="774" t="s">
        <v>850</v>
      </c>
      <c r="B59" s="80"/>
      <c r="C59" s="80"/>
      <c r="D59" s="80"/>
      <c r="E59" s="80"/>
      <c r="F59" s="80"/>
      <c r="G59" s="80"/>
      <c r="H59" s="80"/>
      <c r="I59" s="1269"/>
    </row>
    <row r="60" spans="1:9" ht="18">
      <c r="A60" s="772" t="s">
        <v>269</v>
      </c>
      <c r="B60" s="80"/>
      <c r="C60" s="80"/>
      <c r="D60" s="80"/>
      <c r="E60" s="80"/>
      <c r="F60" s="80"/>
      <c r="G60" s="80"/>
      <c r="H60" s="80"/>
      <c r="I60" s="1269"/>
    </row>
    <row r="61" spans="1:9" ht="18">
      <c r="A61" s="774" t="s">
        <v>2002</v>
      </c>
      <c r="B61" s="80"/>
      <c r="C61" s="80"/>
      <c r="D61" s="80"/>
      <c r="E61" s="80"/>
      <c r="F61" s="80"/>
      <c r="G61" s="80"/>
      <c r="H61" s="80"/>
      <c r="I61" s="1269"/>
    </row>
    <row r="62" spans="1:9" ht="18">
      <c r="A62" s="772"/>
      <c r="B62" s="80"/>
      <c r="C62" s="80"/>
      <c r="D62" s="80"/>
      <c r="E62" s="80"/>
      <c r="F62" s="80"/>
      <c r="G62" s="80"/>
      <c r="H62" s="80"/>
      <c r="I62" s="1269"/>
    </row>
    <row r="63" spans="1:9" ht="18">
      <c r="A63" s="772"/>
      <c r="B63" s="80"/>
      <c r="C63" s="80"/>
      <c r="D63" s="80"/>
      <c r="E63" s="80"/>
      <c r="F63" s="80"/>
      <c r="G63" s="80"/>
      <c r="H63" s="80"/>
      <c r="I63" s="1269"/>
    </row>
    <row r="64" spans="1:9" ht="30" customHeight="1">
      <c r="A64" s="774" t="s">
        <v>2166</v>
      </c>
      <c r="B64" s="80"/>
      <c r="C64" s="80"/>
      <c r="D64" s="80"/>
      <c r="E64" s="80"/>
      <c r="F64" s="80"/>
      <c r="G64" s="80"/>
      <c r="H64" s="80"/>
      <c r="I64" s="1269"/>
    </row>
    <row r="65" spans="1:9" ht="21.75" customHeight="1">
      <c r="A65" s="774" t="s">
        <v>1503</v>
      </c>
      <c r="B65" s="80"/>
      <c r="C65" s="80"/>
      <c r="D65" s="80"/>
      <c r="E65" s="80"/>
      <c r="F65" s="80"/>
      <c r="G65" s="80"/>
      <c r="H65" s="80"/>
      <c r="I65" s="1269"/>
    </row>
    <row r="66" spans="1:9" ht="18">
      <c r="A66" s="772" t="s">
        <v>867</v>
      </c>
      <c r="B66" s="80"/>
      <c r="C66" s="80"/>
      <c r="D66" s="80"/>
      <c r="E66" s="80"/>
      <c r="F66" s="80"/>
      <c r="G66" s="80"/>
      <c r="H66" s="80"/>
      <c r="I66" s="1269"/>
    </row>
    <row r="67" spans="1:9" ht="20.25" customHeight="1">
      <c r="A67" s="774" t="s">
        <v>2258</v>
      </c>
      <c r="B67" s="80"/>
      <c r="C67" s="80"/>
      <c r="D67" s="80"/>
      <c r="E67" s="80"/>
      <c r="F67" s="80"/>
      <c r="G67" s="80"/>
      <c r="H67" s="80"/>
      <c r="I67" s="1269"/>
    </row>
    <row r="68" spans="1:9" ht="20.25" customHeight="1">
      <c r="A68" s="772" t="s">
        <v>1502</v>
      </c>
      <c r="B68" s="80"/>
      <c r="C68" s="80"/>
      <c r="D68" s="80"/>
      <c r="E68" s="80"/>
      <c r="F68" s="80"/>
      <c r="G68" s="80"/>
      <c r="H68" s="80"/>
      <c r="I68" s="1269"/>
    </row>
    <row r="69" spans="1:9" ht="18">
      <c r="A69" s="779" t="s">
        <v>2003</v>
      </c>
      <c r="B69" s="80"/>
      <c r="C69" s="80"/>
      <c r="D69" s="80"/>
      <c r="E69" s="80"/>
      <c r="F69" s="80"/>
      <c r="G69" s="80"/>
      <c r="H69" s="80"/>
      <c r="I69" s="1269"/>
    </row>
    <row r="70" spans="1:9" ht="18">
      <c r="A70" s="774" t="s">
        <v>2259</v>
      </c>
      <c r="B70" s="80"/>
      <c r="C70" s="80"/>
      <c r="D70" s="80"/>
      <c r="E70" s="80"/>
      <c r="F70" s="80"/>
      <c r="G70" s="80"/>
      <c r="H70" s="80"/>
      <c r="I70" s="1269"/>
    </row>
    <row r="71" spans="1:9" ht="18">
      <c r="A71" s="772" t="s">
        <v>180</v>
      </c>
      <c r="B71" s="80"/>
      <c r="C71" s="80"/>
      <c r="D71" s="80"/>
      <c r="E71" s="80"/>
      <c r="F71" s="80"/>
      <c r="G71" s="80"/>
      <c r="H71" s="80"/>
      <c r="I71" s="1269"/>
    </row>
    <row r="72" spans="1:9" ht="18">
      <c r="A72" s="772" t="s">
        <v>181</v>
      </c>
      <c r="B72" s="80"/>
      <c r="C72" s="80"/>
      <c r="D72" s="80"/>
      <c r="E72" s="80"/>
      <c r="F72" s="80"/>
      <c r="G72" s="80"/>
      <c r="H72" s="80"/>
      <c r="I72" s="1269"/>
    </row>
    <row r="73" spans="1:9" ht="18">
      <c r="A73" s="774" t="s">
        <v>2260</v>
      </c>
      <c r="B73" s="80"/>
      <c r="C73" s="80"/>
      <c r="D73" s="80"/>
      <c r="E73" s="80"/>
      <c r="F73" s="80"/>
      <c r="G73" s="80"/>
      <c r="H73" s="80"/>
      <c r="I73" s="1269"/>
    </row>
    <row r="74" spans="1:9" ht="18">
      <c r="A74" s="774" t="s">
        <v>2167</v>
      </c>
      <c r="B74" s="80"/>
      <c r="C74" s="80"/>
      <c r="D74" s="80"/>
      <c r="E74" s="80"/>
      <c r="F74" s="80"/>
      <c r="G74" s="80"/>
      <c r="H74" s="80"/>
      <c r="I74" s="1269"/>
    </row>
    <row r="75" spans="1:9" ht="18">
      <c r="A75" s="774" t="s">
        <v>2168</v>
      </c>
      <c r="B75" s="80"/>
      <c r="C75" s="80"/>
      <c r="D75" s="80"/>
      <c r="E75" s="80"/>
      <c r="F75" s="80"/>
      <c r="G75" s="80"/>
      <c r="H75" s="80"/>
      <c r="I75" s="1269"/>
    </row>
    <row r="76" spans="1:9" ht="18">
      <c r="A76" s="772" t="str">
        <f>"such as if you are using MyTAX "&amp;yeartext&amp;" for personal tax planning scenarios."</f>
        <v>such as if you are using MyTAX 2006 for personal tax planning scenarios.</v>
      </c>
      <c r="B76" s="80"/>
      <c r="C76" s="80"/>
      <c r="D76" s="80"/>
      <c r="E76" s="80"/>
      <c r="F76" s="80"/>
      <c r="G76" s="80"/>
      <c r="H76" s="80"/>
      <c r="I76" s="1269"/>
    </row>
    <row r="77" spans="1:9" ht="30.75" customHeight="1">
      <c r="A77" s="772" t="s">
        <v>1284</v>
      </c>
      <c r="B77" s="80"/>
      <c r="C77" s="80"/>
      <c r="D77" s="80"/>
      <c r="E77" s="80"/>
      <c r="F77" s="80"/>
      <c r="G77" s="80"/>
      <c r="H77" s="80"/>
      <c r="I77" s="1269"/>
    </row>
    <row r="78" spans="1:9" ht="15">
      <c r="A78" s="776"/>
      <c r="B78" s="80"/>
      <c r="C78" s="80"/>
      <c r="D78" s="80"/>
      <c r="E78" s="80"/>
      <c r="F78" s="80"/>
      <c r="G78" s="80"/>
      <c r="H78" s="80"/>
      <c r="I78" s="1269"/>
    </row>
    <row r="79" spans="1:9" ht="15.75">
      <c r="A79" s="780"/>
      <c r="B79" s="80"/>
      <c r="C79" s="80"/>
      <c r="D79" s="80"/>
      <c r="E79" s="80"/>
      <c r="F79" s="80"/>
      <c r="G79" s="119"/>
      <c r="H79" s="80"/>
      <c r="I79" s="1269"/>
    </row>
  </sheetData>
  <sheetProtection password="EC35" sheet="1" objects="1" scenarios="1"/>
  <mergeCells count="1">
    <mergeCell ref="I1:I79"/>
  </mergeCells>
  <hyperlinks>
    <hyperlink ref="I1:I79" location="'GO TO'!G23" display=" "/>
    <hyperlink ref="A18"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0" max="7" man="1"/>
  </rowBreaks>
  <legacyDrawing r:id="rId2"/>
</worksheet>
</file>

<file path=xl/worksheets/sheet10.xml><?xml version="1.0" encoding="utf-8"?>
<worksheet xmlns="http://schemas.openxmlformats.org/spreadsheetml/2006/main" xmlns:r="http://schemas.openxmlformats.org/officeDocument/2006/relationships">
  <sheetPr codeName="Sheet74" transitionEvaluation="1">
    <pageSetUpPr fitToPage="1"/>
  </sheetPr>
  <dimension ref="A1:L122"/>
  <sheetViews>
    <sheetView showGridLines="0" zoomScale="75" zoomScaleNormal="75" workbookViewId="0" topLeftCell="A1">
      <selection activeCell="B4" sqref="B4"/>
    </sheetView>
  </sheetViews>
  <sheetFormatPr defaultColWidth="9.77734375" defaultRowHeight="15"/>
  <cols>
    <col min="1" max="1" width="1.5625" style="619" customWidth="1"/>
    <col min="2" max="2" width="25.5546875" style="619" customWidth="1"/>
    <col min="3" max="3" width="12.77734375" style="619" customWidth="1"/>
    <col min="4" max="4" width="13.6640625" style="619" customWidth="1"/>
    <col min="5" max="5" width="4.77734375" style="619" customWidth="1"/>
    <col min="6" max="6" width="12.77734375" style="619" customWidth="1"/>
    <col min="7" max="7" width="5.77734375" style="619" customWidth="1"/>
    <col min="8" max="8" width="12.77734375" style="619" customWidth="1"/>
    <col min="9" max="9" width="5.77734375" style="619" customWidth="1"/>
    <col min="10" max="10" width="12.77734375" style="619" customWidth="1"/>
    <col min="11" max="11" width="4.77734375" style="619" customWidth="1"/>
    <col min="12" max="16384" width="9.77734375" style="619" customWidth="1"/>
  </cols>
  <sheetData>
    <row r="1" spans="1:12" ht="18">
      <c r="A1" s="231"/>
      <c r="B1" s="231"/>
      <c r="C1" s="231"/>
      <c r="D1" s="231"/>
      <c r="E1" s="231"/>
      <c r="F1" s="231"/>
      <c r="G1" s="231"/>
      <c r="H1" s="231"/>
      <c r="I1" s="231"/>
      <c r="J1" s="259" t="s">
        <v>1851</v>
      </c>
      <c r="K1" s="231"/>
      <c r="L1" s="1339" t="s">
        <v>1793</v>
      </c>
    </row>
    <row r="2" spans="1:12" ht="26.25">
      <c r="A2" s="655"/>
      <c r="B2" s="233"/>
      <c r="C2" s="231"/>
      <c r="D2" s="252"/>
      <c r="E2" s="480" t="s">
        <v>1852</v>
      </c>
      <c r="F2" s="231"/>
      <c r="G2" s="231"/>
      <c r="H2" s="231"/>
      <c r="I2" s="231"/>
      <c r="J2" s="257" t="str">
        <f>"T1 General - "&amp;yeartext</f>
        <v>T1 General - 2006</v>
      </c>
      <c r="K2" s="231"/>
      <c r="L2" s="1339"/>
    </row>
    <row r="3" spans="1:12" ht="21.75" customHeight="1">
      <c r="A3" s="655"/>
      <c r="B3" s="231" t="s">
        <v>707</v>
      </c>
      <c r="C3" s="231"/>
      <c r="D3" s="231"/>
      <c r="E3" s="231"/>
      <c r="F3" s="231"/>
      <c r="G3" s="231"/>
      <c r="H3" s="231"/>
      <c r="I3" s="231"/>
      <c r="J3" s="231"/>
      <c r="K3" s="231"/>
      <c r="L3" s="1339"/>
    </row>
    <row r="4" spans="1:12" ht="27.75" customHeight="1">
      <c r="A4" s="655"/>
      <c r="B4" s="469" t="s">
        <v>1853</v>
      </c>
      <c r="C4" s="231"/>
      <c r="D4" s="231"/>
      <c r="E4" s="231"/>
      <c r="F4" s="231"/>
      <c r="G4" s="231"/>
      <c r="H4" s="231"/>
      <c r="I4" s="231"/>
      <c r="J4" s="231"/>
      <c r="K4" s="231"/>
      <c r="L4" s="1339"/>
    </row>
    <row r="5" spans="1:12" ht="15.75">
      <c r="A5" s="655"/>
      <c r="B5" s="234" t="s">
        <v>1287</v>
      </c>
      <c r="C5" s="234"/>
      <c r="D5" s="234"/>
      <c r="E5" s="234"/>
      <c r="F5" s="234"/>
      <c r="G5" s="249"/>
      <c r="H5" s="388">
        <f>'T1 GEN-2-3-4'!K101</f>
        <v>0</v>
      </c>
      <c r="I5" s="249" t="s">
        <v>925</v>
      </c>
      <c r="J5" s="231"/>
      <c r="K5" s="249"/>
      <c r="L5" s="1339"/>
    </row>
    <row r="6" spans="1:12" ht="19.5" customHeight="1">
      <c r="A6" s="655"/>
      <c r="B6" s="231" t="s">
        <v>95</v>
      </c>
      <c r="C6" s="235"/>
      <c r="D6" s="235"/>
      <c r="E6" s="231"/>
      <c r="F6" s="235"/>
      <c r="G6" s="249"/>
      <c r="H6" s="231"/>
      <c r="I6" s="249"/>
      <c r="J6" s="231"/>
      <c r="K6" s="231"/>
      <c r="L6" s="1339"/>
    </row>
    <row r="7" spans="1:12" ht="15.75">
      <c r="A7" s="655"/>
      <c r="B7" s="231" t="s">
        <v>1373</v>
      </c>
      <c r="C7" s="231"/>
      <c r="D7" s="231"/>
      <c r="E7" s="231"/>
      <c r="F7" s="481" t="s">
        <v>1199</v>
      </c>
      <c r="G7" s="249"/>
      <c r="H7" s="481" t="s">
        <v>1199</v>
      </c>
      <c r="I7" s="249"/>
      <c r="J7" s="244"/>
      <c r="K7" s="231"/>
      <c r="L7" s="1339"/>
    </row>
    <row r="8" spans="1:12" ht="15.75">
      <c r="A8" s="655"/>
      <c r="B8" s="478"/>
      <c r="C8" s="231"/>
      <c r="D8" s="245" t="s">
        <v>315</v>
      </c>
      <c r="E8" s="231"/>
      <c r="F8" s="978" t="s">
        <v>56</v>
      </c>
      <c r="G8" s="249"/>
      <c r="H8" s="978" t="s">
        <v>54</v>
      </c>
      <c r="I8" s="249"/>
      <c r="J8" s="245" t="s">
        <v>1539</v>
      </c>
      <c r="K8" s="231"/>
      <c r="L8" s="1339"/>
    </row>
    <row r="9" spans="1:12" ht="15.75">
      <c r="A9" s="655"/>
      <c r="B9" s="235" t="s">
        <v>878</v>
      </c>
      <c r="C9" s="231"/>
      <c r="D9" s="482" t="s">
        <v>666</v>
      </c>
      <c r="E9" s="231"/>
      <c r="F9" s="481" t="s">
        <v>57</v>
      </c>
      <c r="G9" s="249"/>
      <c r="H9" s="481" t="s">
        <v>55</v>
      </c>
      <c r="I9" s="249"/>
      <c r="J9" s="245" t="s">
        <v>58</v>
      </c>
      <c r="K9" s="231"/>
      <c r="L9" s="1339"/>
    </row>
    <row r="10" spans="1:12" ht="16.5" thickBot="1">
      <c r="A10" s="655"/>
      <c r="B10" s="234" t="s">
        <v>879</v>
      </c>
      <c r="C10" s="234"/>
      <c r="D10" s="737">
        <f>IF(NOT($H$5&gt;F11),$H$5,0)</f>
        <v>0</v>
      </c>
      <c r="E10" s="249"/>
      <c r="F10" s="737">
        <f>IF($H$5&gt;F11,IF(NOT($H$5&gt;H11),$H$5,0),0)</f>
        <v>0</v>
      </c>
      <c r="G10" s="249"/>
      <c r="H10" s="737">
        <f>IF($H$5&gt;H11,IF(NOT($H$5&gt;J11),$H$5,0),0)</f>
        <v>0</v>
      </c>
      <c r="I10" s="249"/>
      <c r="J10" s="737">
        <f>IF(H5&gt;J11,H5,0)</f>
        <v>0</v>
      </c>
      <c r="K10" s="249" t="s">
        <v>615</v>
      </c>
      <c r="L10" s="1339"/>
    </row>
    <row r="11" spans="1:12" ht="15.75">
      <c r="A11" s="655"/>
      <c r="B11" s="231"/>
      <c r="C11" s="231"/>
      <c r="D11" s="388">
        <v>0</v>
      </c>
      <c r="E11" s="656"/>
      <c r="F11" s="404">
        <v>29590</v>
      </c>
      <c r="G11" s="656"/>
      <c r="H11" s="404">
        <v>59180</v>
      </c>
      <c r="I11" s="656"/>
      <c r="J11" s="404">
        <v>93000</v>
      </c>
      <c r="K11" s="656" t="s">
        <v>616</v>
      </c>
      <c r="L11" s="1339"/>
    </row>
    <row r="12" spans="1:12" ht="15.75">
      <c r="A12" s="655"/>
      <c r="B12" s="234" t="s">
        <v>316</v>
      </c>
      <c r="C12" s="234"/>
      <c r="D12" s="404">
        <f>MAXA(0,D10-D11)</f>
        <v>0</v>
      </c>
      <c r="E12" s="249"/>
      <c r="F12" s="404">
        <f>MAXA(0,F10-F11)</f>
        <v>0</v>
      </c>
      <c r="G12" s="249"/>
      <c r="H12" s="404">
        <f>MAXA(0,H10-H11)</f>
        <v>0</v>
      </c>
      <c r="I12" s="249"/>
      <c r="J12" s="404">
        <f>MAXA(0,J10-J11)</f>
        <v>0</v>
      </c>
      <c r="K12" s="249" t="s">
        <v>617</v>
      </c>
      <c r="L12" s="1339"/>
    </row>
    <row r="13" spans="1:12" ht="16.5" thickBot="1">
      <c r="A13" s="655"/>
      <c r="B13" s="231"/>
      <c r="C13" s="231"/>
      <c r="D13" s="1262">
        <v>0.0879</v>
      </c>
      <c r="E13" s="249"/>
      <c r="F13" s="1262">
        <v>0.1495</v>
      </c>
      <c r="G13" s="249"/>
      <c r="H13" s="1262">
        <v>0.1667</v>
      </c>
      <c r="I13" s="249"/>
      <c r="J13" s="1262">
        <v>0.175</v>
      </c>
      <c r="K13" s="249" t="s">
        <v>618</v>
      </c>
      <c r="L13" s="1339"/>
    </row>
    <row r="14" spans="1:12" ht="15.75">
      <c r="A14" s="655"/>
      <c r="B14" s="234" t="s">
        <v>317</v>
      </c>
      <c r="C14" s="234"/>
      <c r="D14" s="388">
        <f>D12*D13</f>
        <v>0</v>
      </c>
      <c r="E14" s="249"/>
      <c r="F14" s="404">
        <f>F12*F13</f>
        <v>0</v>
      </c>
      <c r="G14" s="249"/>
      <c r="H14" s="404">
        <f>H12*H13</f>
        <v>0</v>
      </c>
      <c r="I14" s="249"/>
      <c r="J14" s="404">
        <f>J12*J13</f>
        <v>0</v>
      </c>
      <c r="K14" s="249" t="s">
        <v>619</v>
      </c>
      <c r="L14" s="1339"/>
    </row>
    <row r="15" spans="1:12" ht="15.75">
      <c r="A15" s="655"/>
      <c r="B15" s="231"/>
      <c r="C15" s="231"/>
      <c r="D15" s="404">
        <v>0</v>
      </c>
      <c r="E15" s="249"/>
      <c r="F15" s="404">
        <v>2601</v>
      </c>
      <c r="G15" s="249"/>
      <c r="H15" s="404">
        <v>7025</v>
      </c>
      <c r="I15" s="249"/>
      <c r="J15" s="404">
        <v>12662</v>
      </c>
      <c r="K15" s="249" t="s">
        <v>1560</v>
      </c>
      <c r="L15" s="1339"/>
    </row>
    <row r="16" spans="1:12" ht="15.75">
      <c r="A16" s="655"/>
      <c r="B16" s="919" t="s">
        <v>1325</v>
      </c>
      <c r="C16" s="239"/>
      <c r="D16" s="248"/>
      <c r="E16" s="249"/>
      <c r="F16" s="248"/>
      <c r="G16" s="249"/>
      <c r="H16" s="248"/>
      <c r="I16" s="249"/>
      <c r="J16" s="248"/>
      <c r="K16" s="249"/>
      <c r="L16" s="1339"/>
    </row>
    <row r="17" spans="1:12" ht="15.75">
      <c r="A17" s="655"/>
      <c r="B17" s="920" t="s">
        <v>880</v>
      </c>
      <c r="C17" s="247"/>
      <c r="D17" s="660">
        <f>IF(NOT($H$5&gt;F11),(D14+D15))</f>
        <v>0</v>
      </c>
      <c r="E17" s="249"/>
      <c r="F17" s="660" t="b">
        <f>IF($H$5&gt;F11,IF(NOT($H$5&gt;H11),(F14+F15),0))</f>
        <v>0</v>
      </c>
      <c r="G17" s="249"/>
      <c r="H17" s="660" t="b">
        <f>IF($H$5&gt;H11,IF(NOT($H$5&gt;J11),(H14+H15),0))</f>
        <v>0</v>
      </c>
      <c r="I17" s="249"/>
      <c r="J17" s="660">
        <f>IF(H5&gt;J11,J14+J15,0)</f>
        <v>0</v>
      </c>
      <c r="K17" s="249" t="s">
        <v>620</v>
      </c>
      <c r="L17" s="1339"/>
    </row>
    <row r="18" spans="1:12" ht="48" customHeight="1">
      <c r="A18" s="655"/>
      <c r="B18" s="469" t="s">
        <v>182</v>
      </c>
      <c r="C18" s="231"/>
      <c r="D18" s="231"/>
      <c r="E18" s="231"/>
      <c r="F18" s="231"/>
      <c r="G18" s="231"/>
      <c r="H18" s="231"/>
      <c r="I18" s="231"/>
      <c r="J18" s="231"/>
      <c r="K18" s="231"/>
      <c r="L18" s="1339"/>
    </row>
    <row r="19" spans="1:12" ht="15.75">
      <c r="A19" s="655"/>
      <c r="B19" s="231"/>
      <c r="C19" s="231"/>
      <c r="D19" s="231"/>
      <c r="E19" s="242"/>
      <c r="F19" s="246" t="s">
        <v>934</v>
      </c>
      <c r="G19" s="483">
        <v>5602</v>
      </c>
      <c r="H19" s="231"/>
      <c r="I19" s="231"/>
      <c r="J19" s="231"/>
      <c r="K19" s="231"/>
      <c r="L19" s="1339"/>
    </row>
    <row r="20" spans="1:12" ht="15.75">
      <c r="A20" s="655"/>
      <c r="B20" s="234" t="s">
        <v>747</v>
      </c>
      <c r="C20" s="234"/>
      <c r="D20" s="234"/>
      <c r="E20" s="234"/>
      <c r="F20" s="247" t="s">
        <v>183</v>
      </c>
      <c r="G20" s="483" t="s">
        <v>748</v>
      </c>
      <c r="H20" s="388">
        <f>7231*fract</f>
        <v>7231</v>
      </c>
      <c r="I20" s="249" t="s">
        <v>750</v>
      </c>
      <c r="J20" s="231"/>
      <c r="K20" s="231"/>
      <c r="L20" s="1339"/>
    </row>
    <row r="21" spans="1:12" ht="15.75">
      <c r="A21" s="655"/>
      <c r="B21" s="237" t="str">
        <f>"Age amount (if born in "&amp;year65text&amp;" or earlier)"</f>
        <v>Age amount (if born in 1941 or earlier)</v>
      </c>
      <c r="C21" s="237"/>
      <c r="D21" s="237"/>
      <c r="E21" s="237"/>
      <c r="F21" s="240" t="s">
        <v>976</v>
      </c>
      <c r="G21" s="483" t="s">
        <v>749</v>
      </c>
      <c r="H21" s="404">
        <f>IF(age&gt;64,'NS WRK'!I13,0)</f>
        <v>0</v>
      </c>
      <c r="I21" s="249" t="s">
        <v>504</v>
      </c>
      <c r="J21" s="231"/>
      <c r="K21" s="231"/>
      <c r="L21" s="1339"/>
    </row>
    <row r="22" spans="1:12" ht="15">
      <c r="A22" s="655"/>
      <c r="B22" s="231" t="s">
        <v>977</v>
      </c>
      <c r="C22" s="231"/>
      <c r="D22" s="231"/>
      <c r="E22" s="231"/>
      <c r="F22" s="231"/>
      <c r="G22" s="231"/>
      <c r="H22" s="231"/>
      <c r="I22" s="231"/>
      <c r="J22" s="231"/>
      <c r="K22" s="231"/>
      <c r="L22" s="1339"/>
    </row>
    <row r="23" spans="1:12" ht="15">
      <c r="A23" s="655"/>
      <c r="B23" s="234" t="s">
        <v>1797</v>
      </c>
      <c r="C23" s="234"/>
      <c r="D23" s="827">
        <f>IF('T1 GEN-1'!S28="",0,6754*fract)</f>
        <v>0</v>
      </c>
      <c r="E23" s="231"/>
      <c r="F23" s="231"/>
      <c r="G23" s="231"/>
      <c r="H23" s="231"/>
      <c r="I23" s="231"/>
      <c r="J23" s="231"/>
      <c r="K23" s="231"/>
      <c r="L23" s="1339"/>
    </row>
    <row r="24" spans="1:12" ht="15.75">
      <c r="A24" s="655"/>
      <c r="B24" s="248" t="s">
        <v>709</v>
      </c>
      <c r="C24" s="248"/>
      <c r="D24" s="231"/>
      <c r="E24" s="231"/>
      <c r="F24" s="231"/>
      <c r="G24" s="231"/>
      <c r="H24" s="231"/>
      <c r="I24" s="231"/>
      <c r="J24" s="231"/>
      <c r="K24" s="231"/>
      <c r="L24" s="1339"/>
    </row>
    <row r="25" spans="1:12" ht="15.75" thickBot="1">
      <c r="A25" s="655"/>
      <c r="B25" s="234" t="s">
        <v>710</v>
      </c>
      <c r="C25" s="234"/>
      <c r="D25" s="737">
        <f>'T1 GEN-1'!U30</f>
        <v>0</v>
      </c>
      <c r="E25" s="231"/>
      <c r="F25" s="231"/>
      <c r="G25" s="231"/>
      <c r="H25" s="231"/>
      <c r="I25" s="231"/>
      <c r="J25" s="231"/>
      <c r="K25" s="231"/>
      <c r="L25" s="1339"/>
    </row>
    <row r="26" spans="1:12" ht="15.75">
      <c r="A26" s="655"/>
      <c r="B26" s="1248" t="s">
        <v>708</v>
      </c>
      <c r="C26" s="234"/>
      <c r="D26" s="467">
        <f>MINA(6140*fract,MAXA(0,D23-D25))</f>
        <v>0</v>
      </c>
      <c r="E26" s="234"/>
      <c r="F26" s="251" t="s">
        <v>715</v>
      </c>
      <c r="G26" s="483" t="s">
        <v>979</v>
      </c>
      <c r="H26" s="388">
        <f>IF(QUAL!G10,D26,0)</f>
        <v>0</v>
      </c>
      <c r="I26" s="249" t="s">
        <v>980</v>
      </c>
      <c r="J26" s="231"/>
      <c r="K26" s="231"/>
      <c r="L26" s="1339"/>
    </row>
    <row r="27" spans="1:12" ht="15.75">
      <c r="A27" s="655"/>
      <c r="B27" s="237" t="s">
        <v>978</v>
      </c>
      <c r="C27" s="237"/>
      <c r="D27" s="237"/>
      <c r="E27" s="234"/>
      <c r="F27" s="240" t="s">
        <v>976</v>
      </c>
      <c r="G27" s="483" t="s">
        <v>981</v>
      </c>
      <c r="H27" s="388">
        <f>IF(QUAL!G13,MIN(6140*fract,'NS WRK'!I18),0)</f>
        <v>0</v>
      </c>
      <c r="I27" s="249" t="s">
        <v>982</v>
      </c>
      <c r="J27" s="231"/>
      <c r="K27" s="231"/>
      <c r="L27" s="1339"/>
    </row>
    <row r="28" spans="1:12" ht="15.75">
      <c r="A28" s="655"/>
      <c r="B28" s="234" t="s">
        <v>753</v>
      </c>
      <c r="C28" s="234"/>
      <c r="D28" s="234"/>
      <c r="E28" s="234"/>
      <c r="F28" s="240" t="s">
        <v>976</v>
      </c>
      <c r="G28" s="483" t="s">
        <v>983</v>
      </c>
      <c r="H28" s="388">
        <f>IF(QUAL!G16,'NS WRK'!G29,0)</f>
        <v>0</v>
      </c>
      <c r="I28" s="249" t="s">
        <v>984</v>
      </c>
      <c r="J28" s="231"/>
      <c r="K28" s="231"/>
      <c r="L28" s="1339"/>
    </row>
    <row r="29" spans="1:12" ht="15.75">
      <c r="A29" s="655"/>
      <c r="B29" s="235"/>
      <c r="C29" s="235"/>
      <c r="D29" s="235"/>
      <c r="E29" s="235"/>
      <c r="F29" s="606" t="s">
        <v>716</v>
      </c>
      <c r="G29" s="231"/>
      <c r="H29" s="231"/>
      <c r="I29" s="249"/>
      <c r="J29" s="231"/>
      <c r="K29" s="231"/>
      <c r="L29" s="1339"/>
    </row>
    <row r="30" spans="1:12" ht="15.75">
      <c r="A30" s="655"/>
      <c r="B30" s="234" t="s">
        <v>1694</v>
      </c>
      <c r="C30" s="241"/>
      <c r="D30" s="1251">
        <v>6372</v>
      </c>
      <c r="E30" s="1250"/>
      <c r="F30" s="1252" t="s">
        <v>714</v>
      </c>
      <c r="G30" s="483">
        <v>5823</v>
      </c>
      <c r="H30" s="1249">
        <f>E30*100</f>
        <v>0</v>
      </c>
      <c r="I30" s="249" t="s">
        <v>506</v>
      </c>
      <c r="J30" s="231"/>
      <c r="K30" s="231"/>
      <c r="L30" s="1339"/>
    </row>
    <row r="31" spans="1:12" ht="15">
      <c r="A31" s="655"/>
      <c r="B31" s="231" t="s">
        <v>449</v>
      </c>
      <c r="C31" s="231"/>
      <c r="D31" s="231"/>
      <c r="E31" s="231"/>
      <c r="F31" s="231"/>
      <c r="G31" s="231"/>
      <c r="H31" s="231"/>
      <c r="I31" s="231"/>
      <c r="J31" s="231"/>
      <c r="K31" s="231"/>
      <c r="L31" s="1339"/>
    </row>
    <row r="32" spans="1:12" ht="15.75">
      <c r="A32" s="655"/>
      <c r="B32" s="234"/>
      <c r="C32" s="234"/>
      <c r="D32" s="234"/>
      <c r="E32" s="234"/>
      <c r="F32" s="243" t="s">
        <v>1808</v>
      </c>
      <c r="G32" s="483" t="s">
        <v>1221</v>
      </c>
      <c r="H32" s="388">
        <f>Sch1!H32</f>
        <v>0</v>
      </c>
      <c r="I32" s="972" t="s">
        <v>2094</v>
      </c>
      <c r="J32" s="231"/>
      <c r="K32" s="231"/>
      <c r="L32" s="1339"/>
    </row>
    <row r="33" spans="1:12" ht="15.75">
      <c r="A33" s="655"/>
      <c r="B33" s="237"/>
      <c r="C33" s="237"/>
      <c r="D33" s="237"/>
      <c r="E33" s="237"/>
      <c r="F33" s="240" t="s">
        <v>1245</v>
      </c>
      <c r="G33" s="483" t="s">
        <v>1222</v>
      </c>
      <c r="H33" s="404">
        <f>Sch1!H33</f>
        <v>0</v>
      </c>
      <c r="I33" s="972" t="s">
        <v>75</v>
      </c>
      <c r="J33" s="231"/>
      <c r="K33" s="231"/>
      <c r="L33" s="1339"/>
    </row>
    <row r="34" spans="1:12" ht="15.75">
      <c r="A34" s="655"/>
      <c r="B34" s="237" t="s">
        <v>1246</v>
      </c>
      <c r="C34" s="237"/>
      <c r="D34" s="237"/>
      <c r="E34" s="237"/>
      <c r="F34" s="240" t="s">
        <v>283</v>
      </c>
      <c r="G34" s="483" t="s">
        <v>2285</v>
      </c>
      <c r="H34" s="404">
        <f>MISC!K55</f>
        <v>0</v>
      </c>
      <c r="I34" s="972" t="s">
        <v>74</v>
      </c>
      <c r="J34" s="231"/>
      <c r="K34" s="231"/>
      <c r="L34" s="1339"/>
    </row>
    <row r="35" spans="1:12" ht="15.75">
      <c r="A35" s="655"/>
      <c r="B35" s="237" t="s">
        <v>717</v>
      </c>
      <c r="C35" s="237"/>
      <c r="D35" s="237"/>
      <c r="E35" s="237"/>
      <c r="F35" s="240" t="s">
        <v>1668</v>
      </c>
      <c r="G35" s="483" t="s">
        <v>2286</v>
      </c>
      <c r="H35" s="404">
        <f>MIN(1000,Sch1!H38)</f>
        <v>0</v>
      </c>
      <c r="I35" s="249" t="s">
        <v>511</v>
      </c>
      <c r="J35" s="231"/>
      <c r="K35" s="231"/>
      <c r="L35" s="1339"/>
    </row>
    <row r="36" spans="1:12" ht="15.75">
      <c r="A36" s="655"/>
      <c r="B36" s="237" t="s">
        <v>567</v>
      </c>
      <c r="C36" s="237"/>
      <c r="D36" s="237"/>
      <c r="E36" s="237"/>
      <c r="F36" s="240" t="s">
        <v>976</v>
      </c>
      <c r="G36" s="483" t="s">
        <v>2287</v>
      </c>
      <c r="H36" s="404">
        <f>IF(QUAL!G19,'NS WRK'!G39,0)</f>
        <v>0</v>
      </c>
      <c r="I36" s="249" t="s">
        <v>1219</v>
      </c>
      <c r="J36" s="231"/>
      <c r="K36" s="231"/>
      <c r="L36" s="1339"/>
    </row>
    <row r="37" spans="1:12" ht="15.75">
      <c r="A37" s="655"/>
      <c r="B37" s="237" t="s">
        <v>1124</v>
      </c>
      <c r="C37" s="237"/>
      <c r="D37" s="237"/>
      <c r="E37" s="237"/>
      <c r="F37" s="240" t="s">
        <v>1669</v>
      </c>
      <c r="G37" s="483" t="s">
        <v>2288</v>
      </c>
      <c r="H37" s="404">
        <f>IF(QUAL!G22,'NS WRK'!I49,0)</f>
        <v>0</v>
      </c>
      <c r="I37" s="249" t="s">
        <v>513</v>
      </c>
      <c r="J37" s="231"/>
      <c r="K37" s="231"/>
      <c r="L37" s="1339"/>
    </row>
    <row r="38" spans="1:12" ht="15.75">
      <c r="A38" s="655"/>
      <c r="B38" s="237" t="s">
        <v>630</v>
      </c>
      <c r="C38" s="237"/>
      <c r="D38" s="237"/>
      <c r="E38" s="237"/>
      <c r="F38" s="240" t="s">
        <v>976</v>
      </c>
      <c r="G38" s="483" t="s">
        <v>2289</v>
      </c>
      <c r="H38" s="404">
        <f>IF(QUAL!G25,'NS WRK'!G67,0)</f>
        <v>0</v>
      </c>
      <c r="I38" s="249" t="s">
        <v>1224</v>
      </c>
      <c r="J38" s="231"/>
      <c r="K38" s="231"/>
      <c r="L38" s="1339"/>
    </row>
    <row r="39" spans="1:12" ht="15.75">
      <c r="A39" s="655"/>
      <c r="B39" s="237" t="s">
        <v>1551</v>
      </c>
      <c r="C39" s="237"/>
      <c r="D39" s="237"/>
      <c r="E39" s="237"/>
      <c r="F39" s="240" t="s">
        <v>1552</v>
      </c>
      <c r="G39" s="483">
        <v>5849</v>
      </c>
      <c r="H39" s="166"/>
      <c r="I39" s="249" t="s">
        <v>515</v>
      </c>
      <c r="J39" s="231"/>
      <c r="K39" s="231"/>
      <c r="L39" s="1339"/>
    </row>
    <row r="40" spans="1:12" ht="15.75">
      <c r="A40" s="655"/>
      <c r="B40" s="237" t="s">
        <v>284</v>
      </c>
      <c r="C40" s="237"/>
      <c r="D40" s="237"/>
      <c r="E40" s="237"/>
      <c r="F40" s="240" t="s">
        <v>285</v>
      </c>
      <c r="G40" s="483" t="s">
        <v>2290</v>
      </c>
      <c r="H40" s="404">
        <f>Sch1!H42</f>
        <v>0</v>
      </c>
      <c r="I40" s="249" t="s">
        <v>1225</v>
      </c>
      <c r="J40" s="231"/>
      <c r="K40" s="231"/>
      <c r="L40" s="1339"/>
    </row>
    <row r="41" spans="1:12" ht="15.75">
      <c r="A41" s="655"/>
      <c r="B41" s="237" t="s">
        <v>566</v>
      </c>
      <c r="C41" s="237"/>
      <c r="D41" s="237"/>
      <c r="E41" s="237"/>
      <c r="F41" s="472" t="s">
        <v>1809</v>
      </c>
      <c r="G41" s="483" t="s">
        <v>2291</v>
      </c>
      <c r="H41" s="657">
        <f>'NS(S11)'!I31</f>
        <v>0</v>
      </c>
      <c r="I41" s="249" t="s">
        <v>1635</v>
      </c>
      <c r="J41" s="231"/>
      <c r="K41" s="231"/>
      <c r="L41" s="1339"/>
    </row>
    <row r="42" spans="1:12" ht="15.75">
      <c r="A42" s="655"/>
      <c r="B42" s="237" t="s">
        <v>1042</v>
      </c>
      <c r="C42" s="237"/>
      <c r="D42" s="237"/>
      <c r="E42" s="237"/>
      <c r="F42" s="237"/>
      <c r="G42" s="483" t="s">
        <v>2292</v>
      </c>
      <c r="H42" s="166"/>
      <c r="I42" s="249" t="s">
        <v>1349</v>
      </c>
      <c r="J42" s="231"/>
      <c r="K42" s="231"/>
      <c r="L42" s="1339"/>
    </row>
    <row r="43" spans="1:12" ht="15.75">
      <c r="A43" s="655"/>
      <c r="B43" s="238" t="s">
        <v>286</v>
      </c>
      <c r="C43" s="237"/>
      <c r="D43" s="237"/>
      <c r="E43" s="237"/>
      <c r="F43" s="472" t="s">
        <v>1810</v>
      </c>
      <c r="G43" s="483" t="s">
        <v>2293</v>
      </c>
      <c r="H43" s="467">
        <f>'NS(S2)'!J30</f>
        <v>0</v>
      </c>
      <c r="I43" s="249" t="s">
        <v>1637</v>
      </c>
      <c r="J43" s="231"/>
      <c r="K43" s="231"/>
      <c r="L43" s="1339"/>
    </row>
    <row r="44" spans="1:12" ht="16.5" thickBot="1">
      <c r="A44" s="655"/>
      <c r="B44" s="237" t="s">
        <v>2011</v>
      </c>
      <c r="C44" s="237"/>
      <c r="D44" s="237"/>
      <c r="E44" s="483" t="s">
        <v>1348</v>
      </c>
      <c r="F44" s="752">
        <f>Sch1!F47</f>
        <v>0</v>
      </c>
      <c r="G44" s="249" t="s">
        <v>1350</v>
      </c>
      <c r="H44" s="813"/>
      <c r="I44" s="250"/>
      <c r="J44" s="231"/>
      <c r="K44" s="231"/>
      <c r="L44" s="1339"/>
    </row>
    <row r="45" spans="1:12" ht="16.5" thickBot="1">
      <c r="A45" s="655"/>
      <c r="B45" s="237" t="s">
        <v>184</v>
      </c>
      <c r="C45" s="237"/>
      <c r="D45" s="237"/>
      <c r="E45" s="231"/>
      <c r="F45" s="752">
        <f>MINA(1637,0.03*'T1 GEN-2-3-4'!K87)</f>
        <v>0</v>
      </c>
      <c r="G45" s="249" t="s">
        <v>1351</v>
      </c>
      <c r="H45" s="231"/>
      <c r="I45" s="250"/>
      <c r="J45" s="231"/>
      <c r="K45" s="231"/>
      <c r="L45" s="1339"/>
    </row>
    <row r="46" spans="1:12" ht="15.75">
      <c r="A46" s="655"/>
      <c r="B46" s="237" t="s">
        <v>374</v>
      </c>
      <c r="C46" s="237"/>
      <c r="D46" s="237"/>
      <c r="E46" s="231"/>
      <c r="F46" s="467">
        <f>MAXA(0,F44-F45)</f>
        <v>0</v>
      </c>
      <c r="G46" s="249" t="s">
        <v>1352</v>
      </c>
      <c r="H46" s="231"/>
      <c r="I46" s="250"/>
      <c r="J46" s="231"/>
      <c r="K46" s="231"/>
      <c r="L46" s="1339"/>
    </row>
    <row r="47" spans="1:12" ht="15.75">
      <c r="A47" s="655"/>
      <c r="B47" s="248" t="s">
        <v>919</v>
      </c>
      <c r="C47" s="248"/>
      <c r="D47" s="248"/>
      <c r="E47" s="231"/>
      <c r="F47" s="237"/>
      <c r="G47" s="249"/>
      <c r="H47" s="231"/>
      <c r="I47" s="250"/>
      <c r="J47" s="231"/>
      <c r="K47" s="231"/>
      <c r="L47" s="1339"/>
    </row>
    <row r="48" spans="1:12" ht="16.5" thickBot="1">
      <c r="A48" s="655"/>
      <c r="B48" s="234" t="s">
        <v>920</v>
      </c>
      <c r="C48" s="234"/>
      <c r="D48" s="243"/>
      <c r="E48" s="483" t="s">
        <v>375</v>
      </c>
      <c r="F48" s="752">
        <f>'NS WRK'!G77</f>
        <v>0</v>
      </c>
      <c r="G48" s="249" t="s">
        <v>1920</v>
      </c>
      <c r="H48" s="231"/>
      <c r="I48" s="250"/>
      <c r="J48" s="231"/>
      <c r="K48" s="231"/>
      <c r="L48" s="1339"/>
    </row>
    <row r="49" spans="1:12" ht="16.5" thickBot="1">
      <c r="A49" s="655"/>
      <c r="B49" s="237" t="s">
        <v>718</v>
      </c>
      <c r="C49" s="237"/>
      <c r="D49" s="237"/>
      <c r="E49" s="483" t="s">
        <v>376</v>
      </c>
      <c r="F49" s="467">
        <f>F46+F48</f>
        <v>0</v>
      </c>
      <c r="G49" s="1228" t="s">
        <v>1600</v>
      </c>
      <c r="H49" s="738">
        <f>F49</f>
        <v>0</v>
      </c>
      <c r="I49" s="249" t="s">
        <v>1921</v>
      </c>
      <c r="J49" s="231"/>
      <c r="K49" s="231"/>
      <c r="L49" s="1339"/>
    </row>
    <row r="50" spans="1:12" ht="15.75">
      <c r="A50" s="655"/>
      <c r="B50" s="234" t="s">
        <v>719</v>
      </c>
      <c r="C50" s="234"/>
      <c r="D50" s="234"/>
      <c r="E50" s="234"/>
      <c r="F50" s="234"/>
      <c r="G50" s="483" t="s">
        <v>377</v>
      </c>
      <c r="H50" s="467">
        <f>SUM(H20:H49)</f>
        <v>7231</v>
      </c>
      <c r="I50" s="1228" t="s">
        <v>1600</v>
      </c>
      <c r="J50" s="467">
        <f>H50</f>
        <v>7231</v>
      </c>
      <c r="K50" s="249" t="s">
        <v>1922</v>
      </c>
      <c r="L50" s="1339"/>
    </row>
    <row r="51" spans="1:12" ht="16.5" thickBot="1">
      <c r="A51" s="655"/>
      <c r="B51" s="234" t="s">
        <v>1309</v>
      </c>
      <c r="C51" s="234"/>
      <c r="D51" s="234"/>
      <c r="E51" s="234"/>
      <c r="F51" s="234"/>
      <c r="G51" s="234"/>
      <c r="H51" s="234"/>
      <c r="I51" s="250"/>
      <c r="J51" s="797">
        <v>0.0879</v>
      </c>
      <c r="K51" s="249" t="s">
        <v>1913</v>
      </c>
      <c r="L51" s="1339"/>
    </row>
    <row r="52" spans="1:12" ht="15.75">
      <c r="A52" s="655"/>
      <c r="B52" s="237" t="s">
        <v>720</v>
      </c>
      <c r="C52" s="237"/>
      <c r="D52" s="237"/>
      <c r="E52" s="237"/>
      <c r="F52" s="237"/>
      <c r="G52" s="237"/>
      <c r="H52" s="237"/>
      <c r="I52" s="483" t="s">
        <v>1918</v>
      </c>
      <c r="J52" s="467">
        <f>J50*J51</f>
        <v>635.6</v>
      </c>
      <c r="K52" s="249" t="s">
        <v>1914</v>
      </c>
      <c r="L52" s="1339"/>
    </row>
    <row r="53" spans="1:12" ht="15">
      <c r="A53" s="655"/>
      <c r="B53" s="231" t="s">
        <v>1310</v>
      </c>
      <c r="C53" s="231"/>
      <c r="D53" s="231"/>
      <c r="E53" s="231"/>
      <c r="F53" s="231"/>
      <c r="G53" s="231"/>
      <c r="H53" s="231"/>
      <c r="I53" s="250"/>
      <c r="J53" s="231"/>
      <c r="K53" s="231"/>
      <c r="L53" s="1339"/>
    </row>
    <row r="54" spans="1:12" ht="15.75">
      <c r="A54" s="655"/>
      <c r="B54" s="234" t="s">
        <v>1811</v>
      </c>
      <c r="C54" s="234"/>
      <c r="D54" s="234"/>
      <c r="E54" s="234"/>
      <c r="F54" s="467">
        <f>Sch9!E25</f>
        <v>0</v>
      </c>
      <c r="G54" s="484" t="s">
        <v>1318</v>
      </c>
      <c r="H54" s="467">
        <f>0.0879*F54</f>
        <v>0</v>
      </c>
      <c r="I54" s="249" t="s">
        <v>1915</v>
      </c>
      <c r="J54" s="231"/>
      <c r="K54" s="231"/>
      <c r="L54" s="1339"/>
    </row>
    <row r="55" spans="1:12" ht="16.5" thickBot="1">
      <c r="A55" s="655"/>
      <c r="B55" s="237" t="s">
        <v>1812</v>
      </c>
      <c r="C55" s="237"/>
      <c r="D55" s="237"/>
      <c r="E55" s="237"/>
      <c r="F55" s="657">
        <f>Sch9!E26</f>
        <v>0</v>
      </c>
      <c r="G55" s="484" t="s">
        <v>1319</v>
      </c>
      <c r="H55" s="752">
        <f>0.175*F55</f>
        <v>0</v>
      </c>
      <c r="I55" s="249" t="s">
        <v>1919</v>
      </c>
      <c r="J55" s="231"/>
      <c r="K55" s="231"/>
      <c r="L55" s="1339"/>
    </row>
    <row r="56" spans="1:12" ht="15.75">
      <c r="A56" s="655"/>
      <c r="B56" s="234" t="s">
        <v>721</v>
      </c>
      <c r="C56" s="234"/>
      <c r="D56" s="234"/>
      <c r="E56" s="234"/>
      <c r="F56" s="234"/>
      <c r="G56" s="483" t="s">
        <v>1916</v>
      </c>
      <c r="H56" s="467">
        <f>H54+H55</f>
        <v>0</v>
      </c>
      <c r="I56" s="1228" t="s">
        <v>1600</v>
      </c>
      <c r="J56" s="467">
        <f>H56</f>
        <v>0</v>
      </c>
      <c r="K56" s="249" t="s">
        <v>517</v>
      </c>
      <c r="L56" s="1339"/>
    </row>
    <row r="57" spans="1:12" ht="15">
      <c r="A57" s="655"/>
      <c r="B57" s="231"/>
      <c r="C57" s="231"/>
      <c r="D57" s="231"/>
      <c r="E57" s="231"/>
      <c r="F57" s="231"/>
      <c r="G57" s="231"/>
      <c r="H57" s="231"/>
      <c r="I57" s="250"/>
      <c r="J57" s="231"/>
      <c r="K57" s="231"/>
      <c r="L57" s="1339"/>
    </row>
    <row r="58" spans="1:12" ht="15.75">
      <c r="A58" s="655"/>
      <c r="B58" s="234" t="s">
        <v>722</v>
      </c>
      <c r="C58" s="234"/>
      <c r="D58" s="234"/>
      <c r="E58" s="234"/>
      <c r="F58" s="234"/>
      <c r="G58" s="234"/>
      <c r="H58" s="247" t="s">
        <v>185</v>
      </c>
      <c r="I58" s="483" t="s">
        <v>1917</v>
      </c>
      <c r="J58" s="740">
        <f>J52+J56</f>
        <v>635.6</v>
      </c>
      <c r="K58" s="249" t="s">
        <v>2171</v>
      </c>
      <c r="L58" s="1339"/>
    </row>
    <row r="59" spans="1:12" ht="23.25">
      <c r="A59" s="655"/>
      <c r="B59" s="231"/>
      <c r="C59" s="231"/>
      <c r="D59" s="231"/>
      <c r="E59" s="231"/>
      <c r="F59" s="231"/>
      <c r="G59" s="231"/>
      <c r="H59" s="231"/>
      <c r="I59" s="250"/>
      <c r="J59" s="251" t="s">
        <v>1923</v>
      </c>
      <c r="K59" s="253" t="s">
        <v>2233</v>
      </c>
      <c r="L59" s="1339"/>
    </row>
    <row r="60" spans="1:12" ht="20.25">
      <c r="A60" s="655"/>
      <c r="B60" s="232" t="s">
        <v>186</v>
      </c>
      <c r="C60" s="231"/>
      <c r="D60" s="231"/>
      <c r="E60" s="231"/>
      <c r="F60" s="231"/>
      <c r="G60" s="231"/>
      <c r="H60" s="231"/>
      <c r="I60" s="250"/>
      <c r="J60" s="231"/>
      <c r="K60" s="231"/>
      <c r="L60" s="1339"/>
    </row>
    <row r="61" spans="1:12" ht="17.25" customHeight="1">
      <c r="A61" s="655"/>
      <c r="B61" s="234" t="s">
        <v>1178</v>
      </c>
      <c r="C61" s="234"/>
      <c r="D61" s="234"/>
      <c r="E61" s="234"/>
      <c r="F61" s="234"/>
      <c r="G61" s="234"/>
      <c r="H61" s="234"/>
      <c r="I61" s="250"/>
      <c r="J61" s="467">
        <f>MAXA(D17,F17,H17,J17)</f>
        <v>0</v>
      </c>
      <c r="K61" s="249" t="s">
        <v>1954</v>
      </c>
      <c r="L61" s="1339"/>
    </row>
    <row r="62" spans="1:12" ht="16.5" thickBot="1">
      <c r="A62" s="655"/>
      <c r="B62" s="237" t="s">
        <v>1158</v>
      </c>
      <c r="C62" s="237"/>
      <c r="D62" s="237"/>
      <c r="E62" s="237"/>
      <c r="F62" s="237"/>
      <c r="G62" s="237"/>
      <c r="H62" s="237"/>
      <c r="I62" s="483" t="s">
        <v>2172</v>
      </c>
      <c r="J62" s="753"/>
      <c r="K62" s="972" t="s">
        <v>711</v>
      </c>
      <c r="L62" s="1339"/>
    </row>
    <row r="63" spans="1:12" ht="15.75">
      <c r="A63" s="655"/>
      <c r="B63" s="237" t="s">
        <v>723</v>
      </c>
      <c r="C63" s="237"/>
      <c r="D63" s="237"/>
      <c r="E63" s="237"/>
      <c r="F63" s="237"/>
      <c r="G63" s="237"/>
      <c r="H63" s="237"/>
      <c r="I63" s="250"/>
      <c r="J63" s="467">
        <f>J61+J62</f>
        <v>0</v>
      </c>
      <c r="K63" s="249" t="s">
        <v>1956</v>
      </c>
      <c r="L63" s="1339"/>
    </row>
    <row r="64" spans="1:12" ht="12.75" customHeight="1">
      <c r="A64" s="655"/>
      <c r="B64" s="231"/>
      <c r="C64" s="231"/>
      <c r="D64" s="231"/>
      <c r="E64" s="231"/>
      <c r="F64" s="231"/>
      <c r="G64" s="231"/>
      <c r="H64" s="231"/>
      <c r="I64" s="250"/>
      <c r="J64" s="231"/>
      <c r="K64" s="231"/>
      <c r="L64" s="1339"/>
    </row>
    <row r="65" spans="1:12" ht="15.75">
      <c r="A65" s="655"/>
      <c r="B65" s="234" t="s">
        <v>724</v>
      </c>
      <c r="C65" s="234"/>
      <c r="D65" s="234"/>
      <c r="E65" s="234"/>
      <c r="F65" s="234"/>
      <c r="G65" s="231"/>
      <c r="H65" s="467">
        <f>J58</f>
        <v>635.6</v>
      </c>
      <c r="I65" s="249" t="s">
        <v>647</v>
      </c>
      <c r="J65" s="231"/>
      <c r="K65" s="231"/>
      <c r="L65" s="1339"/>
    </row>
    <row r="66" spans="1:12" ht="15.75">
      <c r="A66" s="655"/>
      <c r="B66" s="231" t="s">
        <v>1553</v>
      </c>
      <c r="C66" s="231"/>
      <c r="D66" s="231"/>
      <c r="E66" s="231"/>
      <c r="F66" s="231"/>
      <c r="G66" s="231"/>
      <c r="H66" s="231"/>
      <c r="I66" s="249"/>
      <c r="J66" s="231"/>
      <c r="K66" s="231"/>
      <c r="L66" s="1339"/>
    </row>
    <row r="67" spans="1:12" ht="15.75">
      <c r="A67" s="655"/>
      <c r="B67" s="234" t="s">
        <v>732</v>
      </c>
      <c r="C67" s="234"/>
      <c r="D67" s="234"/>
      <c r="E67" s="234"/>
      <c r="F67" s="234"/>
      <c r="G67" s="483" t="s">
        <v>2174</v>
      </c>
      <c r="H67" s="467">
        <f>MAX('NS WRK'!I83,'NS WRK'!I91)</f>
        <v>0</v>
      </c>
      <c r="I67" s="249" t="s">
        <v>2177</v>
      </c>
      <c r="J67" s="231"/>
      <c r="K67" s="231"/>
      <c r="L67" s="1339"/>
    </row>
    <row r="68" spans="1:12" ht="15.75">
      <c r="A68" s="655"/>
      <c r="B68" s="231" t="s">
        <v>668</v>
      </c>
      <c r="C68" s="231"/>
      <c r="D68" s="231"/>
      <c r="E68" s="231"/>
      <c r="F68" s="231"/>
      <c r="G68" s="231"/>
      <c r="H68" s="231"/>
      <c r="I68" s="249"/>
      <c r="J68" s="231"/>
      <c r="K68" s="231"/>
      <c r="L68" s="1339"/>
    </row>
    <row r="69" spans="1:12" ht="15.75">
      <c r="A69" s="655"/>
      <c r="B69" s="234" t="s">
        <v>2194</v>
      </c>
      <c r="C69" s="234"/>
      <c r="D69" s="467">
        <f>Sch1!H66</f>
        <v>0</v>
      </c>
      <c r="E69" s="234"/>
      <c r="F69" s="234" t="s">
        <v>669</v>
      </c>
      <c r="G69" s="483" t="s">
        <v>2175</v>
      </c>
      <c r="H69" s="467">
        <f>0.575*D69</f>
        <v>0</v>
      </c>
      <c r="I69" s="972" t="s">
        <v>712</v>
      </c>
      <c r="J69" s="231"/>
      <c r="K69" s="231"/>
      <c r="L69" s="1339"/>
    </row>
    <row r="70" spans="1:12" ht="15.75">
      <c r="A70" s="655"/>
      <c r="B70" s="235" t="s">
        <v>670</v>
      </c>
      <c r="C70" s="235"/>
      <c r="D70" s="235"/>
      <c r="E70" s="235"/>
      <c r="F70" s="235"/>
      <c r="G70" s="231"/>
      <c r="H70" s="248"/>
      <c r="I70" s="249"/>
      <c r="J70" s="231"/>
      <c r="K70" s="231"/>
      <c r="L70" s="1339"/>
    </row>
    <row r="71" spans="1:12" ht="16.5" thickBot="1">
      <c r="A71" s="655"/>
      <c r="B71" s="234" t="s">
        <v>1082</v>
      </c>
      <c r="C71" s="234"/>
      <c r="D71" s="467">
        <f>Sch1!H67</f>
        <v>0</v>
      </c>
      <c r="E71" s="234"/>
      <c r="F71" s="231" t="s">
        <v>669</v>
      </c>
      <c r="G71" s="483" t="s">
        <v>2176</v>
      </c>
      <c r="H71" s="738">
        <f>0.575*D71</f>
        <v>0</v>
      </c>
      <c r="I71" s="972" t="s">
        <v>713</v>
      </c>
      <c r="J71" s="231"/>
      <c r="K71" s="231"/>
      <c r="L71" s="1339"/>
    </row>
    <row r="72" spans="1:12" ht="16.5" thickBot="1">
      <c r="A72" s="655"/>
      <c r="B72" s="237" t="s">
        <v>733</v>
      </c>
      <c r="C72" s="237"/>
      <c r="D72" s="237"/>
      <c r="E72" s="237"/>
      <c r="F72" s="237"/>
      <c r="G72" s="231"/>
      <c r="H72" s="467">
        <f>SUM(H65:H71)</f>
        <v>635.6</v>
      </c>
      <c r="I72" s="1228" t="s">
        <v>1600</v>
      </c>
      <c r="J72" s="738">
        <f>H72</f>
        <v>635.6</v>
      </c>
      <c r="K72" s="249" t="s">
        <v>651</v>
      </c>
      <c r="L72" s="1339"/>
    </row>
    <row r="73" spans="1:12" ht="15.75">
      <c r="A73" s="655"/>
      <c r="B73" s="234" t="s">
        <v>734</v>
      </c>
      <c r="C73" s="234"/>
      <c r="D73" s="237"/>
      <c r="E73" s="234"/>
      <c r="F73" s="231"/>
      <c r="G73" s="234"/>
      <c r="H73" s="234"/>
      <c r="I73" s="250"/>
      <c r="J73" s="467">
        <f>MAXA(0,J63-J72)</f>
        <v>0</v>
      </c>
      <c r="K73" s="249" t="s">
        <v>2179</v>
      </c>
      <c r="L73" s="1339"/>
    </row>
    <row r="74" spans="1:12" ht="15.75">
      <c r="A74" s="655"/>
      <c r="B74" s="248" t="s">
        <v>1160</v>
      </c>
      <c r="C74" s="248"/>
      <c r="D74" s="248"/>
      <c r="E74" s="248"/>
      <c r="F74" s="248"/>
      <c r="G74" s="248"/>
      <c r="H74" s="248"/>
      <c r="I74" s="250"/>
      <c r="J74" s="248"/>
      <c r="K74" s="249"/>
      <c r="L74" s="1339"/>
    </row>
    <row r="75" spans="1:12" ht="16.5" thickBot="1">
      <c r="A75" s="655"/>
      <c r="B75" s="234" t="s">
        <v>1159</v>
      </c>
      <c r="C75" s="234"/>
      <c r="D75" s="165"/>
      <c r="E75" s="234"/>
      <c r="F75" s="231" t="s">
        <v>669</v>
      </c>
      <c r="G75" s="235"/>
      <c r="H75" s="235"/>
      <c r="I75" s="250"/>
      <c r="J75" s="738">
        <f>D75*0.575</f>
        <v>0</v>
      </c>
      <c r="K75" s="249" t="s">
        <v>2180</v>
      </c>
      <c r="L75" s="1339"/>
    </row>
    <row r="76" spans="1:12" ht="15.75">
      <c r="A76" s="655"/>
      <c r="B76" s="237" t="s">
        <v>996</v>
      </c>
      <c r="C76" s="237"/>
      <c r="D76" s="237"/>
      <c r="E76" s="237"/>
      <c r="F76" s="237"/>
      <c r="G76" s="237"/>
      <c r="H76" s="237"/>
      <c r="I76" s="250"/>
      <c r="J76" s="467">
        <f>J73+J75</f>
        <v>0</v>
      </c>
      <c r="K76" s="249" t="s">
        <v>2181</v>
      </c>
      <c r="L76" s="1339"/>
    </row>
    <row r="77" spans="1:12" ht="15.75">
      <c r="A77" s="655"/>
      <c r="B77" s="248" t="s">
        <v>671</v>
      </c>
      <c r="C77" s="248"/>
      <c r="D77" s="248"/>
      <c r="E77" s="248"/>
      <c r="F77" s="248"/>
      <c r="G77" s="248"/>
      <c r="H77" s="248"/>
      <c r="I77" s="250"/>
      <c r="J77" s="248"/>
      <c r="K77" s="249"/>
      <c r="L77" s="1339"/>
    </row>
    <row r="78" spans="1:12" ht="16.5" thickBot="1">
      <c r="A78" s="655"/>
      <c r="B78" s="234" t="s">
        <v>735</v>
      </c>
      <c r="C78" s="467">
        <f>J76</f>
        <v>0</v>
      </c>
      <c r="D78" s="234" t="s">
        <v>1161</v>
      </c>
      <c r="E78" s="234"/>
      <c r="F78" s="234"/>
      <c r="G78" s="234"/>
      <c r="H78" s="234"/>
      <c r="I78" s="250"/>
      <c r="J78" s="738">
        <f>0.1*MAXA(0,C78-10000)</f>
        <v>0</v>
      </c>
      <c r="K78" s="249" t="s">
        <v>2182</v>
      </c>
      <c r="L78" s="1339"/>
    </row>
    <row r="79" spans="1:12" ht="15.75">
      <c r="A79" s="655"/>
      <c r="B79" s="237" t="s">
        <v>736</v>
      </c>
      <c r="C79" s="237"/>
      <c r="D79" s="237"/>
      <c r="E79" s="237"/>
      <c r="F79" s="237"/>
      <c r="G79" s="237"/>
      <c r="H79" s="237"/>
      <c r="I79" s="250"/>
      <c r="J79" s="467">
        <f>J76+J78</f>
        <v>0</v>
      </c>
      <c r="K79" s="249" t="s">
        <v>2183</v>
      </c>
      <c r="L79" s="1339"/>
    </row>
    <row r="80" spans="1:12" ht="16.5" thickBot="1">
      <c r="A80" s="655"/>
      <c r="B80" s="237" t="s">
        <v>990</v>
      </c>
      <c r="C80" s="237"/>
      <c r="D80" s="237"/>
      <c r="E80" s="237"/>
      <c r="F80" s="237"/>
      <c r="G80" s="237"/>
      <c r="H80" s="237"/>
      <c r="I80" s="250"/>
      <c r="J80" s="753"/>
      <c r="K80" s="249" t="s">
        <v>652</v>
      </c>
      <c r="L80" s="1339"/>
    </row>
    <row r="81" spans="1:12" ht="15.75">
      <c r="A81" s="655"/>
      <c r="B81" s="237" t="s">
        <v>737</v>
      </c>
      <c r="C81" s="237"/>
      <c r="D81" s="237"/>
      <c r="E81" s="237"/>
      <c r="F81" s="237"/>
      <c r="G81" s="237"/>
      <c r="H81" s="237"/>
      <c r="I81" s="250"/>
      <c r="J81" s="467">
        <f>J79-J80</f>
        <v>0</v>
      </c>
      <c r="K81" s="249" t="s">
        <v>654</v>
      </c>
      <c r="L81" s="1339"/>
    </row>
    <row r="82" spans="1:12" ht="23.25" customHeight="1">
      <c r="A82" s="655"/>
      <c r="B82" s="266" t="s">
        <v>446</v>
      </c>
      <c r="C82" s="235"/>
      <c r="D82" s="235"/>
      <c r="E82" s="235"/>
      <c r="F82" s="235"/>
      <c r="G82" s="235"/>
      <c r="H82" s="235"/>
      <c r="I82" s="250"/>
      <c r="J82" s="235"/>
      <c r="K82" s="249"/>
      <c r="L82" s="1339"/>
    </row>
    <row r="83" spans="1:12" ht="15" customHeight="1">
      <c r="A83" s="655"/>
      <c r="B83" s="235" t="str">
        <f>"If you had a spouse or common-law partner on December 31, "&amp;yeartext&amp;", you have to agree on who will claim the"</f>
        <v>If you had a spouse or common-law partner on December 31, 2006, you have to agree on who will claim the</v>
      </c>
      <c r="C83" s="235"/>
      <c r="D83" s="235"/>
      <c r="E83" s="235"/>
      <c r="F83" s="235"/>
      <c r="G83" s="235"/>
      <c r="H83" s="235"/>
      <c r="I83" s="250"/>
      <c r="J83" s="482"/>
      <c r="K83" s="249"/>
      <c r="L83" s="1339"/>
    </row>
    <row r="84" spans="1:12" ht="15.75">
      <c r="A84" s="655"/>
      <c r="B84" s="235" t="s">
        <v>738</v>
      </c>
      <c r="C84" s="235"/>
      <c r="D84" s="235"/>
      <c r="E84" s="235"/>
      <c r="F84" s="235"/>
      <c r="G84" s="235"/>
      <c r="H84" s="235"/>
      <c r="I84" s="250"/>
      <c r="J84" s="231"/>
      <c r="K84" s="249"/>
      <c r="L84" s="1339"/>
    </row>
    <row r="85" spans="1:12" ht="18.75" customHeight="1">
      <c r="A85" s="655"/>
      <c r="B85" s="234" t="s">
        <v>154</v>
      </c>
      <c r="C85" s="234"/>
      <c r="D85" s="234"/>
      <c r="E85" s="234"/>
      <c r="F85" s="241" t="s">
        <v>1743</v>
      </c>
      <c r="G85" s="483">
        <v>6195</v>
      </c>
      <c r="H85" s="165">
        <v>300</v>
      </c>
      <c r="I85" s="249" t="s">
        <v>2184</v>
      </c>
      <c r="J85" s="231"/>
      <c r="K85" s="249"/>
      <c r="L85" s="1339"/>
    </row>
    <row r="86" spans="1:12" ht="15.75">
      <c r="A86" s="655"/>
      <c r="B86" s="237" t="s">
        <v>1744</v>
      </c>
      <c r="C86" s="237"/>
      <c r="D86" s="237"/>
      <c r="E86" s="237"/>
      <c r="F86" s="241" t="s">
        <v>1743</v>
      </c>
      <c r="G86" s="483">
        <v>6197</v>
      </c>
      <c r="H86" s="165">
        <f>IF('T1 GEN-1'!S28="",0,300)</f>
        <v>0</v>
      </c>
      <c r="I86" s="249" t="s">
        <v>2185</v>
      </c>
      <c r="J86" s="231"/>
      <c r="K86" s="249"/>
      <c r="L86" s="1339"/>
    </row>
    <row r="87" spans="1:12" ht="6" customHeight="1">
      <c r="A87" s="655"/>
      <c r="B87" s="235"/>
      <c r="C87" s="235"/>
      <c r="D87" s="235"/>
      <c r="E87" s="235"/>
      <c r="F87" s="235"/>
      <c r="G87" s="235"/>
      <c r="H87" s="235"/>
      <c r="I87" s="250"/>
      <c r="J87" s="231"/>
      <c r="K87" s="249"/>
      <c r="L87" s="1339"/>
    </row>
    <row r="88" spans="1:12" ht="15.75">
      <c r="A88" s="655"/>
      <c r="B88" s="234" t="s">
        <v>1745</v>
      </c>
      <c r="C88" s="234"/>
      <c r="D88" s="234"/>
      <c r="E88" s="234"/>
      <c r="F88" s="241" t="s">
        <v>1743</v>
      </c>
      <c r="G88" s="483">
        <v>6199</v>
      </c>
      <c r="H88" s="165">
        <f>IF(QUAL!E13="YES",300,0)</f>
        <v>0</v>
      </c>
      <c r="I88" s="249" t="s">
        <v>2186</v>
      </c>
      <c r="J88" s="231"/>
      <c r="K88" s="249"/>
      <c r="L88" s="1339"/>
    </row>
    <row r="89" spans="1:12" ht="15.75">
      <c r="A89" s="655"/>
      <c r="B89" s="235" t="str">
        <f>"Reduction for dependent children born in "&amp;year18text&amp;" or later:"</f>
        <v>Reduction for dependent children born in 1988 or later:</v>
      </c>
      <c r="C89" s="235"/>
      <c r="D89" s="235"/>
      <c r="E89" s="235"/>
      <c r="F89" s="235"/>
      <c r="G89" s="235"/>
      <c r="H89" s="485"/>
      <c r="I89" s="250"/>
      <c r="J89" s="231"/>
      <c r="K89" s="249"/>
      <c r="L89" s="1339"/>
    </row>
    <row r="90" spans="1:12" ht="16.5" thickBot="1">
      <c r="A90" s="655"/>
      <c r="B90" s="234"/>
      <c r="C90" s="234"/>
      <c r="D90" s="241" t="s">
        <v>1746</v>
      </c>
      <c r="E90" s="483" t="s">
        <v>1747</v>
      </c>
      <c r="F90" s="486">
        <f>numchildren18andless</f>
        <v>0</v>
      </c>
      <c r="G90" s="245" t="s">
        <v>1748</v>
      </c>
      <c r="H90" s="738">
        <f>F90*165</f>
        <v>0</v>
      </c>
      <c r="I90" s="249" t="s">
        <v>2187</v>
      </c>
      <c r="J90" s="231"/>
      <c r="K90" s="249"/>
      <c r="L90" s="1339"/>
    </row>
    <row r="91" spans="1:12" ht="15.75">
      <c r="A91" s="655"/>
      <c r="B91" s="234" t="s">
        <v>739</v>
      </c>
      <c r="C91" s="234"/>
      <c r="D91" s="234"/>
      <c r="E91" s="234"/>
      <c r="F91" s="234"/>
      <c r="G91" s="235"/>
      <c r="H91" s="467">
        <f>SUM(H85:H90)</f>
        <v>300</v>
      </c>
      <c r="I91" s="249" t="s">
        <v>2188</v>
      </c>
      <c r="J91" s="231"/>
      <c r="K91" s="249"/>
      <c r="L91" s="1339"/>
    </row>
    <row r="92" spans="1:12" ht="15.75" customHeight="1">
      <c r="A92" s="655"/>
      <c r="B92" s="234" t="s">
        <v>1749</v>
      </c>
      <c r="C92" s="234"/>
      <c r="D92" s="234"/>
      <c r="E92" s="235"/>
      <c r="F92" s="467">
        <f>'T1 GEN-2-3-4'!K87</f>
        <v>0</v>
      </c>
      <c r="G92" s="249" t="s">
        <v>2189</v>
      </c>
      <c r="H92" s="235"/>
      <c r="I92" s="250"/>
      <c r="J92" s="231"/>
      <c r="K92" s="249"/>
      <c r="L92" s="1339"/>
    </row>
    <row r="93" spans="1:12" ht="15.75">
      <c r="A93" s="655"/>
      <c r="B93" s="235" t="s">
        <v>53</v>
      </c>
      <c r="C93" s="235"/>
      <c r="D93" s="235"/>
      <c r="E93" s="235"/>
      <c r="F93" s="235"/>
      <c r="G93" s="235"/>
      <c r="H93" s="235"/>
      <c r="I93" s="250"/>
      <c r="J93" s="231"/>
      <c r="K93" s="249"/>
      <c r="L93" s="1339"/>
    </row>
    <row r="94" spans="1:12" ht="16.5" thickBot="1">
      <c r="A94" s="655"/>
      <c r="B94" s="234" t="s">
        <v>1750</v>
      </c>
      <c r="C94" s="234"/>
      <c r="D94" s="234"/>
      <c r="E94" s="235"/>
      <c r="F94" s="738">
        <f>'T1 GEN-1'!U30</f>
        <v>0</v>
      </c>
      <c r="G94" s="249" t="s">
        <v>2190</v>
      </c>
      <c r="H94" s="235"/>
      <c r="I94" s="250"/>
      <c r="J94" s="231"/>
      <c r="K94" s="249"/>
      <c r="L94" s="1339"/>
    </row>
    <row r="95" spans="1:12" ht="15.75">
      <c r="A95" s="655"/>
      <c r="B95" s="237" t="s">
        <v>740</v>
      </c>
      <c r="C95" s="237"/>
      <c r="D95" s="237"/>
      <c r="E95" s="235"/>
      <c r="F95" s="467">
        <f>F92+F94</f>
        <v>0</v>
      </c>
      <c r="G95" s="249" t="s">
        <v>2191</v>
      </c>
      <c r="H95" s="235"/>
      <c r="I95" s="250"/>
      <c r="J95" s="231"/>
      <c r="K95" s="249"/>
      <c r="L95" s="1339"/>
    </row>
    <row r="96" spans="1:12" ht="15.75">
      <c r="A96" s="655"/>
      <c r="B96" s="248" t="s">
        <v>73</v>
      </c>
      <c r="C96" s="248"/>
      <c r="D96" s="248"/>
      <c r="E96" s="235"/>
      <c r="F96" s="235"/>
      <c r="G96" s="249"/>
      <c r="H96" s="235"/>
      <c r="I96" s="250"/>
      <c r="J96" s="231"/>
      <c r="K96" s="249"/>
      <c r="L96" s="1339"/>
    </row>
    <row r="97" spans="1:12" ht="15.75">
      <c r="A97" s="655"/>
      <c r="B97" s="235" t="s">
        <v>741</v>
      </c>
      <c r="C97" s="235"/>
      <c r="D97" s="235"/>
      <c r="E97" s="235"/>
      <c r="F97" s="235"/>
      <c r="G97" s="249"/>
      <c r="H97" s="235"/>
      <c r="I97" s="250"/>
      <c r="J97" s="231"/>
      <c r="K97" s="249"/>
      <c r="L97" s="1339"/>
    </row>
    <row r="98" spans="1:12" ht="15.75">
      <c r="A98" s="655"/>
      <c r="B98" s="234" t="s">
        <v>742</v>
      </c>
      <c r="C98" s="234"/>
      <c r="D98" s="234"/>
      <c r="E98" s="235"/>
      <c r="F98" s="165">
        <f>MAX('T1 GEN-2-3-4'!I20,'T1 GEN-1'!U34)</f>
        <v>0</v>
      </c>
      <c r="G98" s="249" t="s">
        <v>2192</v>
      </c>
      <c r="H98" s="235"/>
      <c r="I98" s="250"/>
      <c r="J98" s="231"/>
      <c r="K98" s="249"/>
      <c r="L98" s="1339"/>
    </row>
    <row r="99" spans="1:12" ht="15.75">
      <c r="A99" s="655"/>
      <c r="B99" s="237" t="s">
        <v>743</v>
      </c>
      <c r="C99" s="237"/>
      <c r="D99" s="237"/>
      <c r="E99" s="235"/>
      <c r="F99" s="467">
        <f>F95-F98</f>
        <v>0</v>
      </c>
      <c r="G99" s="249" t="s">
        <v>2193</v>
      </c>
      <c r="H99" s="235"/>
      <c r="I99" s="250"/>
      <c r="J99" s="231"/>
      <c r="K99" s="249"/>
      <c r="L99" s="1339"/>
    </row>
    <row r="100" spans="1:12" ht="16.5" thickBot="1">
      <c r="A100" s="655"/>
      <c r="B100" s="237" t="s">
        <v>1556</v>
      </c>
      <c r="C100" s="237"/>
      <c r="D100" s="237"/>
      <c r="E100" s="235"/>
      <c r="F100" s="738">
        <v>15000</v>
      </c>
      <c r="G100" s="249" t="s">
        <v>926</v>
      </c>
      <c r="H100" s="235"/>
      <c r="I100" s="250"/>
      <c r="J100" s="231"/>
      <c r="K100" s="249"/>
      <c r="L100" s="1339"/>
    </row>
    <row r="101" spans="1:12" ht="15.75">
      <c r="A101" s="655"/>
      <c r="B101" s="237" t="s">
        <v>744</v>
      </c>
      <c r="C101" s="237"/>
      <c r="D101" s="237"/>
      <c r="E101" s="235"/>
      <c r="F101" s="467">
        <f>MAXA(0,F99-F100)</f>
        <v>0</v>
      </c>
      <c r="G101" s="249" t="s">
        <v>927</v>
      </c>
      <c r="H101" s="235"/>
      <c r="I101" s="250"/>
      <c r="J101" s="231"/>
      <c r="K101" s="249"/>
      <c r="L101" s="1339"/>
    </row>
    <row r="102" spans="1:12" ht="16.5" thickBot="1">
      <c r="A102" s="655"/>
      <c r="B102" s="237" t="s">
        <v>1621</v>
      </c>
      <c r="C102" s="237"/>
      <c r="D102" s="237"/>
      <c r="E102" s="235"/>
      <c r="F102" s="801">
        <v>0.05</v>
      </c>
      <c r="G102" s="249" t="s">
        <v>928</v>
      </c>
      <c r="H102" s="235"/>
      <c r="I102" s="250"/>
      <c r="J102" s="231"/>
      <c r="K102" s="249"/>
      <c r="L102" s="1339"/>
    </row>
    <row r="103" spans="1:12" ht="16.5" thickBot="1">
      <c r="A103" s="655"/>
      <c r="B103" s="237" t="s">
        <v>1672</v>
      </c>
      <c r="C103" s="237"/>
      <c r="D103" s="237"/>
      <c r="E103" s="235"/>
      <c r="F103" s="467">
        <f>F101*F102</f>
        <v>0</v>
      </c>
      <c r="G103" s="1228" t="s">
        <v>1600</v>
      </c>
      <c r="H103" s="738">
        <f>F103</f>
        <v>0</v>
      </c>
      <c r="I103" s="249" t="s">
        <v>929</v>
      </c>
      <c r="J103" s="231"/>
      <c r="K103" s="249"/>
      <c r="L103" s="1339"/>
    </row>
    <row r="104" spans="1:12" ht="15.75">
      <c r="A104" s="655"/>
      <c r="B104" s="235" t="s">
        <v>1673</v>
      </c>
      <c r="C104" s="235"/>
      <c r="D104" s="235"/>
      <c r="E104" s="235"/>
      <c r="F104" s="235"/>
      <c r="G104" s="235"/>
      <c r="H104" s="235"/>
      <c r="I104" s="250"/>
      <c r="J104" s="231"/>
      <c r="K104" s="249"/>
      <c r="L104" s="1339"/>
    </row>
    <row r="105" spans="1:12" ht="16.5" thickBot="1">
      <c r="A105" s="655"/>
      <c r="B105" s="234"/>
      <c r="C105" s="234"/>
      <c r="D105" s="234"/>
      <c r="E105" s="234"/>
      <c r="F105" s="247" t="s">
        <v>446</v>
      </c>
      <c r="G105" s="235"/>
      <c r="H105" s="657">
        <f>MAXA(0,H91-H103)</f>
        <v>300</v>
      </c>
      <c r="I105" s="1228" t="s">
        <v>1600</v>
      </c>
      <c r="J105" s="738">
        <f>H105</f>
        <v>300</v>
      </c>
      <c r="K105" s="249" t="s">
        <v>930</v>
      </c>
      <c r="L105" s="1339"/>
    </row>
    <row r="106" spans="1:12" ht="15.75">
      <c r="A106" s="655"/>
      <c r="B106" s="234" t="s">
        <v>1674</v>
      </c>
      <c r="C106" s="234"/>
      <c r="D106" s="234"/>
      <c r="E106" s="234"/>
      <c r="F106" s="234"/>
      <c r="G106" s="234"/>
      <c r="H106" s="234"/>
      <c r="I106" s="250"/>
      <c r="J106" s="657">
        <f>J81-J105</f>
        <v>-300</v>
      </c>
      <c r="K106" s="249" t="s">
        <v>946</v>
      </c>
      <c r="L106" s="1339"/>
    </row>
    <row r="107" spans="1:12" ht="16.5" customHeight="1">
      <c r="A107" s="655"/>
      <c r="B107" s="265" t="s">
        <v>745</v>
      </c>
      <c r="C107" s="235"/>
      <c r="D107" s="235"/>
      <c r="E107" s="235"/>
      <c r="F107" s="235"/>
      <c r="G107" s="235"/>
      <c r="H107" s="235"/>
      <c r="I107" s="250"/>
      <c r="J107" s="231"/>
      <c r="K107" s="249"/>
      <c r="L107" s="1339"/>
    </row>
    <row r="108" spans="1:12" ht="15.75">
      <c r="A108" s="655"/>
      <c r="B108" s="235" t="s">
        <v>1675</v>
      </c>
      <c r="C108" s="235"/>
      <c r="D108" s="235"/>
      <c r="E108" s="235"/>
      <c r="F108" s="235"/>
      <c r="G108" s="483">
        <v>6210</v>
      </c>
      <c r="H108" s="235"/>
      <c r="I108" s="249" t="s">
        <v>945</v>
      </c>
      <c r="J108" s="231"/>
      <c r="K108" s="249"/>
      <c r="L108" s="1339"/>
    </row>
    <row r="109" spans="1:12" ht="15.75">
      <c r="A109" s="655"/>
      <c r="B109" s="237" t="s">
        <v>1676</v>
      </c>
      <c r="C109" s="237"/>
      <c r="D109" s="237"/>
      <c r="E109" s="237"/>
      <c r="F109" s="237"/>
      <c r="G109" s="237"/>
      <c r="H109" s="471" t="s">
        <v>936</v>
      </c>
      <c r="I109" s="250"/>
      <c r="J109" s="657">
        <f>'NS WRK'!I99</f>
        <v>0</v>
      </c>
      <c r="K109" s="249" t="s">
        <v>947</v>
      </c>
      <c r="L109" s="1339"/>
    </row>
    <row r="110" spans="1:12" ht="15.75">
      <c r="A110" s="655"/>
      <c r="B110" s="237" t="s">
        <v>1701</v>
      </c>
      <c r="C110" s="237"/>
      <c r="D110" s="237"/>
      <c r="E110" s="237"/>
      <c r="F110" s="237"/>
      <c r="G110" s="237"/>
      <c r="H110" s="237"/>
      <c r="I110" s="250"/>
      <c r="J110" s="657">
        <f>MAX(0,J106-J109)</f>
        <v>0</v>
      </c>
      <c r="K110" s="249" t="s">
        <v>948</v>
      </c>
      <c r="L110" s="1339"/>
    </row>
    <row r="111" spans="1:12" ht="19.5" customHeight="1">
      <c r="A111" s="655"/>
      <c r="B111" s="265" t="s">
        <v>1677</v>
      </c>
      <c r="C111" s="235"/>
      <c r="D111" s="235"/>
      <c r="E111" s="235"/>
      <c r="F111" s="235"/>
      <c r="G111" s="235"/>
      <c r="H111" s="235"/>
      <c r="I111" s="250"/>
      <c r="J111" s="231"/>
      <c r="K111" s="249"/>
      <c r="L111" s="1339"/>
    </row>
    <row r="112" spans="1:12" ht="15.75">
      <c r="A112" s="655"/>
      <c r="B112" s="234" t="s">
        <v>1783</v>
      </c>
      <c r="C112" s="234"/>
      <c r="D112" s="234"/>
      <c r="E112" s="234"/>
      <c r="F112" s="165"/>
      <c r="G112" s="234"/>
      <c r="H112" s="1261" t="s">
        <v>1684</v>
      </c>
      <c r="I112" s="483">
        <v>6238</v>
      </c>
      <c r="J112" s="657">
        <f>MIN(1000,F112*0.2)</f>
        <v>0</v>
      </c>
      <c r="K112" s="972" t="s">
        <v>1687</v>
      </c>
      <c r="L112" s="1339"/>
    </row>
    <row r="113" spans="1:12" ht="15.75">
      <c r="A113" s="655"/>
      <c r="B113" s="237" t="s">
        <v>1678</v>
      </c>
      <c r="C113" s="237"/>
      <c r="D113" s="237"/>
      <c r="E113" s="237"/>
      <c r="F113" s="237"/>
      <c r="G113" s="237"/>
      <c r="H113" s="237"/>
      <c r="I113" s="250"/>
      <c r="J113" s="657">
        <f>MAX(0,J110-J112)</f>
        <v>0</v>
      </c>
      <c r="K113" s="249" t="s">
        <v>2220</v>
      </c>
      <c r="L113" s="1339"/>
    </row>
    <row r="114" spans="1:12" ht="20.25" customHeight="1">
      <c r="A114" s="655"/>
      <c r="B114" s="265" t="s">
        <v>1679</v>
      </c>
      <c r="C114" s="235"/>
      <c r="D114" s="235"/>
      <c r="E114" s="235"/>
      <c r="F114" s="235"/>
      <c r="G114" s="235"/>
      <c r="H114" s="235"/>
      <c r="I114" s="250"/>
      <c r="J114" s="231"/>
      <c r="K114" s="249"/>
      <c r="L114" s="1339"/>
    </row>
    <row r="115" spans="1:12" ht="15.75">
      <c r="A115" s="655"/>
      <c r="B115" s="235" t="s">
        <v>1680</v>
      </c>
      <c r="C115" s="235"/>
      <c r="D115" s="235"/>
      <c r="E115" s="235"/>
      <c r="F115" s="235"/>
      <c r="G115" s="235"/>
      <c r="H115" s="235" t="s">
        <v>1685</v>
      </c>
      <c r="I115" s="483">
        <v>6377</v>
      </c>
      <c r="J115" s="165"/>
      <c r="K115" s="249" t="s">
        <v>2222</v>
      </c>
      <c r="L115" s="1339"/>
    </row>
    <row r="116" spans="1:12" ht="15.75">
      <c r="A116" s="655"/>
      <c r="B116" s="237" t="s">
        <v>1681</v>
      </c>
      <c r="C116" s="237"/>
      <c r="D116" s="237"/>
      <c r="E116" s="237"/>
      <c r="F116" s="237"/>
      <c r="G116" s="237"/>
      <c r="H116" s="237"/>
      <c r="I116" s="250"/>
      <c r="J116" s="657">
        <f>MAX(0,J113-J115)</f>
        <v>0</v>
      </c>
      <c r="K116" s="249" t="s">
        <v>1686</v>
      </c>
      <c r="L116" s="1339"/>
    </row>
    <row r="117" spans="1:12" ht="18" customHeight="1">
      <c r="A117" s="655"/>
      <c r="B117" s="265" t="s">
        <v>410</v>
      </c>
      <c r="C117" s="235"/>
      <c r="D117" s="235"/>
      <c r="E117" s="235"/>
      <c r="F117" s="235"/>
      <c r="G117" s="235"/>
      <c r="H117" s="235"/>
      <c r="I117" s="250"/>
      <c r="J117" s="231"/>
      <c r="K117" s="249"/>
      <c r="L117" s="1339"/>
    </row>
    <row r="118" spans="1:12" ht="15.75">
      <c r="A118" s="655"/>
      <c r="B118" s="234" t="s">
        <v>1682</v>
      </c>
      <c r="C118" s="234"/>
      <c r="D118" s="234"/>
      <c r="E118" s="234"/>
      <c r="F118" s="234"/>
      <c r="G118" s="234"/>
      <c r="H118" s="234"/>
      <c r="I118" s="250"/>
      <c r="J118" s="165"/>
      <c r="K118" s="249" t="s">
        <v>2224</v>
      </c>
      <c r="L118" s="1339"/>
    </row>
    <row r="119" spans="1:12" ht="15.75">
      <c r="A119" s="655"/>
      <c r="B119" s="235" t="s">
        <v>1683</v>
      </c>
      <c r="C119" s="235"/>
      <c r="D119" s="235"/>
      <c r="E119" s="235"/>
      <c r="F119" s="235"/>
      <c r="G119" s="235"/>
      <c r="H119" s="235"/>
      <c r="I119" s="250"/>
      <c r="J119" s="231"/>
      <c r="K119" s="249"/>
      <c r="L119" s="1339"/>
    </row>
    <row r="120" spans="1:12" ht="15.75">
      <c r="A120" s="655"/>
      <c r="B120" s="234" t="s">
        <v>1981</v>
      </c>
      <c r="C120" s="234"/>
      <c r="D120" s="234"/>
      <c r="E120" s="234"/>
      <c r="F120" s="234"/>
      <c r="G120" s="234"/>
      <c r="H120" s="247" t="s">
        <v>667</v>
      </c>
      <c r="I120" s="250"/>
      <c r="J120" s="740">
        <f>MAXA(0,J116-J118)</f>
        <v>0</v>
      </c>
      <c r="K120" s="249" t="s">
        <v>2228</v>
      </c>
      <c r="L120" s="1339"/>
    </row>
    <row r="121" spans="1:12" ht="15.75">
      <c r="A121" s="655"/>
      <c r="B121" s="235"/>
      <c r="C121" s="235"/>
      <c r="D121" s="235"/>
      <c r="E121" s="235"/>
      <c r="F121" s="235"/>
      <c r="G121" s="235"/>
      <c r="H121" s="235"/>
      <c r="I121" s="250"/>
      <c r="J121" s="231"/>
      <c r="K121" s="249"/>
      <c r="L121" s="1339"/>
    </row>
    <row r="122" spans="1:12" ht="15.75">
      <c r="A122" s="655"/>
      <c r="B122" s="235"/>
      <c r="C122" s="235"/>
      <c r="D122" s="235"/>
      <c r="E122" s="235"/>
      <c r="F122" s="235"/>
      <c r="G122" s="235"/>
      <c r="H122" s="235"/>
      <c r="I122" s="250"/>
      <c r="J122" s="231"/>
      <c r="K122" s="249"/>
      <c r="L122" s="1339"/>
    </row>
  </sheetData>
  <sheetProtection password="EC35" sheet="1" objects="1" scenarios="1"/>
  <mergeCells count="1">
    <mergeCell ref="L1:L122"/>
  </mergeCells>
  <dataValidations count="1">
    <dataValidation type="whole" operator="greaterThanOrEqual" allowBlank="1" showInputMessage="1" showErrorMessage="1" errorTitle="Data Entry Error" error="Only positive integer number allowed." sqref="F90">
      <formula1>0</formula1>
    </dataValidation>
  </dataValidations>
  <hyperlinks>
    <hyperlink ref="L1:L122" location="'GO TO'!B21" display=" "/>
  </hyperlinks>
  <printOptions horizontalCentered="1"/>
  <pageMargins left="0.11811023622047245" right="0.11811023622047245" top="0.1968503937007874" bottom="0.03937007874015748" header="0.5118110236220472" footer="0.03937007874015748"/>
  <pageSetup fitToHeight="0" fitToWidth="1" horizontalDpi="600" verticalDpi="600" orientation="portrait" scale="75" r:id="rId4"/>
  <headerFooter alignWithMargins="0">
    <oddFooter>&amp;L5003-C
</oddFooter>
  </headerFooter>
  <rowBreaks count="1" manualBreakCount="1">
    <brk id="59" max="10" man="1"/>
  </rowBreaks>
  <drawing r:id="rId3"/>
  <legacyDrawing r:id="rId2"/>
</worksheet>
</file>

<file path=xl/worksheets/sheet11.xml><?xml version="1.0" encoding="utf-8"?>
<worksheet xmlns="http://schemas.openxmlformats.org/spreadsheetml/2006/main" xmlns:r="http://schemas.openxmlformats.org/officeDocument/2006/relationships">
  <sheetPr codeName="Sheet93" transitionEvaluation="1">
    <pageSetUpPr fitToPage="1"/>
  </sheetPr>
  <dimension ref="A1:K14"/>
  <sheetViews>
    <sheetView showGridLines="0" zoomScale="75" zoomScaleNormal="75" workbookViewId="0" topLeftCell="A1">
      <selection activeCell="A2" sqref="A2"/>
    </sheetView>
  </sheetViews>
  <sheetFormatPr defaultColWidth="9.77734375" defaultRowHeight="15"/>
  <cols>
    <col min="1" max="1" width="24.4453125" style="619" customWidth="1"/>
    <col min="2" max="2" width="6.77734375" style="619" customWidth="1"/>
    <col min="3" max="3" width="12.77734375" style="619" customWidth="1"/>
    <col min="4" max="4" width="6.77734375" style="619" customWidth="1"/>
    <col min="5" max="5" width="12.77734375" style="619" customWidth="1"/>
    <col min="6" max="6" width="6.77734375" style="619" customWidth="1"/>
    <col min="7" max="7" width="12.77734375" style="619" customWidth="1"/>
    <col min="8" max="8" width="6.77734375" style="619" customWidth="1"/>
    <col min="9" max="9" width="12.77734375" style="619" customWidth="1"/>
    <col min="10" max="10" width="5.77734375" style="619" customWidth="1"/>
    <col min="11" max="16384" width="9.77734375" style="619" customWidth="1"/>
  </cols>
  <sheetData>
    <row r="1" spans="1:11" ht="9.75" customHeight="1">
      <c r="A1" s="231"/>
      <c r="B1" s="231"/>
      <c r="C1" s="473"/>
      <c r="D1" s="473"/>
      <c r="E1" s="473"/>
      <c r="F1" s="473"/>
      <c r="G1" s="231"/>
      <c r="H1" s="231"/>
      <c r="I1" s="231"/>
      <c r="J1" s="255"/>
      <c r="K1" s="1339" t="s">
        <v>1793</v>
      </c>
    </row>
    <row r="2" spans="1:11" ht="21" customHeight="1">
      <c r="A2" s="231"/>
      <c r="B2" s="256"/>
      <c r="C2" s="473"/>
      <c r="D2" s="473"/>
      <c r="E2" s="474"/>
      <c r="F2" s="473"/>
      <c r="G2" s="231"/>
      <c r="H2" s="231"/>
      <c r="I2" s="231"/>
      <c r="J2" s="255" t="s">
        <v>447</v>
      </c>
      <c r="K2" s="1339"/>
    </row>
    <row r="3" spans="1:11" ht="16.5" customHeight="1">
      <c r="A3" s="231"/>
      <c r="B3" s="256"/>
      <c r="C3" s="468"/>
      <c r="D3" s="468"/>
      <c r="E3" s="474" t="s">
        <v>448</v>
      </c>
      <c r="F3" s="468"/>
      <c r="G3" s="231"/>
      <c r="H3" s="231"/>
      <c r="I3" s="231"/>
      <c r="J3" s="257" t="str">
        <f>"T1 General -"&amp;yeartext</f>
        <v>T1 General -2006</v>
      </c>
      <c r="K3" s="1339"/>
    </row>
    <row r="4" spans="1:11" ht="16.5" customHeight="1">
      <c r="A4" s="231"/>
      <c r="B4" s="256"/>
      <c r="C4" s="468"/>
      <c r="D4" s="468"/>
      <c r="E4" s="468"/>
      <c r="F4" s="468"/>
      <c r="G4" s="231"/>
      <c r="H4" s="231"/>
      <c r="I4" s="231"/>
      <c r="J4" s="257"/>
      <c r="K4" s="1339"/>
    </row>
    <row r="5" spans="1:11" ht="16.5" customHeight="1">
      <c r="A5" s="231" t="s">
        <v>1692</v>
      </c>
      <c r="B5" s="256"/>
      <c r="C5" s="468"/>
      <c r="D5" s="468"/>
      <c r="E5" s="468"/>
      <c r="F5" s="468"/>
      <c r="G5" s="305"/>
      <c r="H5" s="305"/>
      <c r="I5" s="305"/>
      <c r="J5" s="315"/>
      <c r="K5" s="1339"/>
    </row>
    <row r="6" spans="1:11" ht="16.5" customHeight="1">
      <c r="A6" s="231" t="s">
        <v>1693</v>
      </c>
      <c r="B6" s="256"/>
      <c r="C6" s="468"/>
      <c r="D6" s="468"/>
      <c r="E6" s="468"/>
      <c r="F6" s="468"/>
      <c r="G6" s="305"/>
      <c r="H6" s="305"/>
      <c r="I6" s="305"/>
      <c r="J6" s="315"/>
      <c r="K6" s="1339"/>
    </row>
    <row r="7" spans="1:11" ht="15" customHeight="1">
      <c r="A7" s="305"/>
      <c r="B7" s="487"/>
      <c r="C7" s="468"/>
      <c r="D7" s="468"/>
      <c r="E7" s="468"/>
      <c r="F7" s="468"/>
      <c r="G7" s="305"/>
      <c r="H7" s="305"/>
      <c r="I7" s="305"/>
      <c r="J7" s="315"/>
      <c r="K7" s="1339"/>
    </row>
    <row r="8" spans="1:11" ht="23.25">
      <c r="A8" s="469"/>
      <c r="B8" s="487"/>
      <c r="C8" s="468"/>
      <c r="D8" s="468"/>
      <c r="E8" s="468"/>
      <c r="F8" s="468"/>
      <c r="G8" s="305"/>
      <c r="H8" s="305"/>
      <c r="I8" s="305"/>
      <c r="J8" s="315"/>
      <c r="K8" s="1339"/>
    </row>
    <row r="9" spans="1:11" ht="15" customHeight="1">
      <c r="A9" s="305"/>
      <c r="B9" s="487"/>
      <c r="C9" s="468"/>
      <c r="D9" s="468"/>
      <c r="E9" s="468"/>
      <c r="F9" s="468"/>
      <c r="G9" s="305"/>
      <c r="H9" s="305"/>
      <c r="I9" s="305"/>
      <c r="J9" s="315"/>
      <c r="K9" s="1339"/>
    </row>
    <row r="10" spans="1:11" ht="16.5" customHeight="1">
      <c r="A10" s="306"/>
      <c r="B10" s="487"/>
      <c r="C10" s="468"/>
      <c r="D10" s="468"/>
      <c r="E10" s="468"/>
      <c r="F10" s="468"/>
      <c r="G10" s="305"/>
      <c r="H10" s="305"/>
      <c r="I10" s="305"/>
      <c r="J10" s="315"/>
      <c r="K10" s="1339"/>
    </row>
    <row r="11" spans="1:11" ht="16.5" customHeight="1">
      <c r="A11" s="305"/>
      <c r="B11" s="487"/>
      <c r="C11" s="468"/>
      <c r="D11" s="468"/>
      <c r="E11" s="468"/>
      <c r="F11" s="468"/>
      <c r="G11" s="305"/>
      <c r="H11" s="305"/>
      <c r="I11" s="305"/>
      <c r="J11" s="315"/>
      <c r="K11" s="1339"/>
    </row>
    <row r="12" spans="1:11" ht="32.25" customHeight="1">
      <c r="A12" s="492"/>
      <c r="B12" s="487"/>
      <c r="C12" s="468"/>
      <c r="D12" s="468"/>
      <c r="E12" s="468"/>
      <c r="F12" s="468"/>
      <c r="G12" s="305"/>
      <c r="H12" s="305"/>
      <c r="I12" s="305"/>
      <c r="J12" s="315"/>
      <c r="K12" s="1339"/>
    </row>
    <row r="13" spans="1:11" ht="15.75" customHeight="1">
      <c r="A13" s="490"/>
      <c r="B13" s="491"/>
      <c r="C13" s="475"/>
      <c r="D13" s="475"/>
      <c r="E13" s="475"/>
      <c r="F13" s="475"/>
      <c r="G13" s="493"/>
      <c r="H13" s="488"/>
      <c r="I13" s="305"/>
      <c r="J13" s="488"/>
      <c r="K13" s="1339"/>
    </row>
    <row r="14" spans="1:11" ht="16.5" customHeight="1">
      <c r="A14" s="492"/>
      <c r="B14" s="487"/>
      <c r="C14" s="468"/>
      <c r="D14" s="468"/>
      <c r="E14" s="468"/>
      <c r="F14" s="468"/>
      <c r="G14" s="305"/>
      <c r="H14" s="488"/>
      <c r="I14" s="305"/>
      <c r="J14" s="315"/>
      <c r="K14" s="1339"/>
    </row>
  </sheetData>
  <sheetProtection password="EC35" sheet="1" objects="1" scenarios="1"/>
  <mergeCells count="1">
    <mergeCell ref="K1:K14"/>
  </mergeCells>
  <hyperlinks>
    <hyperlink ref="K1:K14" location="'GO TO'!B22" display=" "/>
  </hyperlinks>
  <printOptions horizontalCentered="1"/>
  <pageMargins left="0" right="0" top="0" bottom="0" header="0.511811023622047" footer="0.02"/>
  <pageSetup fitToHeight="0" fitToWidth="1" horizontalDpi="600" verticalDpi="600" orientation="portrait" scale="78" r:id="rId2"/>
  <headerFooter alignWithMargins="0">
    <oddFooter>&amp;L5003-TC
</oddFooter>
  </headerFooter>
  <drawing r:id="rId1"/>
</worksheet>
</file>

<file path=xl/worksheets/sheet12.xml><?xml version="1.0" encoding="utf-8"?>
<worksheet xmlns="http://schemas.openxmlformats.org/spreadsheetml/2006/main" xmlns:r="http://schemas.openxmlformats.org/officeDocument/2006/relationships">
  <sheetPr codeName="Sheet713" transitionEvaluation="1">
    <pageSetUpPr fitToPage="1"/>
  </sheetPr>
  <dimension ref="A1:L32"/>
  <sheetViews>
    <sheetView showGridLines="0" zoomScale="75" zoomScaleNormal="75" workbookViewId="0" topLeftCell="A1">
      <selection activeCell="B4" sqref="B4"/>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196"/>
      <c r="B1" s="196"/>
      <c r="C1" s="196"/>
      <c r="D1" s="196"/>
      <c r="E1" s="196"/>
      <c r="F1" s="196"/>
      <c r="G1" s="196"/>
      <c r="H1" s="196"/>
      <c r="I1" s="196"/>
      <c r="J1" s="196"/>
    </row>
    <row r="2" spans="1:12" ht="21.75">
      <c r="A2" s="230"/>
      <c r="B2" s="233"/>
      <c r="C2" s="231"/>
      <c r="D2" s="252"/>
      <c r="E2" s="258"/>
      <c r="F2" s="258" t="s">
        <v>1791</v>
      </c>
      <c r="G2" s="231"/>
      <c r="H2" s="231"/>
      <c r="I2" s="231"/>
      <c r="J2" s="259"/>
      <c r="K2" s="259" t="s">
        <v>1337</v>
      </c>
      <c r="L2" s="1270" t="s">
        <v>1793</v>
      </c>
    </row>
    <row r="3" spans="1:12" ht="21.75">
      <c r="A3" s="230"/>
      <c r="B3" s="231"/>
      <c r="C3" s="231"/>
      <c r="D3" s="231"/>
      <c r="E3" s="258"/>
      <c r="F3" s="258" t="s">
        <v>1792</v>
      </c>
      <c r="G3" s="231"/>
      <c r="H3" s="231"/>
      <c r="I3" s="231"/>
      <c r="J3" s="257"/>
      <c r="K3" s="257" t="str">
        <f>"T1 General - "&amp;yeartext</f>
        <v>T1 General - 2006</v>
      </c>
      <c r="L3" s="1270"/>
    </row>
    <row r="4" spans="1:12" ht="20.25" customHeight="1">
      <c r="A4" s="230"/>
      <c r="B4" s="231"/>
      <c r="C4" s="231"/>
      <c r="D4" s="231"/>
      <c r="E4" s="231"/>
      <c r="F4" s="231"/>
      <c r="G4" s="231"/>
      <c r="H4" s="231"/>
      <c r="I4" s="231"/>
      <c r="J4" s="231"/>
      <c r="K4" s="231"/>
      <c r="L4" s="1270"/>
    </row>
    <row r="5" spans="1:12" ht="15.75">
      <c r="A5" s="230"/>
      <c r="B5" s="231" t="s">
        <v>1131</v>
      </c>
      <c r="C5" s="231"/>
      <c r="D5" s="231"/>
      <c r="E5" s="231"/>
      <c r="F5" s="231"/>
      <c r="G5" s="231"/>
      <c r="H5" s="231"/>
      <c r="I5" s="231"/>
      <c r="J5" s="231"/>
      <c r="K5" s="231"/>
      <c r="L5" s="1270"/>
    </row>
    <row r="6" spans="1:12" ht="15.75">
      <c r="A6" s="230"/>
      <c r="B6" s="230" t="s">
        <v>1168</v>
      </c>
      <c r="C6" s="231"/>
      <c r="D6" s="231"/>
      <c r="E6" s="231"/>
      <c r="F6" s="231"/>
      <c r="G6" s="231"/>
      <c r="H6" s="231"/>
      <c r="I6" s="231"/>
      <c r="J6" s="231"/>
      <c r="K6" s="231"/>
      <c r="L6" s="1270"/>
    </row>
    <row r="7" spans="1:12" ht="15">
      <c r="A7" s="230"/>
      <c r="B7" s="230"/>
      <c r="C7" s="231"/>
      <c r="D7" s="231"/>
      <c r="E7" s="231"/>
      <c r="F7" s="231"/>
      <c r="G7" s="231"/>
      <c r="H7" s="231"/>
      <c r="I7" s="231"/>
      <c r="J7" s="231"/>
      <c r="K7" s="231"/>
      <c r="L7" s="1270"/>
    </row>
    <row r="8" spans="1:12" ht="15.75">
      <c r="A8" s="230"/>
      <c r="B8" s="275" t="str">
        <f>"If your spouse or common-law partner is not filing a "&amp;yeartext&amp;" return, use the amounts that he or she would us on Form NS428 if"</f>
        <v>If your spouse or common-law partner is not filing a 2006 return, use the amounts that he or she would us on Form NS428 if</v>
      </c>
      <c r="C8" s="231"/>
      <c r="D8" s="231"/>
      <c r="E8" s="231"/>
      <c r="F8" s="231"/>
      <c r="G8" s="231"/>
      <c r="H8" s="231"/>
      <c r="I8" s="231"/>
      <c r="J8" s="231"/>
      <c r="K8" s="231"/>
      <c r="L8" s="1270"/>
    </row>
    <row r="9" spans="1:12" ht="15.75">
      <c r="A9" s="230"/>
      <c r="B9" s="275" t="s">
        <v>146</v>
      </c>
      <c r="C9" s="231"/>
      <c r="D9" s="231"/>
      <c r="E9" s="231"/>
      <c r="F9" s="231"/>
      <c r="G9" s="231"/>
      <c r="H9" s="231"/>
      <c r="I9" s="231"/>
      <c r="J9" s="231"/>
      <c r="K9" s="231"/>
      <c r="L9" s="1270"/>
    </row>
    <row r="10" spans="1:12" ht="15.75">
      <c r="A10" s="230"/>
      <c r="B10" s="275"/>
      <c r="C10" s="231"/>
      <c r="D10" s="231"/>
      <c r="E10" s="231"/>
      <c r="F10" s="231"/>
      <c r="G10" s="231"/>
      <c r="H10" s="231"/>
      <c r="I10" s="231"/>
      <c r="J10" s="231"/>
      <c r="K10" s="231"/>
      <c r="L10" s="1270"/>
    </row>
    <row r="11" spans="1:12" ht="15">
      <c r="A11" s="230"/>
      <c r="B11" s="276" t="s">
        <v>877</v>
      </c>
      <c r="C11" s="231"/>
      <c r="D11" s="231"/>
      <c r="E11" s="231"/>
      <c r="F11" s="231"/>
      <c r="G11" s="231"/>
      <c r="H11" s="231"/>
      <c r="I11" s="231"/>
      <c r="J11" s="231"/>
      <c r="K11" s="231"/>
      <c r="L11" s="1270"/>
    </row>
    <row r="12" spans="1:12" ht="15">
      <c r="A12" s="230"/>
      <c r="B12" s="276" t="s">
        <v>1754</v>
      </c>
      <c r="C12" s="231"/>
      <c r="D12" s="231"/>
      <c r="E12" s="231"/>
      <c r="F12" s="231"/>
      <c r="G12" s="231"/>
      <c r="H12" s="231"/>
      <c r="I12" s="231"/>
      <c r="J12" s="231"/>
      <c r="K12" s="231"/>
      <c r="L12" s="1270"/>
    </row>
    <row r="13" spans="1:12" ht="29.25" customHeight="1">
      <c r="A13" s="230"/>
      <c r="B13" s="275" t="s">
        <v>270</v>
      </c>
      <c r="C13" s="231" t="str">
        <f>"(if he or she was age 65 or older in "&amp;yeartext&amp;"):"</f>
        <v>(if he or she was age 65 or older in 2006):</v>
      </c>
      <c r="D13" s="231"/>
      <c r="E13" s="231"/>
      <c r="F13" s="231"/>
      <c r="G13" s="231"/>
      <c r="H13" s="231"/>
      <c r="I13" s="231"/>
      <c r="J13" s="231"/>
      <c r="K13" s="231"/>
      <c r="L13" s="1270"/>
    </row>
    <row r="14" spans="1:12" ht="15">
      <c r="A14" s="230"/>
      <c r="B14" s="276" t="s">
        <v>1083</v>
      </c>
      <c r="C14" s="231"/>
      <c r="D14" s="231"/>
      <c r="E14" s="231"/>
      <c r="F14" s="231"/>
      <c r="G14" s="231"/>
      <c r="H14" s="231"/>
      <c r="I14" s="231"/>
      <c r="J14" s="231"/>
      <c r="K14" s="231"/>
      <c r="L14" s="1270"/>
    </row>
    <row r="15" spans="1:12" ht="15.75">
      <c r="A15" s="230"/>
      <c r="B15" s="277" t="s">
        <v>1084</v>
      </c>
      <c r="C15" s="234"/>
      <c r="D15" s="234"/>
      <c r="E15" s="234"/>
      <c r="F15" s="234"/>
      <c r="G15" s="234"/>
      <c r="H15" s="241"/>
      <c r="I15" s="74" t="s">
        <v>323</v>
      </c>
      <c r="J15" s="165"/>
      <c r="K15" s="249" t="s">
        <v>925</v>
      </c>
      <c r="L15" s="1270"/>
    </row>
    <row r="16" spans="1:12" ht="15.75">
      <c r="A16" s="230"/>
      <c r="B16" s="275" t="s">
        <v>1013</v>
      </c>
      <c r="C16" s="231"/>
      <c r="D16" s="231"/>
      <c r="E16" s="231"/>
      <c r="F16" s="231"/>
      <c r="G16" s="231"/>
      <c r="H16" s="231"/>
      <c r="I16" s="231"/>
      <c r="J16" s="231"/>
      <c r="K16" s="231"/>
      <c r="L16" s="1270"/>
    </row>
    <row r="17" spans="1:12" ht="15.75">
      <c r="A17" s="230"/>
      <c r="B17" s="277" t="s">
        <v>1338</v>
      </c>
      <c r="C17" s="234"/>
      <c r="D17" s="234"/>
      <c r="E17" s="234"/>
      <c r="F17" s="234"/>
      <c r="G17" s="234"/>
      <c r="H17" s="241"/>
      <c r="I17" s="74" t="s">
        <v>312</v>
      </c>
      <c r="J17" s="165"/>
      <c r="K17" s="249" t="s">
        <v>615</v>
      </c>
      <c r="L17" s="1270"/>
    </row>
    <row r="18" spans="1:12" ht="15.75">
      <c r="A18" s="230"/>
      <c r="B18" s="275" t="s">
        <v>1014</v>
      </c>
      <c r="C18" s="231"/>
      <c r="D18" s="231"/>
      <c r="E18" s="231"/>
      <c r="F18" s="231"/>
      <c r="G18" s="231"/>
      <c r="H18" s="231"/>
      <c r="I18" s="231"/>
      <c r="J18" s="231"/>
      <c r="K18" s="231"/>
      <c r="L18" s="1270"/>
    </row>
    <row r="19" spans="1:12" ht="15.75">
      <c r="A19" s="230"/>
      <c r="B19" s="277" t="s">
        <v>1339</v>
      </c>
      <c r="C19" s="234"/>
      <c r="D19" s="234"/>
      <c r="E19" s="234"/>
      <c r="F19" s="234"/>
      <c r="G19" s="234"/>
      <c r="H19" s="234"/>
      <c r="I19" s="74" t="s">
        <v>313</v>
      </c>
      <c r="J19" s="165"/>
      <c r="K19" s="249" t="s">
        <v>616</v>
      </c>
      <c r="L19" s="1270"/>
    </row>
    <row r="20" spans="1:12" ht="15.75">
      <c r="A20" s="230"/>
      <c r="B20" s="275" t="s">
        <v>34</v>
      </c>
      <c r="C20" s="231"/>
      <c r="D20" s="231"/>
      <c r="E20" s="231"/>
      <c r="F20" s="231"/>
      <c r="G20" s="231"/>
      <c r="H20" s="231"/>
      <c r="I20" s="231"/>
      <c r="J20" s="231"/>
      <c r="K20" s="231"/>
      <c r="L20" s="1270"/>
    </row>
    <row r="21" spans="1:12" ht="16.5" thickBot="1">
      <c r="A21" s="230"/>
      <c r="B21" s="277" t="s">
        <v>1177</v>
      </c>
      <c r="C21" s="234"/>
      <c r="D21" s="234"/>
      <c r="E21" s="234"/>
      <c r="F21" s="234"/>
      <c r="G21" s="234"/>
      <c r="H21" s="234"/>
      <c r="I21" s="74" t="s">
        <v>314</v>
      </c>
      <c r="J21" s="754"/>
      <c r="K21" s="249" t="s">
        <v>617</v>
      </c>
      <c r="L21" s="1270"/>
    </row>
    <row r="22" spans="1:12" ht="24.75" customHeight="1">
      <c r="A22" s="230"/>
      <c r="B22" s="278" t="s">
        <v>1015</v>
      </c>
      <c r="C22" s="237"/>
      <c r="D22" s="237"/>
      <c r="E22" s="237"/>
      <c r="F22" s="237"/>
      <c r="G22" s="237"/>
      <c r="H22" s="237"/>
      <c r="I22" s="231"/>
      <c r="J22" s="388">
        <f>SUM(J15:J21)</f>
        <v>0</v>
      </c>
      <c r="K22" s="249" t="s">
        <v>618</v>
      </c>
      <c r="L22" s="1270"/>
    </row>
    <row r="23" spans="1:12" ht="15">
      <c r="A23" s="230"/>
      <c r="B23" s="276" t="s">
        <v>564</v>
      </c>
      <c r="C23" s="231"/>
      <c r="D23" s="231"/>
      <c r="E23" s="231"/>
      <c r="F23" s="231"/>
      <c r="G23" s="231"/>
      <c r="H23" s="231"/>
      <c r="I23" s="231"/>
      <c r="J23" s="231"/>
      <c r="K23" s="231"/>
      <c r="L23" s="1270"/>
    </row>
    <row r="24" spans="1:12" ht="15.75">
      <c r="A24" s="230"/>
      <c r="B24" s="277" t="s">
        <v>1340</v>
      </c>
      <c r="C24" s="234"/>
      <c r="D24" s="234"/>
      <c r="E24" s="234"/>
      <c r="F24" s="234"/>
      <c r="G24" s="231"/>
      <c r="H24" s="165"/>
      <c r="I24" s="249" t="s">
        <v>619</v>
      </c>
      <c r="J24" s="231"/>
      <c r="K24" s="231"/>
      <c r="L24" s="1270"/>
    </row>
    <row r="25" spans="1:12" ht="15">
      <c r="A25" s="230"/>
      <c r="B25" s="276" t="s">
        <v>565</v>
      </c>
      <c r="C25" s="231"/>
      <c r="D25" s="231"/>
      <c r="E25" s="231"/>
      <c r="F25" s="231"/>
      <c r="G25" s="231"/>
      <c r="H25" s="231"/>
      <c r="I25" s="231"/>
      <c r="J25" s="231"/>
      <c r="K25" s="231"/>
      <c r="L25" s="1270"/>
    </row>
    <row r="26" spans="1:12" ht="16.5" thickBot="1">
      <c r="A26" s="230"/>
      <c r="B26" s="277" t="s">
        <v>1293</v>
      </c>
      <c r="C26" s="234"/>
      <c r="D26" s="234"/>
      <c r="E26" s="234"/>
      <c r="F26" s="234"/>
      <c r="G26" s="231"/>
      <c r="H26" s="754"/>
      <c r="I26" s="249" t="s">
        <v>1560</v>
      </c>
      <c r="J26" s="231"/>
      <c r="K26" s="231"/>
      <c r="L26" s="1270"/>
    </row>
    <row r="27" spans="1:12" ht="15">
      <c r="A27" s="230"/>
      <c r="B27" s="276" t="s">
        <v>589</v>
      </c>
      <c r="C27" s="231"/>
      <c r="D27" s="231"/>
      <c r="E27" s="231"/>
      <c r="F27" s="231"/>
      <c r="G27" s="231"/>
      <c r="H27" s="231"/>
      <c r="I27" s="231"/>
      <c r="J27" s="231"/>
      <c r="K27" s="231"/>
      <c r="L27" s="1270"/>
    </row>
    <row r="28" spans="1:12" ht="15.75">
      <c r="A28" s="230"/>
      <c r="B28" s="277" t="s">
        <v>614</v>
      </c>
      <c r="C28" s="234"/>
      <c r="D28" s="234"/>
      <c r="E28" s="234"/>
      <c r="F28" s="234"/>
      <c r="G28" s="74" t="s">
        <v>139</v>
      </c>
      <c r="H28" s="388">
        <f>MAXA(0,H24-H26)</f>
        <v>0</v>
      </c>
      <c r="I28" s="1228" t="s">
        <v>1600</v>
      </c>
      <c r="J28" s="388">
        <f>H28</f>
        <v>0</v>
      </c>
      <c r="K28" s="249" t="s">
        <v>620</v>
      </c>
      <c r="L28" s="1270"/>
    </row>
    <row r="29" spans="1:12" ht="15.75">
      <c r="A29" s="230"/>
      <c r="B29" s="276" t="s">
        <v>1016</v>
      </c>
      <c r="C29" s="231"/>
      <c r="D29" s="231"/>
      <c r="E29" s="231"/>
      <c r="F29" s="231"/>
      <c r="G29" s="231"/>
      <c r="H29" s="239" t="s">
        <v>140</v>
      </c>
      <c r="I29" s="231"/>
      <c r="J29" s="231"/>
      <c r="K29" s="231"/>
      <c r="L29" s="1270"/>
    </row>
    <row r="30" spans="1:12" ht="15.75">
      <c r="A30" s="230"/>
      <c r="B30" s="277" t="s">
        <v>1798</v>
      </c>
      <c r="C30" s="234"/>
      <c r="D30" s="234"/>
      <c r="E30" s="234"/>
      <c r="F30" s="234"/>
      <c r="G30" s="234"/>
      <c r="H30" s="247" t="s">
        <v>2274</v>
      </c>
      <c r="I30" s="231"/>
      <c r="J30" s="660">
        <f>MAXA(0,J22-J28)</f>
        <v>0</v>
      </c>
      <c r="K30" s="249" t="s">
        <v>750</v>
      </c>
      <c r="L30" s="1270"/>
    </row>
    <row r="31" spans="1:12" ht="15">
      <c r="A31" s="230"/>
      <c r="B31" s="276"/>
      <c r="C31" s="231"/>
      <c r="D31" s="231"/>
      <c r="E31" s="231"/>
      <c r="F31" s="231"/>
      <c r="G31" s="231"/>
      <c r="H31" s="231"/>
      <c r="I31" s="231"/>
      <c r="J31" s="231"/>
      <c r="K31" s="231"/>
      <c r="L31" s="1270"/>
    </row>
    <row r="32" spans="1:10" ht="15">
      <c r="A32" s="274"/>
      <c r="B32" s="196"/>
      <c r="C32" s="196"/>
      <c r="D32" s="196"/>
      <c r="E32" s="196"/>
      <c r="F32" s="196"/>
      <c r="G32" s="196"/>
      <c r="H32" s="196"/>
      <c r="I32" s="196"/>
      <c r="J32" s="196"/>
    </row>
  </sheetData>
  <sheetProtection password="EC35" sheet="1" objects="1" scenarios="1"/>
  <mergeCells count="1">
    <mergeCell ref="L2:L31"/>
  </mergeCells>
  <hyperlinks>
    <hyperlink ref="L2:L31" location="'GO TO'!B23" display=" "/>
  </hyperlinks>
  <printOptions horizontalCentered="1"/>
  <pageMargins left="0.25" right="0.25" top="0.5" bottom="0.25" header="0.511811023622047" footer="0.15"/>
  <pageSetup fitToHeight="0" fitToWidth="1" horizontalDpi="600" verticalDpi="600" orientation="portrait" scale="76" r:id="rId2"/>
  <headerFooter alignWithMargins="0">
    <oddFooter>&amp;L5003-S2</oddFooter>
  </headerFooter>
  <drawing r:id="rId1"/>
</worksheet>
</file>

<file path=xl/worksheets/sheet13.xml><?xml version="1.0" encoding="utf-8"?>
<worksheet xmlns="http://schemas.openxmlformats.org/spreadsheetml/2006/main" xmlns:r="http://schemas.openxmlformats.org/officeDocument/2006/relationships">
  <sheetPr codeName="Sheet1913" transitionEvaluation="1">
    <pageSetUpPr fitToPage="1"/>
  </sheetPr>
  <dimension ref="A1:K56"/>
  <sheetViews>
    <sheetView showGridLines="0" zoomScale="75" zoomScaleNormal="75" workbookViewId="0" topLeftCell="A1">
      <selection activeCell="A4" sqref="A4"/>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12.77734375" style="0" customWidth="1"/>
    <col min="6" max="6" width="4.77734375" style="0" customWidth="1"/>
    <col min="7" max="7" width="12.77734375" style="0" customWidth="1"/>
    <col min="8" max="8" width="4.77734375" style="0" customWidth="1"/>
    <col min="9" max="9" width="12.77734375" style="0" customWidth="1"/>
    <col min="10" max="10" width="4.77734375" style="0" customWidth="1"/>
  </cols>
  <sheetData>
    <row r="1" spans="1:11" ht="15">
      <c r="A1" s="230"/>
      <c r="B1" s="230"/>
      <c r="C1" s="230"/>
      <c r="D1" s="230"/>
      <c r="E1" s="230"/>
      <c r="F1" s="230"/>
      <c r="G1" s="230"/>
      <c r="H1" s="230"/>
      <c r="I1" s="230"/>
      <c r="J1" s="230"/>
      <c r="K1" s="977" t="s">
        <v>1793</v>
      </c>
    </row>
    <row r="2" spans="1:11" ht="20.25">
      <c r="A2" s="230"/>
      <c r="B2" s="230"/>
      <c r="C2" s="230"/>
      <c r="D2" s="230"/>
      <c r="E2" s="230"/>
      <c r="F2" s="230"/>
      <c r="G2" s="230"/>
      <c r="H2" s="230"/>
      <c r="I2" s="230"/>
      <c r="J2" s="255" t="s">
        <v>1799</v>
      </c>
      <c r="K2" s="977"/>
    </row>
    <row r="3" spans="1:11" ht="23.25">
      <c r="A3" s="232"/>
      <c r="B3" s="260"/>
      <c r="C3" s="261"/>
      <c r="D3" s="253" t="s">
        <v>1301</v>
      </c>
      <c r="E3" s="261"/>
      <c r="F3" s="252"/>
      <c r="G3" s="230"/>
      <c r="H3" s="252"/>
      <c r="I3" s="252"/>
      <c r="J3" s="257" t="str">
        <f>"T1 General - "&amp;yeartext</f>
        <v>T1 General - 2006</v>
      </c>
      <c r="K3" s="977"/>
    </row>
    <row r="4" spans="1:11" ht="29.25" customHeight="1">
      <c r="A4" s="309" t="s">
        <v>836</v>
      </c>
      <c r="B4" s="231"/>
      <c r="C4" s="231"/>
      <c r="D4" s="231"/>
      <c r="E4" s="231"/>
      <c r="F4" s="231"/>
      <c r="G4" s="231"/>
      <c r="H4" s="231"/>
      <c r="I4" s="231"/>
      <c r="J4" s="231"/>
      <c r="K4" s="977"/>
    </row>
    <row r="5" spans="1:11" ht="15">
      <c r="A5" s="971" t="s">
        <v>1272</v>
      </c>
      <c r="B5" s="231"/>
      <c r="C5" s="231"/>
      <c r="D5" s="231"/>
      <c r="E5" s="231"/>
      <c r="F5" s="231"/>
      <c r="G5" s="231"/>
      <c r="H5" s="231"/>
      <c r="I5" s="231"/>
      <c r="J5" s="231"/>
      <c r="K5" s="977"/>
    </row>
    <row r="6" spans="1:11" ht="15">
      <c r="A6" s="971" t="s">
        <v>1756</v>
      </c>
      <c r="B6" s="231"/>
      <c r="C6" s="231"/>
      <c r="D6" s="231"/>
      <c r="E6" s="231"/>
      <c r="F6" s="231"/>
      <c r="G6" s="231"/>
      <c r="H6" s="231"/>
      <c r="I6" s="231"/>
      <c r="J6" s="231"/>
      <c r="K6" s="977"/>
    </row>
    <row r="7" spans="1:11" ht="15">
      <c r="A7" s="971" t="s">
        <v>1757</v>
      </c>
      <c r="B7" s="231"/>
      <c r="C7" s="231"/>
      <c r="D7" s="231"/>
      <c r="E7" s="231"/>
      <c r="F7" s="231"/>
      <c r="G7" s="231"/>
      <c r="H7" s="231"/>
      <c r="I7" s="231"/>
      <c r="J7" s="231"/>
      <c r="K7" s="977"/>
    </row>
    <row r="8" spans="1:11" ht="30" customHeight="1">
      <c r="A8" s="236" t="s">
        <v>1758</v>
      </c>
      <c r="B8" s="231"/>
      <c r="C8" s="231"/>
      <c r="D8" s="231"/>
      <c r="E8" s="231"/>
      <c r="F8" s="231"/>
      <c r="G8" s="231"/>
      <c r="H8" s="231"/>
      <c r="I8" s="231"/>
      <c r="J8" s="231"/>
      <c r="K8" s="977"/>
    </row>
    <row r="9" spans="1:11" ht="29.25" customHeight="1">
      <c r="A9" s="233" t="str">
        <f>"Nova Scotia tuition and education amounts claimed by the student for "&amp;yeartext</f>
        <v>Nova Scotia tuition and education amounts claimed by the student for 2006</v>
      </c>
      <c r="B9" s="231"/>
      <c r="C9" s="231"/>
      <c r="D9" s="231"/>
      <c r="E9" s="231"/>
      <c r="F9" s="231"/>
      <c r="G9" s="231"/>
      <c r="H9" s="231"/>
      <c r="I9" s="231"/>
      <c r="J9" s="231"/>
      <c r="K9" s="977"/>
    </row>
    <row r="10" spans="1:11" ht="23.25" customHeight="1">
      <c r="A10" s="231" t="str">
        <f>"Nova Scotia unused tuition and education amounts from your "&amp;lastyeartext</f>
        <v>Nova Scotia unused tuition and education amounts from your 2005</v>
      </c>
      <c r="B10" s="231"/>
      <c r="C10" s="231"/>
      <c r="D10" s="231"/>
      <c r="E10" s="231"/>
      <c r="F10" s="231"/>
      <c r="G10" s="231"/>
      <c r="H10" s="231"/>
      <c r="I10" s="231"/>
      <c r="J10" s="231"/>
      <c r="K10" s="977"/>
    </row>
    <row r="11" spans="1:11" ht="15.75">
      <c r="A11" s="264" t="s">
        <v>705</v>
      </c>
      <c r="B11" s="264"/>
      <c r="C11" s="264"/>
      <c r="D11" s="264"/>
      <c r="E11" s="264"/>
      <c r="F11" s="264"/>
      <c r="G11" s="264"/>
      <c r="H11" s="231"/>
      <c r="I11" s="388">
        <f>Sch11!K8</f>
        <v>0</v>
      </c>
      <c r="J11" s="271">
        <v>1</v>
      </c>
      <c r="K11" s="977"/>
    </row>
    <row r="12" spans="1:11" ht="15.75">
      <c r="A12" s="231"/>
      <c r="B12" s="231"/>
      <c r="C12" s="231"/>
      <c r="D12" s="231"/>
      <c r="E12" s="231"/>
      <c r="F12" s="231"/>
      <c r="G12" s="231"/>
      <c r="H12" s="231"/>
      <c r="I12" s="231"/>
      <c r="J12" s="236"/>
      <c r="K12" s="977"/>
    </row>
    <row r="13" spans="1:11" ht="15.75">
      <c r="A13" s="264" t="str">
        <f>"Enter your eligible tuition fees paid for "&amp;yeartext</f>
        <v>Enter your eligible tuition fees paid for 2006</v>
      </c>
      <c r="B13" s="264"/>
      <c r="C13" s="264"/>
      <c r="D13" s="264"/>
      <c r="E13" s="264"/>
      <c r="F13" s="75" t="s">
        <v>1603</v>
      </c>
      <c r="G13" s="388">
        <f>Sch11!I9</f>
        <v>0</v>
      </c>
      <c r="H13" s="271">
        <v>2</v>
      </c>
      <c r="I13" s="231"/>
      <c r="J13" s="231"/>
      <c r="K13" s="977"/>
    </row>
    <row r="14" spans="1:11" ht="15">
      <c r="A14" s="231" t="str">
        <f>"Education amount for "&amp;yeartext&amp;": Use columns B and C of forms T2202 and T2202A,"</f>
        <v>Education amount for 2006: Use columns B and C of forms T2202 and T2202A,</v>
      </c>
      <c r="B14" s="231"/>
      <c r="C14" s="231"/>
      <c r="D14" s="231"/>
      <c r="E14" s="231"/>
      <c r="F14" s="231"/>
      <c r="G14" s="231"/>
      <c r="H14" s="231"/>
      <c r="I14" s="231"/>
      <c r="J14" s="231"/>
      <c r="K14" s="977"/>
    </row>
    <row r="15" spans="1:11" ht="15.75">
      <c r="A15" s="231" t="s">
        <v>899</v>
      </c>
      <c r="B15" s="231"/>
      <c r="C15" s="231"/>
      <c r="D15" s="231"/>
      <c r="E15" s="231"/>
      <c r="F15" s="231"/>
      <c r="G15" s="231"/>
      <c r="H15" s="231"/>
      <c r="I15" s="231"/>
      <c r="J15" s="231"/>
      <c r="K15" s="977"/>
    </row>
    <row r="16" spans="1:11" ht="15.75">
      <c r="A16" s="235" t="s">
        <v>2279</v>
      </c>
      <c r="B16" s="231"/>
      <c r="C16" s="231"/>
      <c r="D16" s="231"/>
      <c r="E16" s="231"/>
      <c r="F16" s="231"/>
      <c r="G16" s="231"/>
      <c r="H16" s="231"/>
      <c r="I16" s="231"/>
      <c r="J16" s="231"/>
      <c r="K16" s="977"/>
    </row>
    <row r="17" spans="1:11" ht="15.75">
      <c r="A17" s="234" t="s">
        <v>900</v>
      </c>
      <c r="B17" s="234"/>
      <c r="C17" s="234"/>
      <c r="D17" s="981">
        <f>Sch11!C15</f>
        <v>0</v>
      </c>
      <c r="E17" s="798" t="s">
        <v>280</v>
      </c>
      <c r="F17" s="75" t="s">
        <v>1512</v>
      </c>
      <c r="G17" s="388">
        <f>60*MINA(D17+0,12)</f>
        <v>0</v>
      </c>
      <c r="H17" s="271">
        <v>3</v>
      </c>
      <c r="I17" s="231"/>
      <c r="J17" s="231"/>
      <c r="K17" s="977"/>
    </row>
    <row r="18" spans="1:11" ht="17.25" customHeight="1" thickBot="1">
      <c r="A18" s="237" t="s">
        <v>2280</v>
      </c>
      <c r="B18" s="237"/>
      <c r="C18" s="237"/>
      <c r="D18" s="981">
        <f>Sch11!C23</f>
        <v>0</v>
      </c>
      <c r="E18" s="798" t="s">
        <v>281</v>
      </c>
      <c r="F18" s="75" t="s">
        <v>1513</v>
      </c>
      <c r="G18" s="734">
        <f>200*MINA(D18+0,12)</f>
        <v>0</v>
      </c>
      <c r="H18" s="271">
        <v>4</v>
      </c>
      <c r="I18" s="231"/>
      <c r="J18" s="231"/>
      <c r="K18" s="977"/>
    </row>
    <row r="19" spans="1:11" ht="16.5" thickBot="1">
      <c r="A19" s="279" t="s">
        <v>1514</v>
      </c>
      <c r="B19" s="264"/>
      <c r="C19" s="264"/>
      <c r="D19" s="264"/>
      <c r="E19" s="802" t="str">
        <f>"Total "&amp;yeartext&amp;" tuition and education amounts"</f>
        <v>Total 2006 tuition and education amounts</v>
      </c>
      <c r="F19" s="231"/>
      <c r="G19" s="388">
        <f>G13+G17+G18</f>
        <v>0</v>
      </c>
      <c r="H19" s="1228" t="s">
        <v>1600</v>
      </c>
      <c r="I19" s="737">
        <f>G19</f>
        <v>0</v>
      </c>
      <c r="J19" s="271">
        <v>5</v>
      </c>
      <c r="K19" s="977"/>
    </row>
    <row r="20" spans="1:11" ht="15.75">
      <c r="A20" s="279" t="s">
        <v>1515</v>
      </c>
      <c r="B20" s="264"/>
      <c r="C20" s="264"/>
      <c r="D20" s="264"/>
      <c r="E20" s="264"/>
      <c r="F20" s="264"/>
      <c r="G20" s="268" t="s">
        <v>706</v>
      </c>
      <c r="H20" s="231"/>
      <c r="I20" s="388">
        <f>I11+I19</f>
        <v>0</v>
      </c>
      <c r="J20" s="271">
        <v>6</v>
      </c>
      <c r="K20" s="977"/>
    </row>
    <row r="21" spans="1:11" ht="15">
      <c r="A21" s="231"/>
      <c r="B21" s="231"/>
      <c r="C21" s="231"/>
      <c r="D21" s="231"/>
      <c r="E21" s="231"/>
      <c r="F21" s="231"/>
      <c r="G21" s="231"/>
      <c r="H21" s="231"/>
      <c r="I21" s="231"/>
      <c r="J21" s="231"/>
      <c r="K21" s="977"/>
    </row>
    <row r="22" spans="1:11" ht="15.75">
      <c r="A22" s="264" t="s">
        <v>475</v>
      </c>
      <c r="B22" s="264"/>
      <c r="C22" s="264"/>
      <c r="D22" s="264"/>
      <c r="E22" s="264"/>
      <c r="F22" s="231"/>
      <c r="G22" s="388">
        <f>NS428!H5</f>
        <v>0</v>
      </c>
      <c r="H22" s="271">
        <v>7</v>
      </c>
      <c r="I22" s="231"/>
      <c r="J22" s="231"/>
      <c r="K22" s="977"/>
    </row>
    <row r="23" spans="1:11" ht="16.5" thickBot="1">
      <c r="A23" s="264" t="s">
        <v>476</v>
      </c>
      <c r="B23" s="264"/>
      <c r="C23" s="264"/>
      <c r="D23" s="264"/>
      <c r="E23" s="264"/>
      <c r="F23" s="231"/>
      <c r="G23" s="734">
        <f>SUM(NS428!H20:H38)</f>
        <v>7231</v>
      </c>
      <c r="H23" s="271">
        <v>8</v>
      </c>
      <c r="I23" s="231"/>
      <c r="J23" s="231"/>
      <c r="K23" s="977"/>
    </row>
    <row r="24" spans="1:11" ht="15.75">
      <c r="A24" s="279" t="s">
        <v>287</v>
      </c>
      <c r="B24" s="264"/>
      <c r="C24" s="264"/>
      <c r="D24" s="264"/>
      <c r="E24" s="264"/>
      <c r="F24" s="231"/>
      <c r="G24" s="388">
        <f>MAXA(0,G22-G23)</f>
        <v>0</v>
      </c>
      <c r="H24" s="271">
        <v>9</v>
      </c>
      <c r="I24" s="231"/>
      <c r="J24" s="231"/>
      <c r="K24" s="977"/>
    </row>
    <row r="25" spans="1:11" ht="15">
      <c r="A25" s="231" t="str">
        <f>"Unused Nova Scotia tuition and education amounts claimed for "&amp;yeartext&amp;":"</f>
        <v>Unused Nova Scotia tuition and education amounts claimed for 2006:</v>
      </c>
      <c r="B25" s="231"/>
      <c r="C25" s="231"/>
      <c r="D25" s="231"/>
      <c r="E25" s="231"/>
      <c r="F25" s="231"/>
      <c r="G25" s="231"/>
      <c r="H25" s="231"/>
      <c r="I25" s="231"/>
      <c r="J25" s="231"/>
      <c r="K25" s="977"/>
    </row>
    <row r="26" spans="1:11" ht="16.5" thickBot="1">
      <c r="A26" s="264" t="s">
        <v>2282</v>
      </c>
      <c r="B26" s="264"/>
      <c r="C26" s="264"/>
      <c r="D26" s="264"/>
      <c r="E26" s="264"/>
      <c r="F26" s="231"/>
      <c r="G26" s="737">
        <f>MINA(I11+0,G24)</f>
        <v>0</v>
      </c>
      <c r="H26" s="1228" t="s">
        <v>1600</v>
      </c>
      <c r="I26" s="388">
        <f>G26</f>
        <v>0</v>
      </c>
      <c r="J26" s="271">
        <v>10</v>
      </c>
      <c r="K26" s="977"/>
    </row>
    <row r="27" spans="1:11" ht="15.75">
      <c r="A27" s="279" t="s">
        <v>2283</v>
      </c>
      <c r="B27" s="264"/>
      <c r="C27" s="264"/>
      <c r="D27" s="264"/>
      <c r="E27" s="264"/>
      <c r="F27" s="231"/>
      <c r="G27" s="388">
        <f>G24-I26</f>
        <v>0</v>
      </c>
      <c r="H27" s="271">
        <v>11</v>
      </c>
      <c r="I27" s="231"/>
      <c r="J27" s="231"/>
      <c r="K27" s="977"/>
    </row>
    <row r="28" spans="1:11" ht="29.25" customHeight="1">
      <c r="A28" s="280" t="str">
        <f>yeartext&amp;" tuition and education amounts claimed for "&amp;yeartext&amp;":"</f>
        <v>2006 tuition and education amounts claimed for 2006:</v>
      </c>
      <c r="B28" s="231"/>
      <c r="C28" s="231"/>
      <c r="D28" s="231"/>
      <c r="E28" s="231"/>
      <c r="F28" s="231"/>
      <c r="G28" s="231"/>
      <c r="H28" s="231"/>
      <c r="I28" s="231"/>
      <c r="J28" s="231"/>
      <c r="K28" s="977"/>
    </row>
    <row r="29" spans="1:11" ht="15.75">
      <c r="A29" s="264" t="s">
        <v>2284</v>
      </c>
      <c r="B29" s="264"/>
      <c r="C29" s="264"/>
      <c r="D29" s="264"/>
      <c r="E29" s="264"/>
      <c r="F29" s="264"/>
      <c r="G29" s="234"/>
      <c r="H29" s="231"/>
      <c r="I29" s="388">
        <f>MINA(I19,G27)</f>
        <v>0</v>
      </c>
      <c r="J29" s="271">
        <v>12</v>
      </c>
      <c r="K29" s="977"/>
    </row>
    <row r="30" spans="1:11" ht="15.75">
      <c r="A30" s="231" t="s">
        <v>477</v>
      </c>
      <c r="B30" s="231"/>
      <c r="C30" s="231"/>
      <c r="D30" s="231"/>
      <c r="E30" s="239"/>
      <c r="F30" s="231"/>
      <c r="G30" s="239" t="s">
        <v>478</v>
      </c>
      <c r="H30" s="236"/>
      <c r="I30" s="231"/>
      <c r="J30" s="231"/>
      <c r="K30" s="977"/>
    </row>
    <row r="31" spans="1:11" ht="15.75">
      <c r="A31" s="264" t="s">
        <v>479</v>
      </c>
      <c r="B31" s="264"/>
      <c r="C31" s="264"/>
      <c r="D31" s="264"/>
      <c r="E31" s="264"/>
      <c r="F31" s="264"/>
      <c r="G31" s="270" t="str">
        <f>"claimed by the student for "&amp;yeartext</f>
        <v>claimed by the student for 2006</v>
      </c>
      <c r="H31" s="236"/>
      <c r="I31" s="660">
        <f>I26+I29</f>
        <v>0</v>
      </c>
      <c r="J31" s="271">
        <v>13</v>
      </c>
      <c r="K31" s="977"/>
    </row>
    <row r="32" spans="1:11" ht="15.75">
      <c r="A32" s="235"/>
      <c r="B32" s="235"/>
      <c r="C32" s="235"/>
      <c r="D32" s="235"/>
      <c r="E32" s="235"/>
      <c r="F32" s="235"/>
      <c r="G32" s="269"/>
      <c r="H32" s="236"/>
      <c r="I32" s="231"/>
      <c r="J32" s="271"/>
      <c r="K32" s="977"/>
    </row>
    <row r="33" spans="1:11" ht="27" customHeight="1">
      <c r="A33" s="604" t="s">
        <v>901</v>
      </c>
      <c r="B33" s="248"/>
      <c r="C33" s="248"/>
      <c r="D33" s="248"/>
      <c r="E33" s="248"/>
      <c r="F33" s="248"/>
      <c r="G33" s="602"/>
      <c r="H33" s="910"/>
      <c r="I33" s="248"/>
      <c r="J33" s="911"/>
      <c r="K33" s="977"/>
    </row>
    <row r="34" spans="1:11" ht="28.5" customHeight="1">
      <c r="A34" s="476" t="s">
        <v>351</v>
      </c>
      <c r="B34" s="234"/>
      <c r="C34" s="234"/>
      <c r="D34" s="234"/>
      <c r="E34" s="234"/>
      <c r="F34" s="234"/>
      <c r="G34" s="247"/>
      <c r="H34" s="265"/>
      <c r="I34" s="467">
        <f>I20</f>
        <v>0</v>
      </c>
      <c r="J34" s="917">
        <v>14</v>
      </c>
      <c r="K34" s="977"/>
    </row>
    <row r="35" spans="1:11" ht="16.5" thickBot="1">
      <c r="A35" s="242" t="s">
        <v>352</v>
      </c>
      <c r="B35" s="237"/>
      <c r="C35" s="237"/>
      <c r="D35" s="237"/>
      <c r="E35" s="237"/>
      <c r="F35" s="237"/>
      <c r="G35" s="281"/>
      <c r="H35" s="265"/>
      <c r="I35" s="752">
        <f>I31</f>
        <v>0</v>
      </c>
      <c r="J35" s="917">
        <v>15</v>
      </c>
      <c r="K35" s="977"/>
    </row>
    <row r="36" spans="1:11" ht="15.75">
      <c r="A36" s="242" t="s">
        <v>1854</v>
      </c>
      <c r="B36" s="237"/>
      <c r="C36" s="237"/>
      <c r="D36" s="237"/>
      <c r="E36" s="237"/>
      <c r="F36" s="237"/>
      <c r="G36" s="281" t="s">
        <v>1179</v>
      </c>
      <c r="H36" s="265"/>
      <c r="I36" s="467">
        <f>I34-I35</f>
        <v>0</v>
      </c>
      <c r="J36" s="917">
        <v>16</v>
      </c>
      <c r="K36" s="977"/>
    </row>
    <row r="37" spans="1:11" ht="15.75" customHeight="1" hidden="1">
      <c r="A37" s="262"/>
      <c r="B37" s="235"/>
      <c r="C37" s="235"/>
      <c r="D37" s="235"/>
      <c r="E37" s="235"/>
      <c r="F37" s="235"/>
      <c r="G37" s="269"/>
      <c r="H37" s="265"/>
      <c r="I37" s="235"/>
      <c r="J37" s="917"/>
      <c r="K37" s="977"/>
    </row>
    <row r="38" spans="1:11" ht="22.5" customHeight="1">
      <c r="A38" s="262" t="s">
        <v>1415</v>
      </c>
      <c r="B38" s="235"/>
      <c r="C38" s="235"/>
      <c r="D38" s="235"/>
      <c r="E38" s="235"/>
      <c r="F38" s="235"/>
      <c r="G38" s="269"/>
      <c r="H38" s="265"/>
      <c r="I38" s="235"/>
      <c r="J38" s="917"/>
      <c r="K38" s="977"/>
    </row>
    <row r="39" spans="1:11" ht="15.75">
      <c r="A39" s="263" t="s">
        <v>142</v>
      </c>
      <c r="B39" s="235"/>
      <c r="C39" s="235"/>
      <c r="D39" s="235"/>
      <c r="E39" s="235"/>
      <c r="F39" s="235"/>
      <c r="G39" s="269"/>
      <c r="H39" s="265"/>
      <c r="I39" s="235"/>
      <c r="J39" s="917"/>
      <c r="K39" s="977"/>
    </row>
    <row r="40" spans="1:11" ht="33.75" customHeight="1">
      <c r="A40" s="476" t="s">
        <v>1755</v>
      </c>
      <c r="B40" s="234"/>
      <c r="C40" s="234"/>
      <c r="D40" s="234"/>
      <c r="E40" s="234"/>
      <c r="F40" s="235"/>
      <c r="G40" s="467">
        <f>MINA(5000,I19)</f>
        <v>0</v>
      </c>
      <c r="H40" s="918">
        <v>17</v>
      </c>
      <c r="I40" s="235"/>
      <c r="J40" s="272"/>
      <c r="K40" s="977"/>
    </row>
    <row r="41" spans="1:11" ht="16.5" thickBot="1">
      <c r="A41" s="242" t="s">
        <v>2278</v>
      </c>
      <c r="B41" s="237"/>
      <c r="C41" s="237"/>
      <c r="D41" s="237"/>
      <c r="E41" s="237"/>
      <c r="F41" s="235"/>
      <c r="G41" s="752">
        <f>I29</f>
        <v>0</v>
      </c>
      <c r="H41" s="918">
        <v>18</v>
      </c>
      <c r="I41" s="235"/>
      <c r="J41" s="272"/>
      <c r="K41" s="977"/>
    </row>
    <row r="42" spans="1:11" ht="15.75">
      <c r="A42" s="242" t="s">
        <v>2263</v>
      </c>
      <c r="B42" s="237"/>
      <c r="C42" s="237"/>
      <c r="D42" s="237"/>
      <c r="E42" s="281" t="s">
        <v>2262</v>
      </c>
      <c r="F42" s="235"/>
      <c r="G42" s="467">
        <f>MAXA(0,G40-G41)</f>
        <v>0</v>
      </c>
      <c r="H42" s="918">
        <v>19</v>
      </c>
      <c r="I42" s="235"/>
      <c r="J42" s="272"/>
      <c r="K42" s="977"/>
    </row>
    <row r="43" spans="1:11" ht="12.75" customHeight="1">
      <c r="A43" s="262"/>
      <c r="B43" s="235"/>
      <c r="C43" s="235"/>
      <c r="D43" s="235"/>
      <c r="E43" s="235"/>
      <c r="F43" s="235"/>
      <c r="G43" s="269"/>
      <c r="H43" s="265"/>
      <c r="I43" s="235"/>
      <c r="J43" s="917"/>
      <c r="K43" s="977"/>
    </row>
    <row r="44" spans="1:11" ht="15.75">
      <c r="A44" s="262" t="s">
        <v>673</v>
      </c>
      <c r="B44" s="235"/>
      <c r="C44" s="235"/>
      <c r="D44" s="235"/>
      <c r="E44" s="235"/>
      <c r="F44" s="235"/>
      <c r="G44" s="269"/>
      <c r="H44" s="265"/>
      <c r="I44" s="235"/>
      <c r="J44" s="917"/>
      <c r="K44" s="977"/>
    </row>
    <row r="45" spans="1:11" ht="15.75">
      <c r="A45" s="262" t="s">
        <v>904</v>
      </c>
      <c r="B45" s="235"/>
      <c r="C45" s="235"/>
      <c r="D45" s="235"/>
      <c r="E45" s="235"/>
      <c r="F45" s="235"/>
      <c r="G45" s="269"/>
      <c r="H45" s="265"/>
      <c r="I45" s="235"/>
      <c r="J45" s="917"/>
      <c r="K45" s="977"/>
    </row>
    <row r="46" spans="1:11" ht="15.75">
      <c r="A46" s="263" t="s">
        <v>905</v>
      </c>
      <c r="B46" s="235"/>
      <c r="C46" s="235"/>
      <c r="D46" s="235"/>
      <c r="E46" s="235"/>
      <c r="F46" s="235"/>
      <c r="G46" s="269"/>
      <c r="H46" s="265"/>
      <c r="I46" s="235"/>
      <c r="J46" s="917"/>
      <c r="K46" s="977"/>
    </row>
    <row r="47" spans="1:11" ht="15.75">
      <c r="A47" s="262" t="s">
        <v>918</v>
      </c>
      <c r="B47" s="235"/>
      <c r="C47" s="235"/>
      <c r="D47" s="235"/>
      <c r="E47" s="235"/>
      <c r="F47" s="235"/>
      <c r="G47" s="269"/>
      <c r="H47" s="265"/>
      <c r="I47" s="235"/>
      <c r="J47" s="917"/>
      <c r="K47" s="977"/>
    </row>
    <row r="48" spans="1:11" ht="27" customHeight="1">
      <c r="A48" s="263" t="s">
        <v>906</v>
      </c>
      <c r="B48" s="235"/>
      <c r="C48" s="235"/>
      <c r="D48" s="235"/>
      <c r="E48" s="235"/>
      <c r="F48" s="235"/>
      <c r="G48" s="269"/>
      <c r="H48" s="265"/>
      <c r="I48" s="235"/>
      <c r="J48" s="917"/>
      <c r="K48" s="977"/>
    </row>
    <row r="49" spans="1:11" ht="32.25" customHeight="1">
      <c r="A49" s="262" t="s">
        <v>903</v>
      </c>
      <c r="B49" s="235"/>
      <c r="C49" s="235"/>
      <c r="D49" s="235"/>
      <c r="E49" s="235"/>
      <c r="F49" s="235"/>
      <c r="G49" s="269"/>
      <c r="H49" s="265"/>
      <c r="I49" s="235"/>
      <c r="J49" s="917"/>
      <c r="K49" s="977"/>
    </row>
    <row r="50" spans="1:11" ht="16.5" thickBot="1">
      <c r="A50" s="476" t="s">
        <v>675</v>
      </c>
      <c r="B50" s="234"/>
      <c r="C50" s="234"/>
      <c r="D50" s="234"/>
      <c r="E50" s="234"/>
      <c r="F50" s="234"/>
      <c r="G50" s="247" t="s">
        <v>1067</v>
      </c>
      <c r="H50" s="916" t="s">
        <v>22</v>
      </c>
      <c r="I50" s="739">
        <f>G42</f>
        <v>0</v>
      </c>
      <c r="J50" s="917">
        <v>20</v>
      </c>
      <c r="K50" s="977"/>
    </row>
    <row r="51" spans="1:11" ht="15.75">
      <c r="A51" s="262"/>
      <c r="B51" s="235"/>
      <c r="C51" s="235"/>
      <c r="D51" s="235"/>
      <c r="E51" s="235"/>
      <c r="F51" s="235"/>
      <c r="G51" s="235"/>
      <c r="H51" s="265"/>
      <c r="I51" s="235"/>
      <c r="J51" s="272"/>
      <c r="K51" s="977"/>
    </row>
    <row r="52" spans="1:11" ht="15.75">
      <c r="A52" s="476" t="s">
        <v>138</v>
      </c>
      <c r="B52" s="234"/>
      <c r="C52" s="234"/>
      <c r="D52" s="234"/>
      <c r="E52" s="241"/>
      <c r="F52" s="234"/>
      <c r="G52" s="247"/>
      <c r="H52" s="265"/>
      <c r="I52" s="467">
        <f>I36-I50</f>
        <v>0</v>
      </c>
      <c r="J52" s="917">
        <v>21</v>
      </c>
      <c r="K52" s="977"/>
    </row>
    <row r="53" spans="1:11" ht="33.75" customHeight="1">
      <c r="A53" s="476"/>
      <c r="B53" s="234"/>
      <c r="C53" s="914" t="s">
        <v>933</v>
      </c>
      <c r="D53" s="234"/>
      <c r="E53" s="234"/>
      <c r="F53" s="234"/>
      <c r="G53" s="234"/>
      <c r="H53" s="234"/>
      <c r="I53" s="234"/>
      <c r="J53" s="273" t="s">
        <v>1722</v>
      </c>
      <c r="K53" s="977"/>
    </row>
    <row r="54" spans="1:11" ht="21.75" customHeight="1">
      <c r="A54" s="235" t="str">
        <f>"*  If you resided in another province or territory on December 31, "&amp;lastyeartext&amp;", enter on line 1 the unused federal"</f>
        <v>*  If you resided in another province or territory on December 31, 2005, enter on line 1 the unused federal</v>
      </c>
      <c r="B54" s="235"/>
      <c r="C54" s="235"/>
      <c r="D54" s="235"/>
      <c r="E54" s="235"/>
      <c r="F54" s="235"/>
      <c r="G54" s="235"/>
      <c r="H54" s="235"/>
      <c r="I54" s="235"/>
      <c r="J54" s="235"/>
      <c r="K54" s="977"/>
    </row>
    <row r="55" spans="1:11" ht="15">
      <c r="A55" s="267" t="str">
        <f>" tuition and education amount from your "&amp;lastyeartext&amp;""</f>
        <v> tuition and education amount from your 2005</v>
      </c>
      <c r="B55" s="829" t="s">
        <v>902</v>
      </c>
      <c r="C55" s="235"/>
      <c r="D55" s="235"/>
      <c r="E55" s="235"/>
      <c r="F55" s="235"/>
      <c r="G55" s="235"/>
      <c r="H55" s="235"/>
      <c r="I55" s="235"/>
      <c r="J55" s="235"/>
      <c r="K55" s="977"/>
    </row>
    <row r="56" spans="1:11" ht="20.25">
      <c r="A56" s="266"/>
      <c r="B56" s="266"/>
      <c r="C56" s="266"/>
      <c r="D56" s="266"/>
      <c r="E56" s="266"/>
      <c r="F56" s="266"/>
      <c r="G56" s="266"/>
      <c r="H56" s="266"/>
      <c r="I56" s="266"/>
      <c r="J56" s="266"/>
      <c r="K56" s="977"/>
    </row>
  </sheetData>
  <sheetProtection password="EC35" sheet="1" objects="1" scenarios="1"/>
  <dataValidations count="1">
    <dataValidation type="whole" allowBlank="1" showInputMessage="1" showErrorMessage="1" errorTitle="Data Entry Error" error="Must a postive integer between 0 and 12" sqref="D17:D18">
      <formula1>0</formula1>
      <formula2>12</formula2>
    </dataValidation>
  </dataValidations>
  <hyperlinks>
    <hyperlink ref="K1:K56" location="'GO TO'!B24" display=" "/>
  </hyperlinks>
  <printOptions horizontalCentered="1"/>
  <pageMargins left="0.31496062992125984" right="0.31496062992125984" top="0.31496062992125984" bottom="0.3937007874015748" header="0.5118110236220472" footer="0.31496062992125984"/>
  <pageSetup fitToHeight="0" fitToWidth="1" horizontalDpi="600" verticalDpi="600" orientation="portrait" scale="72" r:id="rId4"/>
  <headerFooter alignWithMargins="0">
    <oddFooter>&amp;L5003-S11</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11" transitionEvaluation="1">
    <pageSetUpPr fitToPage="1"/>
  </sheetPr>
  <dimension ref="A1:L112"/>
  <sheetViews>
    <sheetView showGridLines="0" zoomScale="75" zoomScaleNormal="75" workbookViewId="0" topLeftCell="A1">
      <selection activeCell="B2" sqref="B2"/>
    </sheetView>
  </sheetViews>
  <sheetFormatPr defaultColWidth="9.77734375" defaultRowHeight="15"/>
  <cols>
    <col min="1" max="1" width="2.99609375" style="619" customWidth="1"/>
    <col min="2" max="2" width="44.77734375" style="619" customWidth="1"/>
    <col min="3" max="3" width="4.77734375" style="619" customWidth="1"/>
    <col min="4" max="4" width="11.77734375" style="619" customWidth="1"/>
    <col min="5" max="5" width="4.77734375" style="619" customWidth="1"/>
    <col min="6" max="6" width="11.77734375" style="619" customWidth="1"/>
    <col min="7" max="7" width="4.77734375" style="619" customWidth="1"/>
    <col min="8" max="8" width="11.77734375" style="619" customWidth="1"/>
    <col min="9" max="9" width="4.77734375" style="619" customWidth="1"/>
    <col min="10" max="10" width="11.77734375" style="619" customWidth="1"/>
    <col min="11" max="11" width="3.77734375" style="619" customWidth="1"/>
    <col min="12" max="16384" width="9.77734375" style="619" customWidth="1"/>
  </cols>
  <sheetData>
    <row r="1" spans="1:12" ht="24.75" customHeight="1">
      <c r="A1" s="658"/>
      <c r="B1" s="141" t="str">
        <f>"T1-"&amp;yeartext</f>
        <v>T1-2006</v>
      </c>
      <c r="C1" s="178"/>
      <c r="D1" s="1172" t="s">
        <v>289</v>
      </c>
      <c r="E1" s="118"/>
      <c r="F1" s="112"/>
      <c r="G1" s="118"/>
      <c r="H1" s="80"/>
      <c r="I1" s="118"/>
      <c r="J1" s="1172" t="s">
        <v>1106</v>
      </c>
      <c r="K1" s="118"/>
      <c r="L1" s="1339" t="s">
        <v>1793</v>
      </c>
    </row>
    <row r="2" spans="1:12" ht="15.75" customHeight="1">
      <c r="A2" s="658"/>
      <c r="B2" s="99"/>
      <c r="C2" s="118"/>
      <c r="D2" s="112"/>
      <c r="E2" s="118"/>
      <c r="F2" s="112"/>
      <c r="G2" s="118"/>
      <c r="H2" s="80"/>
      <c r="I2" s="118"/>
      <c r="J2" s="112"/>
      <c r="K2" s="118"/>
      <c r="L2" s="1339"/>
    </row>
    <row r="3" spans="1:12" ht="15.75" customHeight="1">
      <c r="A3" s="658"/>
      <c r="B3" s="80" t="s">
        <v>490</v>
      </c>
      <c r="C3" s="80"/>
      <c r="D3" s="118"/>
      <c r="E3" s="80"/>
      <c r="F3" s="80"/>
      <c r="G3" s="80"/>
      <c r="H3" s="80"/>
      <c r="I3" s="80"/>
      <c r="J3" s="80"/>
      <c r="K3" s="80"/>
      <c r="L3" s="1339"/>
    </row>
    <row r="4" spans="1:12" ht="21" customHeight="1">
      <c r="A4" s="658"/>
      <c r="B4" s="89" t="s">
        <v>94</v>
      </c>
      <c r="C4" s="80"/>
      <c r="D4" s="118"/>
      <c r="E4" s="80"/>
      <c r="F4" s="80"/>
      <c r="G4" s="80"/>
      <c r="H4" s="80"/>
      <c r="I4" s="80"/>
      <c r="J4" s="80"/>
      <c r="K4" s="80"/>
      <c r="L4" s="1339"/>
    </row>
    <row r="5" spans="1:12" ht="7.5" customHeight="1">
      <c r="A5" s="658"/>
      <c r="B5" s="80"/>
      <c r="C5" s="80"/>
      <c r="D5" s="118"/>
      <c r="E5" s="80"/>
      <c r="F5" s="80"/>
      <c r="G5" s="80"/>
      <c r="H5" s="80"/>
      <c r="I5" s="80"/>
      <c r="J5" s="80"/>
      <c r="K5" s="80"/>
      <c r="L5" s="1339"/>
    </row>
    <row r="6" spans="1:12" ht="15.75" customHeight="1">
      <c r="A6" s="658"/>
      <c r="B6" s="170" t="s">
        <v>1287</v>
      </c>
      <c r="C6" s="170"/>
      <c r="D6" s="170"/>
      <c r="E6" s="170"/>
      <c r="F6" s="170"/>
      <c r="G6" s="80"/>
      <c r="H6" s="388">
        <f>'T1 GEN-2-3-4'!K101</f>
        <v>0</v>
      </c>
      <c r="I6" s="161">
        <v>1</v>
      </c>
      <c r="J6" s="80"/>
      <c r="K6" s="99"/>
      <c r="L6" s="1339"/>
    </row>
    <row r="7" spans="1:12" ht="21.75" customHeight="1">
      <c r="A7" s="658"/>
      <c r="B7" s="125" t="s">
        <v>1107</v>
      </c>
      <c r="C7" s="125"/>
      <c r="D7" s="125"/>
      <c r="E7" s="125"/>
      <c r="F7" s="125"/>
      <c r="G7" s="103"/>
      <c r="H7" s="125"/>
      <c r="I7" s="103"/>
      <c r="J7" s="125"/>
      <c r="K7" s="99"/>
      <c r="L7" s="1339"/>
    </row>
    <row r="8" spans="1:12" ht="15.75" customHeight="1">
      <c r="A8" s="658"/>
      <c r="B8" s="103" t="s">
        <v>1108</v>
      </c>
      <c r="C8" s="125"/>
      <c r="D8" s="179"/>
      <c r="E8" s="179"/>
      <c r="F8" s="179" t="s">
        <v>1113</v>
      </c>
      <c r="G8" s="184"/>
      <c r="H8" s="179" t="s">
        <v>1115</v>
      </c>
      <c r="I8" s="184"/>
      <c r="J8" s="179"/>
      <c r="K8" s="99"/>
      <c r="L8" s="1339"/>
    </row>
    <row r="9" spans="1:12" ht="15.75" customHeight="1">
      <c r="A9" s="658"/>
      <c r="B9" s="125"/>
      <c r="C9" s="125"/>
      <c r="D9" s="179"/>
      <c r="E9" s="125"/>
      <c r="F9" s="179" t="s">
        <v>119</v>
      </c>
      <c r="G9" s="184"/>
      <c r="H9" s="179" t="s">
        <v>119</v>
      </c>
      <c r="I9" s="184"/>
      <c r="J9" s="179" t="s">
        <v>120</v>
      </c>
      <c r="K9" s="99"/>
      <c r="L9" s="1339"/>
    </row>
    <row r="10" spans="1:12" ht="15.75" customHeight="1">
      <c r="A10" s="658"/>
      <c r="B10" s="77" t="s">
        <v>118</v>
      </c>
      <c r="C10" s="125"/>
      <c r="D10" s="841" t="s">
        <v>1112</v>
      </c>
      <c r="E10" s="125"/>
      <c r="F10" s="180" t="s">
        <v>1114</v>
      </c>
      <c r="G10" s="125"/>
      <c r="H10" s="180" t="s">
        <v>1116</v>
      </c>
      <c r="I10" s="125"/>
      <c r="J10" s="180" t="s">
        <v>1116</v>
      </c>
      <c r="K10" s="103"/>
      <c r="L10" s="1339"/>
    </row>
    <row r="11" spans="1:12" ht="15.75" customHeight="1">
      <c r="A11" s="658"/>
      <c r="B11" s="125"/>
      <c r="C11" s="125"/>
      <c r="D11" s="125"/>
      <c r="E11" s="125"/>
      <c r="F11" s="661"/>
      <c r="G11" s="125"/>
      <c r="H11" s="125"/>
      <c r="I11" s="103"/>
      <c r="J11" s="661"/>
      <c r="K11" s="189"/>
      <c r="L11" s="1339"/>
    </row>
    <row r="12" spans="1:12" ht="15.75" customHeight="1">
      <c r="A12" s="658"/>
      <c r="B12" s="629" t="s">
        <v>1109</v>
      </c>
      <c r="C12" s="125"/>
      <c r="D12" s="388">
        <f>IF(NOT(H6&gt;F13),H6,0)</f>
        <v>0</v>
      </c>
      <c r="E12" s="181" t="s">
        <v>615</v>
      </c>
      <c r="F12" s="388">
        <f>IF($H$6&gt;F13,IF(NOT($H$6&gt;H13),$H$6,0),0)</f>
        <v>0</v>
      </c>
      <c r="G12" s="181" t="s">
        <v>615</v>
      </c>
      <c r="H12" s="388">
        <f>IF($H$6&gt;H13,IF(NOT($H$6&gt;J13),$H$6,0),0)</f>
        <v>0</v>
      </c>
      <c r="I12" s="181" t="s">
        <v>615</v>
      </c>
      <c r="J12" s="388">
        <f>IF(H6&gt;J13,H6,0)</f>
        <v>0</v>
      </c>
      <c r="K12" s="181" t="s">
        <v>615</v>
      </c>
      <c r="L12" s="1339"/>
    </row>
    <row r="13" spans="1:12" ht="15.75" customHeight="1" thickBot="1">
      <c r="A13" s="658"/>
      <c r="B13" s="629" t="s">
        <v>1556</v>
      </c>
      <c r="C13" s="125"/>
      <c r="D13" s="734">
        <v>0</v>
      </c>
      <c r="E13" s="662" t="s">
        <v>616</v>
      </c>
      <c r="F13" s="734">
        <v>36378</v>
      </c>
      <c r="G13" s="662" t="s">
        <v>616</v>
      </c>
      <c r="H13" s="734">
        <v>72756</v>
      </c>
      <c r="I13" s="662" t="s">
        <v>616</v>
      </c>
      <c r="J13" s="734">
        <v>118285</v>
      </c>
      <c r="K13" s="662" t="s">
        <v>616</v>
      </c>
      <c r="L13" s="1339"/>
    </row>
    <row r="14" spans="1:12" ht="15">
      <c r="A14" s="658"/>
      <c r="B14" s="663" t="s">
        <v>316</v>
      </c>
      <c r="C14" s="125"/>
      <c r="D14" s="388">
        <f>MAXA(0,D12-D13)</f>
        <v>0</v>
      </c>
      <c r="E14" s="181" t="s">
        <v>617</v>
      </c>
      <c r="F14" s="404">
        <f>MAXA(0,F12-F13)</f>
        <v>0</v>
      </c>
      <c r="G14" s="181" t="s">
        <v>617</v>
      </c>
      <c r="H14" s="404">
        <f>MAXA(0,H12-H13)</f>
        <v>0</v>
      </c>
      <c r="I14" s="181" t="s">
        <v>617</v>
      </c>
      <c r="J14" s="404">
        <f>MAXA(0,J12-J13)</f>
        <v>0</v>
      </c>
      <c r="K14" s="181" t="s">
        <v>617</v>
      </c>
      <c r="L14" s="1339"/>
    </row>
    <row r="15" spans="1:12" ht="15.75" customHeight="1" thickBot="1">
      <c r="A15" s="658"/>
      <c r="B15" s="629" t="s">
        <v>1324</v>
      </c>
      <c r="C15" s="125"/>
      <c r="D15" s="797">
        <v>0.1525</v>
      </c>
      <c r="E15" s="181" t="s">
        <v>618</v>
      </c>
      <c r="F15" s="735">
        <v>0.22</v>
      </c>
      <c r="G15" s="181" t="s">
        <v>618</v>
      </c>
      <c r="H15" s="735">
        <v>0.26</v>
      </c>
      <c r="I15" s="181" t="s">
        <v>618</v>
      </c>
      <c r="J15" s="735">
        <v>0.29</v>
      </c>
      <c r="K15" s="181" t="s">
        <v>618</v>
      </c>
      <c r="L15" s="1339"/>
    </row>
    <row r="16" spans="1:12" ht="15">
      <c r="A16" s="658"/>
      <c r="B16" s="663" t="s">
        <v>317</v>
      </c>
      <c r="C16" s="125"/>
      <c r="D16" s="388">
        <f>D14*D15</f>
        <v>0</v>
      </c>
      <c r="E16" s="181" t="s">
        <v>619</v>
      </c>
      <c r="F16" s="404">
        <f>F14*F15</f>
        <v>0</v>
      </c>
      <c r="G16" s="181" t="s">
        <v>619</v>
      </c>
      <c r="H16" s="404">
        <f>H14*H15</f>
        <v>0</v>
      </c>
      <c r="I16" s="181" t="s">
        <v>619</v>
      </c>
      <c r="J16" s="404">
        <f>J14*J15</f>
        <v>0</v>
      </c>
      <c r="K16" s="181" t="s">
        <v>619</v>
      </c>
      <c r="L16" s="1339"/>
    </row>
    <row r="17" spans="1:12" ht="15.75" thickBot="1">
      <c r="A17" s="658"/>
      <c r="B17" s="629" t="s">
        <v>569</v>
      </c>
      <c r="C17" s="125"/>
      <c r="D17" s="734">
        <v>0</v>
      </c>
      <c r="E17" s="181" t="s">
        <v>1560</v>
      </c>
      <c r="F17" s="752">
        <v>5548</v>
      </c>
      <c r="G17" s="181" t="s">
        <v>1560</v>
      </c>
      <c r="H17" s="752">
        <v>13551</v>
      </c>
      <c r="I17" s="181" t="s">
        <v>1560</v>
      </c>
      <c r="J17" s="752">
        <v>25388</v>
      </c>
      <c r="K17" s="181" t="s">
        <v>1560</v>
      </c>
      <c r="L17" s="1339"/>
    </row>
    <row r="18" spans="1:12" ht="28.5" customHeight="1">
      <c r="A18" s="658"/>
      <c r="B18" s="664" t="s">
        <v>1110</v>
      </c>
      <c r="C18" s="105"/>
      <c r="D18" s="388">
        <f>IF(OR(H6&lt;F13,H6=F13),(D16+D17),0)</f>
        <v>0</v>
      </c>
      <c r="E18" s="181" t="s">
        <v>620</v>
      </c>
      <c r="F18" s="404" t="b">
        <f>IF($H$6&gt;F13,IF(NOT($H$6&gt;H13),(F16+F17),0))</f>
        <v>0</v>
      </c>
      <c r="G18" s="181" t="s">
        <v>620</v>
      </c>
      <c r="H18" s="404" t="b">
        <f>IF($H$6&gt;H13,IF(NOT($H$6&gt;J13),(H16+H17),0))</f>
        <v>0</v>
      </c>
      <c r="I18" s="181" t="s">
        <v>620</v>
      </c>
      <c r="J18" s="404">
        <f>IF(H6&gt;J13,J16+J17,0)</f>
        <v>0</v>
      </c>
      <c r="K18" s="181" t="s">
        <v>620</v>
      </c>
      <c r="L18" s="1339"/>
    </row>
    <row r="19" spans="1:12" ht="15.75">
      <c r="A19" s="658"/>
      <c r="B19" s="125"/>
      <c r="C19" s="125"/>
      <c r="D19" s="125"/>
      <c r="E19" s="125"/>
      <c r="F19" s="125"/>
      <c r="G19" s="103"/>
      <c r="H19" s="105"/>
      <c r="I19" s="103"/>
      <c r="J19" s="661"/>
      <c r="K19" s="189"/>
      <c r="L19" s="1339"/>
    </row>
    <row r="20" spans="1:12" ht="8.25" customHeight="1">
      <c r="A20" s="658"/>
      <c r="B20" s="80"/>
      <c r="C20" s="80"/>
      <c r="D20" s="80"/>
      <c r="E20" s="80"/>
      <c r="F20" s="80"/>
      <c r="G20" s="99"/>
      <c r="H20" s="80"/>
      <c r="I20" s="99"/>
      <c r="J20" s="119"/>
      <c r="K20" s="99"/>
      <c r="L20" s="1339"/>
    </row>
    <row r="21" spans="1:12" ht="18">
      <c r="A21" s="658"/>
      <c r="B21" s="1171" t="s">
        <v>1111</v>
      </c>
      <c r="C21" s="80"/>
      <c r="D21" s="80"/>
      <c r="E21" s="80"/>
      <c r="F21" s="80"/>
      <c r="G21" s="99"/>
      <c r="H21" s="80"/>
      <c r="I21" s="99"/>
      <c r="J21" s="119"/>
      <c r="K21" s="99"/>
      <c r="L21" s="1339"/>
    </row>
    <row r="22" spans="1:12" ht="6.75" customHeight="1">
      <c r="A22" s="658"/>
      <c r="B22" s="80"/>
      <c r="C22" s="80"/>
      <c r="D22" s="80"/>
      <c r="E22" s="80"/>
      <c r="F22" s="80"/>
      <c r="G22" s="99"/>
      <c r="H22" s="80"/>
      <c r="I22" s="99"/>
      <c r="J22" s="119"/>
      <c r="K22" s="99"/>
      <c r="L22" s="1339"/>
    </row>
    <row r="23" spans="1:12" ht="18">
      <c r="A23" s="658"/>
      <c r="B23" s="77" t="s">
        <v>1982</v>
      </c>
      <c r="C23" s="77"/>
      <c r="D23" s="77"/>
      <c r="E23" s="77"/>
      <c r="F23" s="100" t="s">
        <v>1117</v>
      </c>
      <c r="G23" s="2">
        <v>300</v>
      </c>
      <c r="H23" s="467">
        <f>8839*fract</f>
        <v>8839</v>
      </c>
      <c r="I23" s="110">
        <v>9</v>
      </c>
      <c r="J23" s="119"/>
      <c r="K23" s="89"/>
      <c r="L23" s="1339"/>
    </row>
    <row r="24" spans="1:12" ht="18">
      <c r="A24" s="658"/>
      <c r="B24" s="78" t="str">
        <f>"Age amount (if you were born in "&amp;year65text&amp;" or earlier)"</f>
        <v>Age amount (if you were born in 1941 or earlier)</v>
      </c>
      <c r="C24" s="77"/>
      <c r="D24" s="77"/>
      <c r="E24" s="77"/>
      <c r="F24" s="93" t="str">
        <f>"(maximum $5,066)"</f>
        <v>(maximum $5,066)</v>
      </c>
      <c r="G24" s="2">
        <v>301</v>
      </c>
      <c r="H24" s="404">
        <f>IF(age&gt;64,'FED WRK'!I47,0)</f>
        <v>0</v>
      </c>
      <c r="I24" s="110">
        <v>10</v>
      </c>
      <c r="J24" s="119"/>
      <c r="K24" s="89"/>
      <c r="L24" s="1339"/>
    </row>
    <row r="25" spans="1:12" ht="18">
      <c r="A25" s="658"/>
      <c r="B25" s="84" t="s">
        <v>96</v>
      </c>
      <c r="C25" s="80"/>
      <c r="D25" s="80"/>
      <c r="E25" s="80"/>
      <c r="F25" s="80"/>
      <c r="G25" s="103"/>
      <c r="H25" s="101"/>
      <c r="I25" s="89"/>
      <c r="J25" s="119"/>
      <c r="K25" s="89"/>
      <c r="L25" s="1339"/>
    </row>
    <row r="26" spans="1:12" ht="18">
      <c r="A26" s="658"/>
      <c r="B26" s="77" t="s">
        <v>1991</v>
      </c>
      <c r="C26" s="77"/>
      <c r="D26" s="1173">
        <v>8256</v>
      </c>
      <c r="E26" s="105"/>
      <c r="F26" s="105"/>
      <c r="G26" s="105"/>
      <c r="H26" s="105"/>
      <c r="I26" s="89"/>
      <c r="J26" s="89"/>
      <c r="K26" s="89"/>
      <c r="L26" s="1339"/>
    </row>
    <row r="27" spans="1:12" ht="30.75" thickBot="1">
      <c r="A27" s="658"/>
      <c r="B27" s="79" t="s">
        <v>1983</v>
      </c>
      <c r="C27" s="78"/>
      <c r="D27" s="734">
        <f>'T1 GEN-1'!U30</f>
        <v>0</v>
      </c>
      <c r="E27" s="105"/>
      <c r="F27" s="105"/>
      <c r="G27" s="105"/>
      <c r="H27" s="105"/>
      <c r="I27" s="89"/>
      <c r="J27" s="89"/>
      <c r="K27" s="89"/>
      <c r="L27" s="1339"/>
    </row>
    <row r="28" spans="1:12" ht="18">
      <c r="A28" s="658"/>
      <c r="B28" s="78" t="s">
        <v>2008</v>
      </c>
      <c r="C28" s="77"/>
      <c r="D28" s="388">
        <f>IF(D27&gt;D26,0,(D26-D27))</f>
        <v>8256</v>
      </c>
      <c r="E28" s="105"/>
      <c r="F28" s="843" t="s">
        <v>1118</v>
      </c>
      <c r="G28" s="2">
        <v>303</v>
      </c>
      <c r="H28" s="404">
        <f>IF(QUAL!G10,MINA(7505,D28),0)</f>
        <v>0</v>
      </c>
      <c r="I28" s="110">
        <v>11</v>
      </c>
      <c r="J28" s="89"/>
      <c r="K28" s="89"/>
      <c r="L28" s="1339"/>
    </row>
    <row r="29" spans="1:12" ht="18">
      <c r="A29" s="658"/>
      <c r="B29" s="78" t="s">
        <v>415</v>
      </c>
      <c r="C29" s="78"/>
      <c r="D29" s="78"/>
      <c r="E29" s="78"/>
      <c r="F29" s="842" t="s">
        <v>1118</v>
      </c>
      <c r="G29" s="2">
        <v>305</v>
      </c>
      <c r="H29" s="404">
        <f>IF(QUAL!G13,'FED WRK'!I55,0)</f>
        <v>0</v>
      </c>
      <c r="I29" s="110">
        <v>12</v>
      </c>
      <c r="J29" s="89"/>
      <c r="K29" s="89"/>
      <c r="L29" s="1339"/>
    </row>
    <row r="30" spans="1:12" ht="18">
      <c r="A30" s="658"/>
      <c r="B30" s="78" t="s">
        <v>416</v>
      </c>
      <c r="C30" s="77"/>
      <c r="D30" s="77"/>
      <c r="E30" s="77"/>
      <c r="F30" s="78"/>
      <c r="G30" s="2">
        <v>306</v>
      </c>
      <c r="H30" s="404">
        <f>IF(QUAL!G16,'FED WRK'!I71,0)</f>
        <v>0</v>
      </c>
      <c r="I30" s="110">
        <v>13</v>
      </c>
      <c r="J30" s="89"/>
      <c r="K30" s="89"/>
      <c r="L30" s="1339"/>
    </row>
    <row r="31" spans="1:12" ht="18">
      <c r="A31" s="658"/>
      <c r="B31" s="84" t="s">
        <v>754</v>
      </c>
      <c r="C31" s="80"/>
      <c r="D31" s="80"/>
      <c r="E31" s="80"/>
      <c r="F31" s="84"/>
      <c r="G31" s="110"/>
      <c r="H31" s="185"/>
      <c r="I31" s="89"/>
      <c r="J31" s="89"/>
      <c r="K31" s="89"/>
      <c r="L31" s="1339"/>
    </row>
    <row r="32" spans="1:12" ht="18">
      <c r="A32" s="658"/>
      <c r="B32" s="77" t="s">
        <v>307</v>
      </c>
      <c r="C32" s="77"/>
      <c r="D32" s="77"/>
      <c r="E32" s="77"/>
      <c r="F32" s="843" t="s">
        <v>1119</v>
      </c>
      <c r="G32" s="2">
        <v>308</v>
      </c>
      <c r="H32" s="665">
        <f>MIN('T2204'!I21,'T2204'!I22)</f>
        <v>0</v>
      </c>
      <c r="I32" s="1174" t="s">
        <v>2093</v>
      </c>
      <c r="J32" s="89"/>
      <c r="K32" s="89"/>
      <c r="L32" s="1339"/>
    </row>
    <row r="33" spans="1:12" ht="18">
      <c r="A33" s="658"/>
      <c r="B33" s="78" t="s">
        <v>2273</v>
      </c>
      <c r="C33" s="78"/>
      <c r="D33" s="78"/>
      <c r="E33" s="78"/>
      <c r="F33" s="80"/>
      <c r="G33" s="2">
        <v>310</v>
      </c>
      <c r="H33" s="404">
        <f>Sch8!I28</f>
        <v>0</v>
      </c>
      <c r="I33" s="1174" t="s">
        <v>2094</v>
      </c>
      <c r="J33" s="89"/>
      <c r="K33" s="89"/>
      <c r="L33" s="1339"/>
    </row>
    <row r="34" spans="1:12" ht="18">
      <c r="A34" s="658"/>
      <c r="B34" s="78" t="s">
        <v>2068</v>
      </c>
      <c r="C34" s="77"/>
      <c r="D34" s="77"/>
      <c r="E34" s="77"/>
      <c r="F34" s="842" t="s">
        <v>1120</v>
      </c>
      <c r="G34" s="2">
        <v>312</v>
      </c>
      <c r="H34" s="404">
        <f>MISC!L55</f>
        <v>0</v>
      </c>
      <c r="I34" s="1174" t="s">
        <v>2095</v>
      </c>
      <c r="J34" s="89"/>
      <c r="K34" s="89"/>
      <c r="L34" s="1339"/>
    </row>
    <row r="35" spans="1:12" ht="18">
      <c r="A35" s="658"/>
      <c r="B35" s="78" t="s">
        <v>1123</v>
      </c>
      <c r="C35" s="77"/>
      <c r="D35" s="77"/>
      <c r="E35" s="77"/>
      <c r="F35" s="842" t="s">
        <v>1121</v>
      </c>
      <c r="G35" s="2">
        <v>363</v>
      </c>
      <c r="H35" s="97">
        <f>IF('T1 GEN-1'!H34:J34="",MIN(250,'T1 GEN-2-3-4'!I13+'T1 GEN-2-3-4'!I15),0)</f>
        <v>0</v>
      </c>
      <c r="I35" s="110">
        <v>17</v>
      </c>
      <c r="J35" s="89"/>
      <c r="K35" s="89"/>
      <c r="L35" s="1339"/>
    </row>
    <row r="36" spans="1:12" ht="18">
      <c r="A36" s="658"/>
      <c r="B36" s="78" t="s">
        <v>1122</v>
      </c>
      <c r="C36" s="77"/>
      <c r="D36" s="77"/>
      <c r="E36" s="77"/>
      <c r="F36" s="842"/>
      <c r="G36" s="2">
        <v>364</v>
      </c>
      <c r="H36" s="404">
        <f>MISC!L57</f>
        <v>0</v>
      </c>
      <c r="I36" s="110">
        <v>18</v>
      </c>
      <c r="J36" s="89"/>
      <c r="K36" s="89"/>
      <c r="L36" s="1339"/>
    </row>
    <row r="37" spans="1:12" ht="18">
      <c r="A37" s="658"/>
      <c r="B37" s="78" t="s">
        <v>361</v>
      </c>
      <c r="C37" s="77"/>
      <c r="D37" s="77"/>
      <c r="E37" s="77"/>
      <c r="F37" s="464"/>
      <c r="G37" s="2">
        <v>313</v>
      </c>
      <c r="H37" s="97"/>
      <c r="I37" s="110">
        <v>19</v>
      </c>
      <c r="J37" s="89"/>
      <c r="K37" s="89"/>
      <c r="L37" s="1339"/>
    </row>
    <row r="38" spans="1:12" ht="18">
      <c r="A38" s="658"/>
      <c r="B38" s="78" t="s">
        <v>1066</v>
      </c>
      <c r="C38" s="77"/>
      <c r="D38" s="77"/>
      <c r="E38" s="77"/>
      <c r="F38" s="464" t="s">
        <v>1527</v>
      </c>
      <c r="G38" s="2">
        <v>314</v>
      </c>
      <c r="H38" s="404">
        <f>'FED WRK'!I90</f>
        <v>0</v>
      </c>
      <c r="I38" s="110">
        <v>20</v>
      </c>
      <c r="J38" s="89"/>
      <c r="K38" s="89"/>
      <c r="L38" s="1339"/>
    </row>
    <row r="39" spans="1:12" ht="18">
      <c r="A39" s="658"/>
      <c r="B39" s="78" t="s">
        <v>417</v>
      </c>
      <c r="C39" s="77"/>
      <c r="D39" s="77"/>
      <c r="E39" s="77"/>
      <c r="F39" s="78"/>
      <c r="G39" s="2">
        <v>315</v>
      </c>
      <c r="H39" s="404">
        <f>IF(QUAL!G19,'FED WRK'!I102,0)</f>
        <v>0</v>
      </c>
      <c r="I39" s="110">
        <v>21</v>
      </c>
      <c r="J39" s="89"/>
      <c r="K39" s="89"/>
      <c r="L39" s="1339"/>
    </row>
    <row r="40" spans="1:12" ht="18">
      <c r="A40" s="658"/>
      <c r="B40" s="78" t="s">
        <v>1124</v>
      </c>
      <c r="C40" s="77"/>
      <c r="D40" s="77"/>
      <c r="E40" s="77"/>
      <c r="F40" s="78"/>
      <c r="G40" s="2">
        <v>316</v>
      </c>
      <c r="H40" s="404">
        <f>IF(QUAL!G22,'FED WRK'!I116,0)</f>
        <v>0</v>
      </c>
      <c r="I40" s="110">
        <v>22</v>
      </c>
      <c r="J40" s="89"/>
      <c r="K40" s="89"/>
      <c r="L40" s="1339"/>
    </row>
    <row r="41" spans="1:12" ht="18">
      <c r="A41" s="658"/>
      <c r="B41" s="78" t="s">
        <v>630</v>
      </c>
      <c r="C41" s="77"/>
      <c r="D41" s="77"/>
      <c r="E41" s="77"/>
      <c r="F41" s="78"/>
      <c r="G41" s="2">
        <v>318</v>
      </c>
      <c r="H41" s="404">
        <f>IF(QUAL!G25,'FED WRK'!I132,0)</f>
        <v>0</v>
      </c>
      <c r="I41" s="110">
        <v>23</v>
      </c>
      <c r="J41" s="89"/>
      <c r="K41" s="89"/>
      <c r="L41" s="1339"/>
    </row>
    <row r="42" spans="1:12" ht="18">
      <c r="A42" s="658"/>
      <c r="B42" s="78" t="s">
        <v>452</v>
      </c>
      <c r="C42" s="77"/>
      <c r="D42" s="77"/>
      <c r="E42" s="77"/>
      <c r="F42" s="78"/>
      <c r="G42" s="2">
        <v>319</v>
      </c>
      <c r="H42" s="97"/>
      <c r="I42" s="110">
        <v>24</v>
      </c>
      <c r="J42" s="89"/>
      <c r="K42" s="89"/>
      <c r="L42" s="1339"/>
    </row>
    <row r="43" spans="1:12" ht="18">
      <c r="A43" s="658"/>
      <c r="B43" s="78" t="s">
        <v>418</v>
      </c>
      <c r="C43" s="77"/>
      <c r="D43" s="77"/>
      <c r="E43" s="77"/>
      <c r="F43" s="78"/>
      <c r="G43" s="2">
        <v>323</v>
      </c>
      <c r="H43" s="404">
        <f>Sch11!K39</f>
        <v>0</v>
      </c>
      <c r="I43" s="110">
        <v>25</v>
      </c>
      <c r="J43" s="89"/>
      <c r="K43" s="89"/>
      <c r="L43" s="1339"/>
    </row>
    <row r="44" spans="1:12" ht="18">
      <c r="A44" s="658"/>
      <c r="B44" s="78" t="s">
        <v>482</v>
      </c>
      <c r="C44" s="77"/>
      <c r="D44" s="77"/>
      <c r="E44" s="77"/>
      <c r="F44" s="78"/>
      <c r="G44" s="2">
        <v>324</v>
      </c>
      <c r="H44" s="97"/>
      <c r="I44" s="110">
        <v>26</v>
      </c>
      <c r="J44" s="89"/>
      <c r="K44" s="89"/>
      <c r="L44" s="1339"/>
    </row>
    <row r="45" spans="1:12" ht="18">
      <c r="A45" s="658"/>
      <c r="B45" s="1353" t="s">
        <v>419</v>
      </c>
      <c r="C45" s="1354"/>
      <c r="D45" s="1354"/>
      <c r="E45" s="1354"/>
      <c r="F45" s="1354"/>
      <c r="G45" s="2">
        <v>326</v>
      </c>
      <c r="H45" s="404">
        <f>Sch2!J28</f>
        <v>0</v>
      </c>
      <c r="I45" s="110">
        <v>27</v>
      </c>
      <c r="J45" s="89"/>
      <c r="K45" s="89"/>
      <c r="L45" s="1339"/>
    </row>
    <row r="46" spans="1:12" ht="24" customHeight="1">
      <c r="A46" s="658"/>
      <c r="B46" s="84" t="s">
        <v>883</v>
      </c>
      <c r="C46" s="80"/>
      <c r="D46" s="80"/>
      <c r="E46" s="80"/>
      <c r="F46" s="80"/>
      <c r="G46" s="110"/>
      <c r="H46" s="89"/>
      <c r="I46" s="89"/>
      <c r="J46" s="89"/>
      <c r="K46" s="89"/>
      <c r="L46" s="1339"/>
    </row>
    <row r="47" spans="1:12" ht="18">
      <c r="A47" s="658"/>
      <c r="B47" s="77" t="str">
        <f>"dependent children born in "&amp;year17text&amp;" or later (see the guide)"</f>
        <v>dependent children born in 1989 or later (see the guide)</v>
      </c>
      <c r="C47" s="77"/>
      <c r="D47" s="77"/>
      <c r="E47" s="2">
        <v>330</v>
      </c>
      <c r="F47" s="388">
        <f>MISC!L56</f>
        <v>0</v>
      </c>
      <c r="G47" s="110"/>
      <c r="H47" s="89"/>
      <c r="I47" s="89"/>
      <c r="J47" s="89"/>
      <c r="K47" s="89"/>
      <c r="L47" s="1339"/>
    </row>
    <row r="48" spans="1:12" ht="18.75" thickBot="1">
      <c r="A48" s="658"/>
      <c r="B48" s="78" t="s">
        <v>32</v>
      </c>
      <c r="C48" s="77"/>
      <c r="D48" s="77"/>
      <c r="E48" s="80"/>
      <c r="F48" s="734">
        <f>MINA(0.03*'T1 GEN-2-3-4'!K87,1884)</f>
        <v>0</v>
      </c>
      <c r="G48" s="110"/>
      <c r="H48" s="89"/>
      <c r="I48" s="89"/>
      <c r="J48" s="89"/>
      <c r="K48" s="89"/>
      <c r="L48" s="1339"/>
    </row>
    <row r="49" spans="1:12" ht="18">
      <c r="A49" s="658"/>
      <c r="B49" s="78"/>
      <c r="C49" s="77"/>
      <c r="D49" s="93" t="s">
        <v>2009</v>
      </c>
      <c r="E49" s="80"/>
      <c r="F49" s="388">
        <f>MAX(0,F47-F48)</f>
        <v>0</v>
      </c>
      <c r="G49" s="162" t="s">
        <v>420</v>
      </c>
      <c r="H49" s="89"/>
      <c r="I49" s="89"/>
      <c r="J49" s="89"/>
      <c r="K49" s="89"/>
      <c r="L49" s="1339"/>
    </row>
    <row r="50" spans="1:12" ht="30" customHeight="1" thickBot="1">
      <c r="A50" s="658"/>
      <c r="B50" s="1357" t="s">
        <v>462</v>
      </c>
      <c r="C50" s="1358"/>
      <c r="D50" s="1358"/>
      <c r="E50" s="2">
        <v>331</v>
      </c>
      <c r="F50" s="736"/>
      <c r="G50" s="162" t="s">
        <v>421</v>
      </c>
      <c r="H50" s="89"/>
      <c r="I50" s="89"/>
      <c r="J50" s="89"/>
      <c r="K50" s="89"/>
      <c r="L50" s="1339"/>
    </row>
    <row r="51" spans="1:12" ht="18.75" thickBot="1">
      <c r="A51" s="658"/>
      <c r="B51" s="78"/>
      <c r="C51" s="77"/>
      <c r="D51" s="93" t="s">
        <v>2271</v>
      </c>
      <c r="E51" s="80"/>
      <c r="F51" s="388">
        <f>F49+F50</f>
        <v>0</v>
      </c>
      <c r="G51" s="2">
        <v>332</v>
      </c>
      <c r="H51" s="737">
        <f>F51</f>
        <v>0</v>
      </c>
      <c r="I51" s="110">
        <v>28</v>
      </c>
      <c r="J51" s="89"/>
      <c r="K51" s="89"/>
      <c r="L51" s="1339"/>
    </row>
    <row r="52" spans="1:12" ht="29.25" customHeight="1">
      <c r="A52" s="658"/>
      <c r="B52" s="78"/>
      <c r="C52" s="77"/>
      <c r="D52" s="77"/>
      <c r="E52" s="77"/>
      <c r="F52" s="93" t="s">
        <v>1125</v>
      </c>
      <c r="G52" s="2">
        <v>335</v>
      </c>
      <c r="H52" s="388">
        <f>H23+H24+SUM(H28:H45)+H51</f>
        <v>8839</v>
      </c>
      <c r="I52" s="110">
        <v>29</v>
      </c>
      <c r="J52" s="89"/>
      <c r="K52" s="89"/>
      <c r="L52" s="1339"/>
    </row>
    <row r="53" spans="1:12" ht="25.5" customHeight="1">
      <c r="A53" s="658"/>
      <c r="B53" s="78"/>
      <c r="C53" s="77"/>
      <c r="D53" s="77"/>
      <c r="E53" s="77"/>
      <c r="F53" s="111"/>
      <c r="G53" s="185"/>
      <c r="H53" s="169" t="s">
        <v>1126</v>
      </c>
      <c r="I53" s="2">
        <v>338</v>
      </c>
      <c r="J53" s="388">
        <f>0.1525*H52</f>
        <v>1347.95</v>
      </c>
      <c r="K53" s="110">
        <v>30</v>
      </c>
      <c r="L53" s="1339"/>
    </row>
    <row r="54" spans="1:12" ht="18">
      <c r="A54" s="658"/>
      <c r="B54" s="78" t="s">
        <v>2272</v>
      </c>
      <c r="C54" s="77"/>
      <c r="D54" s="77"/>
      <c r="E54" s="77"/>
      <c r="F54" s="111"/>
      <c r="G54" s="185"/>
      <c r="H54" s="92"/>
      <c r="I54" s="2">
        <v>349</v>
      </c>
      <c r="J54" s="404">
        <f>Sch9!I28</f>
        <v>0</v>
      </c>
      <c r="K54" s="110">
        <v>31</v>
      </c>
      <c r="L54" s="1339"/>
    </row>
    <row r="55" spans="1:12" ht="26.25" customHeight="1">
      <c r="A55" s="658"/>
      <c r="B55" s="80"/>
      <c r="C55" s="80"/>
      <c r="D55" s="80"/>
      <c r="E55" s="80"/>
      <c r="F55" s="80"/>
      <c r="G55" s="89"/>
      <c r="H55" s="91" t="s">
        <v>1127</v>
      </c>
      <c r="I55" s="2">
        <v>350</v>
      </c>
      <c r="J55" s="660">
        <f>J53+J54</f>
        <v>1347.95</v>
      </c>
      <c r="K55" s="110">
        <v>32</v>
      </c>
      <c r="L55" s="1339"/>
    </row>
    <row r="56" spans="1:12" ht="18">
      <c r="A56" s="658"/>
      <c r="B56" s="80"/>
      <c r="C56" s="80"/>
      <c r="D56" s="80"/>
      <c r="E56" s="80"/>
      <c r="F56" s="80"/>
      <c r="G56" s="89"/>
      <c r="H56" s="89"/>
      <c r="I56" s="89"/>
      <c r="J56" s="91" t="s">
        <v>1128</v>
      </c>
      <c r="K56" s="110"/>
      <c r="L56" s="1339"/>
    </row>
    <row r="57" spans="1:12" ht="18">
      <c r="A57" s="658"/>
      <c r="B57" s="80"/>
      <c r="C57" s="80"/>
      <c r="D57" s="80"/>
      <c r="E57" s="80"/>
      <c r="F57" s="80"/>
      <c r="G57" s="89"/>
      <c r="H57" s="89"/>
      <c r="I57" s="89"/>
      <c r="J57" s="89"/>
      <c r="K57" s="119"/>
      <c r="L57" s="1339"/>
    </row>
    <row r="58" spans="1:12" ht="15.75">
      <c r="A58" s="658"/>
      <c r="B58" s="99"/>
      <c r="C58" s="80"/>
      <c r="D58" s="80"/>
      <c r="E58" s="80"/>
      <c r="F58" s="80"/>
      <c r="G58" s="99"/>
      <c r="H58" s="80"/>
      <c r="I58" s="99"/>
      <c r="J58" s="119"/>
      <c r="K58" s="99"/>
      <c r="L58" s="1339"/>
    </row>
    <row r="59" spans="1:12" ht="15.75">
      <c r="A59" s="658"/>
      <c r="B59" s="1126" t="s">
        <v>1376</v>
      </c>
      <c r="C59" s="80"/>
      <c r="D59" s="80"/>
      <c r="E59" s="80"/>
      <c r="F59" s="80"/>
      <c r="G59" s="99"/>
      <c r="H59" s="80"/>
      <c r="I59" s="99"/>
      <c r="J59" s="80"/>
      <c r="K59" s="99"/>
      <c r="L59" s="1339"/>
    </row>
    <row r="60" spans="1:12" ht="15.75">
      <c r="A60" s="658"/>
      <c r="B60" s="80"/>
      <c r="C60" s="80"/>
      <c r="D60" s="80"/>
      <c r="E60" s="80"/>
      <c r="F60" s="80"/>
      <c r="G60" s="99"/>
      <c r="H60" s="80"/>
      <c r="I60" s="99"/>
      <c r="J60" s="80"/>
      <c r="K60" s="99"/>
      <c r="L60" s="1339"/>
    </row>
    <row r="61" spans="1:12" ht="15.75">
      <c r="A61" s="658"/>
      <c r="B61" s="77" t="s">
        <v>1026</v>
      </c>
      <c r="C61" s="77"/>
      <c r="D61" s="77"/>
      <c r="E61" s="77"/>
      <c r="F61" s="77"/>
      <c r="G61" s="99"/>
      <c r="H61" s="388">
        <f>MAXA(D18,F18,H18,J18)</f>
        <v>0</v>
      </c>
      <c r="I61" s="110">
        <v>33</v>
      </c>
      <c r="J61" s="80"/>
      <c r="K61" s="99"/>
      <c r="L61" s="1339"/>
    </row>
    <row r="62" spans="1:12" ht="16.5" thickBot="1">
      <c r="A62" s="658"/>
      <c r="B62" s="78" t="s">
        <v>1149</v>
      </c>
      <c r="C62" s="86"/>
      <c r="D62" s="77"/>
      <c r="E62" s="77"/>
      <c r="F62" s="77"/>
      <c r="G62" s="2">
        <v>424</v>
      </c>
      <c r="H62" s="736"/>
      <c r="I62" s="1174" t="s">
        <v>2096</v>
      </c>
      <c r="J62" s="80"/>
      <c r="K62" s="99"/>
      <c r="L62" s="1339"/>
    </row>
    <row r="63" spans="1:12" ht="15.75">
      <c r="A63" s="658"/>
      <c r="B63" s="78"/>
      <c r="C63" s="78"/>
      <c r="D63" s="78"/>
      <c r="E63" s="78"/>
      <c r="F63" s="81" t="s">
        <v>1156</v>
      </c>
      <c r="G63" s="1179" t="s">
        <v>2097</v>
      </c>
      <c r="H63" s="388">
        <f>H61+H62</f>
        <v>0</v>
      </c>
      <c r="I63" s="1182" t="s">
        <v>1600</v>
      </c>
      <c r="J63" s="388">
        <f>H63</f>
        <v>0</v>
      </c>
      <c r="K63" s="110">
        <v>35</v>
      </c>
      <c r="L63" s="1339"/>
    </row>
    <row r="64" spans="1:12" ht="32.25" customHeight="1">
      <c r="A64" s="658"/>
      <c r="B64" s="78" t="s">
        <v>2098</v>
      </c>
      <c r="C64" s="78"/>
      <c r="D64" s="78"/>
      <c r="E64" s="78"/>
      <c r="F64" s="78"/>
      <c r="G64" s="1177" t="s">
        <v>1625</v>
      </c>
      <c r="H64" s="388">
        <f>J55</f>
        <v>1347.95</v>
      </c>
      <c r="I64" s="110">
        <v>36</v>
      </c>
      <c r="J64" s="80"/>
      <c r="K64" s="99"/>
      <c r="L64" s="1339"/>
    </row>
    <row r="65" spans="1:12" ht="27.75" customHeight="1">
      <c r="A65" s="658"/>
      <c r="B65" s="78" t="s">
        <v>1148</v>
      </c>
      <c r="C65" s="78"/>
      <c r="D65" s="78"/>
      <c r="E65" s="78"/>
      <c r="F65" s="78"/>
      <c r="G65" s="2">
        <v>425</v>
      </c>
      <c r="H65" s="404">
        <f>MISC!L58</f>
        <v>0</v>
      </c>
      <c r="I65" s="1178" t="s">
        <v>1150</v>
      </c>
      <c r="J65" s="80"/>
      <c r="K65" s="99"/>
      <c r="L65" s="1339"/>
    </row>
    <row r="66" spans="1:12" ht="15.75" customHeight="1">
      <c r="A66" s="658"/>
      <c r="B66" s="78" t="s">
        <v>463</v>
      </c>
      <c r="C66" s="78"/>
      <c r="D66" s="78"/>
      <c r="E66" s="78"/>
      <c r="F66" s="78"/>
      <c r="G66" s="1180" t="s">
        <v>1626</v>
      </c>
      <c r="H66" s="97"/>
      <c r="I66" s="110">
        <v>38</v>
      </c>
      <c r="J66" s="80"/>
      <c r="K66" s="99"/>
      <c r="L66" s="1339"/>
    </row>
    <row r="67" spans="1:12" ht="15.75" customHeight="1" thickBot="1">
      <c r="A67" s="658"/>
      <c r="B67" s="78" t="s">
        <v>464</v>
      </c>
      <c r="C67" s="78"/>
      <c r="D67" s="78"/>
      <c r="E67" s="78"/>
      <c r="F67" s="78"/>
      <c r="G67" s="2">
        <v>427</v>
      </c>
      <c r="H67" s="736"/>
      <c r="I67" s="1178" t="s">
        <v>1151</v>
      </c>
      <c r="J67" s="80"/>
      <c r="K67" s="99"/>
      <c r="L67" s="1339"/>
    </row>
    <row r="68" spans="1:12" ht="16.5" thickBot="1">
      <c r="A68" s="658"/>
      <c r="B68" s="78"/>
      <c r="C68" s="78"/>
      <c r="D68" s="78"/>
      <c r="E68" s="78"/>
      <c r="F68" s="92" t="s">
        <v>1157</v>
      </c>
      <c r="G68" s="99"/>
      <c r="H68" s="388">
        <f>SUM(H64:H67)</f>
        <v>1347.95</v>
      </c>
      <c r="I68" s="99"/>
      <c r="J68" s="737">
        <f>H68</f>
        <v>1347.95</v>
      </c>
      <c r="K68" s="110">
        <v>40</v>
      </c>
      <c r="L68" s="1339"/>
    </row>
    <row r="69" spans="1:12" ht="22.5" customHeight="1">
      <c r="A69" s="658"/>
      <c r="B69" s="78"/>
      <c r="C69" s="78"/>
      <c r="D69" s="98"/>
      <c r="E69" s="78"/>
      <c r="F69" s="78"/>
      <c r="G69" s="100"/>
      <c r="H69" s="167" t="s">
        <v>255</v>
      </c>
      <c r="I69" s="110">
        <v>429</v>
      </c>
      <c r="J69" s="388">
        <f>MAXA(+J63-J68,0)</f>
        <v>0</v>
      </c>
      <c r="K69" s="110">
        <v>41</v>
      </c>
      <c r="L69" s="1339"/>
    </row>
    <row r="70" spans="1:12" ht="42.75" customHeight="1">
      <c r="A70" s="658"/>
      <c r="B70" s="1355" t="s">
        <v>1276</v>
      </c>
      <c r="C70" s="1356"/>
      <c r="D70" s="1356"/>
      <c r="E70" s="1356"/>
      <c r="F70" s="1356"/>
      <c r="G70" s="1356"/>
      <c r="H70" s="1356"/>
      <c r="I70" s="103"/>
      <c r="J70" s="80"/>
      <c r="K70" s="99"/>
      <c r="L70" s="1339"/>
    </row>
    <row r="71" spans="1:12" ht="15.75">
      <c r="A71" s="658"/>
      <c r="B71" s="930" t="s">
        <v>256</v>
      </c>
      <c r="C71" s="930"/>
      <c r="D71" s="930"/>
      <c r="E71" s="930"/>
      <c r="F71" s="930"/>
      <c r="G71" s="930"/>
      <c r="H71" s="930"/>
      <c r="I71" s="103"/>
      <c r="J71" s="80"/>
      <c r="K71" s="99"/>
      <c r="L71" s="1339"/>
    </row>
    <row r="72" spans="1:12" ht="16.5" customHeight="1">
      <c r="A72" s="658"/>
      <c r="B72" s="930" t="s">
        <v>1278</v>
      </c>
      <c r="C72" s="929"/>
      <c r="D72" s="929"/>
      <c r="E72" s="929"/>
      <c r="F72" s="929"/>
      <c r="G72" s="929"/>
      <c r="H72" s="929"/>
      <c r="I72" s="103"/>
      <c r="J72" s="80"/>
      <c r="K72" s="99"/>
      <c r="L72" s="1339"/>
    </row>
    <row r="73" spans="1:12" ht="16.5" thickBot="1">
      <c r="A73" s="658"/>
      <c r="B73" s="931" t="s">
        <v>1277</v>
      </c>
      <c r="C73" s="77"/>
      <c r="D73" s="93"/>
      <c r="E73" s="77"/>
      <c r="F73" s="77"/>
      <c r="G73" s="100"/>
      <c r="H73" s="167"/>
      <c r="I73" s="1177" t="s">
        <v>1152</v>
      </c>
      <c r="J73" s="913">
        <f>J99</f>
        <v>0</v>
      </c>
      <c r="K73" s="110">
        <v>42</v>
      </c>
      <c r="L73" s="1339"/>
    </row>
    <row r="74" spans="1:12" ht="26.25" customHeight="1">
      <c r="A74" s="658"/>
      <c r="B74" s="77"/>
      <c r="C74" s="77"/>
      <c r="D74" s="93"/>
      <c r="E74" s="77"/>
      <c r="F74" s="77"/>
      <c r="G74" s="100"/>
      <c r="H74" s="167" t="s">
        <v>257</v>
      </c>
      <c r="I74" s="1177" t="s">
        <v>1416</v>
      </c>
      <c r="J74" s="467">
        <f>MAXA(0,(J69-J73))</f>
        <v>0</v>
      </c>
      <c r="K74" s="110">
        <v>43</v>
      </c>
      <c r="L74" s="1339"/>
    </row>
    <row r="75" spans="1:12" ht="15.75">
      <c r="A75" s="658"/>
      <c r="B75" s="84"/>
      <c r="C75" s="84"/>
      <c r="D75" s="106"/>
      <c r="E75" s="84"/>
      <c r="F75" s="84"/>
      <c r="G75" s="99"/>
      <c r="H75" s="80"/>
      <c r="I75" s="99"/>
      <c r="J75" s="80"/>
      <c r="K75" s="110"/>
      <c r="L75" s="1339"/>
    </row>
    <row r="76" spans="1:12" ht="15.75">
      <c r="A76" s="658"/>
      <c r="B76" s="125"/>
      <c r="C76" s="125"/>
      <c r="D76" s="125"/>
      <c r="E76" s="125"/>
      <c r="F76" s="125"/>
      <c r="G76" s="99"/>
      <c r="H76" s="80"/>
      <c r="I76" s="99"/>
      <c r="J76" s="80"/>
      <c r="K76" s="110"/>
      <c r="L76" s="1339"/>
    </row>
    <row r="77" spans="1:12" ht="15.75">
      <c r="A77" s="658"/>
      <c r="B77" s="77" t="s">
        <v>465</v>
      </c>
      <c r="C77" s="77"/>
      <c r="D77" s="93"/>
      <c r="E77" s="2">
        <v>409</v>
      </c>
      <c r="F77" s="388">
        <f>'FED WRK'!I140</f>
        <v>0</v>
      </c>
      <c r="G77" s="99"/>
      <c r="H77" s="80"/>
      <c r="I77" s="99"/>
      <c r="J77" s="80"/>
      <c r="K77" s="110"/>
      <c r="L77" s="1339"/>
    </row>
    <row r="78" spans="1:12" ht="15.75">
      <c r="A78" s="658"/>
      <c r="B78" s="77" t="s">
        <v>1984</v>
      </c>
      <c r="C78" s="77"/>
      <c r="D78" s="93"/>
      <c r="E78" s="77"/>
      <c r="F78" s="77"/>
      <c r="G78" s="2">
        <v>410</v>
      </c>
      <c r="H78" s="388">
        <f>'FED WRK'!I142</f>
        <v>0</v>
      </c>
      <c r="I78" s="1174" t="s">
        <v>1153</v>
      </c>
      <c r="J78" s="80"/>
      <c r="K78" s="110"/>
      <c r="L78" s="1339"/>
    </row>
    <row r="79" spans="1:12" ht="15.75">
      <c r="A79" s="658"/>
      <c r="B79" s="77" t="s">
        <v>466</v>
      </c>
      <c r="C79" s="77"/>
      <c r="D79" s="93"/>
      <c r="E79" s="77"/>
      <c r="F79" s="77"/>
      <c r="G79" s="2">
        <v>412</v>
      </c>
      <c r="H79" s="97"/>
      <c r="I79" s="1174" t="s">
        <v>1154</v>
      </c>
      <c r="J79" s="80"/>
      <c r="K79" s="110"/>
      <c r="L79" s="1339"/>
    </row>
    <row r="80" spans="1:12" ht="15.75">
      <c r="A80" s="658"/>
      <c r="B80" s="84" t="s">
        <v>1317</v>
      </c>
      <c r="C80" s="84"/>
      <c r="D80" s="106"/>
      <c r="E80" s="84"/>
      <c r="F80" s="84"/>
      <c r="G80" s="99"/>
      <c r="H80" s="80"/>
      <c r="I80" s="99"/>
      <c r="J80" s="80"/>
      <c r="K80" s="110"/>
      <c r="L80" s="1339"/>
    </row>
    <row r="81" spans="1:12" ht="16.5" thickBot="1">
      <c r="A81" s="658"/>
      <c r="B81" s="93" t="s">
        <v>1215</v>
      </c>
      <c r="C81" s="2">
        <v>413</v>
      </c>
      <c r="D81" s="108"/>
      <c r="E81" s="77"/>
      <c r="F81" s="93" t="s">
        <v>1845</v>
      </c>
      <c r="G81" s="2">
        <v>414</v>
      </c>
      <c r="H81" s="739"/>
      <c r="I81" s="1174" t="s">
        <v>1155</v>
      </c>
      <c r="J81" s="80"/>
      <c r="K81" s="99"/>
      <c r="L81" s="1339"/>
    </row>
    <row r="82" spans="1:12" ht="16.5" thickBot="1">
      <c r="A82" s="658"/>
      <c r="B82" s="93"/>
      <c r="C82" s="77"/>
      <c r="D82" s="93"/>
      <c r="E82" s="77"/>
      <c r="F82" s="93" t="s">
        <v>258</v>
      </c>
      <c r="G82" s="186" t="s">
        <v>1216</v>
      </c>
      <c r="H82" s="388">
        <f>SUM(H78:H81)</f>
        <v>0</v>
      </c>
      <c r="I82" s="1182" t="s">
        <v>1600</v>
      </c>
      <c r="J82" s="737">
        <f>H82</f>
        <v>0</v>
      </c>
      <c r="K82" s="186" t="s">
        <v>2179</v>
      </c>
      <c r="L82" s="1339"/>
    </row>
    <row r="83" spans="1:12" ht="15.75">
      <c r="A83" s="658"/>
      <c r="B83" s="105"/>
      <c r="C83" s="125"/>
      <c r="D83" s="105"/>
      <c r="E83" s="125"/>
      <c r="F83" s="105"/>
      <c r="G83" s="103"/>
      <c r="H83" s="105" t="s">
        <v>259</v>
      </c>
      <c r="I83" s="99"/>
      <c r="J83" s="80"/>
      <c r="K83" s="117"/>
      <c r="L83" s="1339"/>
    </row>
    <row r="84" spans="1:12" ht="15.75">
      <c r="A84" s="658"/>
      <c r="B84" s="93"/>
      <c r="C84" s="77"/>
      <c r="D84" s="93"/>
      <c r="E84" s="77"/>
      <c r="F84" s="93"/>
      <c r="G84" s="100"/>
      <c r="H84" s="93" t="s">
        <v>260</v>
      </c>
      <c r="I84" s="1177" t="s">
        <v>1217</v>
      </c>
      <c r="J84" s="388">
        <f>MAXA(0,(J74-J82))</f>
        <v>0</v>
      </c>
      <c r="K84" s="186" t="s">
        <v>2180</v>
      </c>
      <c r="L84" s="1339"/>
    </row>
    <row r="85" spans="1:12" ht="15.75">
      <c r="A85" s="658"/>
      <c r="B85" s="171" t="s">
        <v>467</v>
      </c>
      <c r="C85" s="77"/>
      <c r="D85" s="93"/>
      <c r="E85" s="77"/>
      <c r="F85" s="93"/>
      <c r="G85" s="100"/>
      <c r="H85" s="167"/>
      <c r="I85" s="1177" t="s">
        <v>1218</v>
      </c>
      <c r="J85" s="97"/>
      <c r="K85" s="186" t="s">
        <v>2181</v>
      </c>
      <c r="L85" s="1339"/>
    </row>
    <row r="86" spans="1:12" ht="15.75">
      <c r="A86" s="658"/>
      <c r="B86" s="106"/>
      <c r="C86" s="84"/>
      <c r="D86" s="106"/>
      <c r="E86" s="84"/>
      <c r="F86" s="183" t="s">
        <v>261</v>
      </c>
      <c r="G86" s="99"/>
      <c r="H86" s="80"/>
      <c r="I86" s="80"/>
      <c r="J86" s="80"/>
      <c r="K86" s="117"/>
      <c r="L86" s="1339"/>
    </row>
    <row r="87" spans="1:12" ht="15.75">
      <c r="A87" s="658"/>
      <c r="B87" s="105"/>
      <c r="C87" s="125"/>
      <c r="D87" s="105"/>
      <c r="E87" s="125"/>
      <c r="F87" s="105"/>
      <c r="G87" s="99"/>
      <c r="H87" s="81" t="s">
        <v>302</v>
      </c>
      <c r="I87" s="1177" t="s">
        <v>1220</v>
      </c>
      <c r="J87" s="740">
        <f>J84+J85</f>
        <v>0</v>
      </c>
      <c r="K87" s="186" t="s">
        <v>2182</v>
      </c>
      <c r="L87" s="1339"/>
    </row>
    <row r="88" spans="1:12" ht="49.5" customHeight="1">
      <c r="A88" s="658"/>
      <c r="B88" s="105"/>
      <c r="C88" s="125"/>
      <c r="D88" s="105"/>
      <c r="E88" s="125"/>
      <c r="F88" s="105"/>
      <c r="G88" s="99"/>
      <c r="H88" s="81"/>
      <c r="I88" s="113"/>
      <c r="J88" s="80"/>
      <c r="K88" s="113"/>
      <c r="L88" s="1339"/>
    </row>
    <row r="89" spans="1:12" ht="63" customHeight="1">
      <c r="A89" s="658"/>
      <c r="B89" s="105"/>
      <c r="C89" s="125"/>
      <c r="D89" s="105"/>
      <c r="E89" s="125"/>
      <c r="F89" s="105"/>
      <c r="G89" s="99"/>
      <c r="H89" s="81"/>
      <c r="I89" s="113"/>
      <c r="J89" s="80"/>
      <c r="K89" s="113"/>
      <c r="L89" s="1339"/>
    </row>
    <row r="90" spans="1:12" ht="15.75">
      <c r="A90" s="658"/>
      <c r="B90" s="105"/>
      <c r="C90" s="125"/>
      <c r="D90" s="105"/>
      <c r="E90" s="125"/>
      <c r="F90" s="105"/>
      <c r="G90" s="99"/>
      <c r="H90" s="81"/>
      <c r="I90" s="113"/>
      <c r="J90" s="80"/>
      <c r="K90" s="113"/>
      <c r="L90" s="1339"/>
    </row>
    <row r="91" spans="1:12" ht="15.75">
      <c r="A91" s="658"/>
      <c r="B91" s="172" t="s">
        <v>1547</v>
      </c>
      <c r="C91" s="84"/>
      <c r="D91" s="106"/>
      <c r="E91" s="84"/>
      <c r="F91" s="106"/>
      <c r="G91" s="101"/>
      <c r="H91" s="106"/>
      <c r="I91" s="187"/>
      <c r="J91" s="84"/>
      <c r="K91" s="190"/>
      <c r="L91" s="1339"/>
    </row>
    <row r="92" spans="1:12" ht="15.75">
      <c r="A92" s="658"/>
      <c r="B92" s="173"/>
      <c r="C92" s="125"/>
      <c r="D92" s="105"/>
      <c r="E92" s="125"/>
      <c r="F92" s="105"/>
      <c r="G92" s="103"/>
      <c r="H92" s="105"/>
      <c r="I92" s="188"/>
      <c r="J92" s="125"/>
      <c r="K92" s="191"/>
      <c r="L92" s="1339"/>
    </row>
    <row r="93" spans="1:12" ht="15.75">
      <c r="A93" s="658"/>
      <c r="B93" s="174" t="s">
        <v>262</v>
      </c>
      <c r="C93" s="125"/>
      <c r="D93" s="105"/>
      <c r="E93" s="125"/>
      <c r="F93" s="105"/>
      <c r="G93" s="103"/>
      <c r="H93" s="105"/>
      <c r="I93" s="188"/>
      <c r="J93" s="125"/>
      <c r="K93" s="191"/>
      <c r="L93" s="1339"/>
    </row>
    <row r="94" spans="1:12" ht="15.75">
      <c r="A94" s="658"/>
      <c r="B94" s="175"/>
      <c r="C94" s="125"/>
      <c r="D94" s="105"/>
      <c r="E94" s="125"/>
      <c r="F94" s="105"/>
      <c r="G94" s="103"/>
      <c r="H94" s="125"/>
      <c r="I94" s="103"/>
      <c r="J94" s="125"/>
      <c r="K94" s="192"/>
      <c r="L94" s="1339"/>
    </row>
    <row r="95" spans="1:12" ht="15.75">
      <c r="A95" s="658"/>
      <c r="B95" s="127" t="s">
        <v>752</v>
      </c>
      <c r="C95" s="77"/>
      <c r="D95" s="77"/>
      <c r="E95" s="77"/>
      <c r="F95" s="77"/>
      <c r="G95" s="100"/>
      <c r="H95" s="100"/>
      <c r="I95" s="57">
        <v>431</v>
      </c>
      <c r="J95" s="467">
        <f>MISC!L59</f>
        <v>0</v>
      </c>
      <c r="K95" s="192" t="s">
        <v>303</v>
      </c>
      <c r="L95" s="1339"/>
    </row>
    <row r="96" spans="1:12" ht="15.75">
      <c r="A96" s="658"/>
      <c r="B96" s="140"/>
      <c r="C96" s="84"/>
      <c r="D96" s="84"/>
      <c r="E96" s="84"/>
      <c r="F96" s="84"/>
      <c r="G96" s="101"/>
      <c r="H96" s="84"/>
      <c r="I96" s="103"/>
      <c r="J96" s="125"/>
      <c r="K96" s="192"/>
      <c r="L96" s="1339"/>
    </row>
    <row r="97" spans="1:12" ht="15.75">
      <c r="A97" s="658"/>
      <c r="B97" s="176" t="s">
        <v>345</v>
      </c>
      <c r="C97" s="57">
        <v>433</v>
      </c>
      <c r="D97" s="388">
        <f>MISC!L60</f>
        <v>0</v>
      </c>
      <c r="E97" s="126" t="s">
        <v>1099</v>
      </c>
      <c r="F97" s="109" t="s">
        <v>1550</v>
      </c>
      <c r="G97" s="126"/>
      <c r="H97" s="388">
        <f>J69+H65+H66-'T1 GEN-2-3-4'!I119</f>
        <v>0</v>
      </c>
      <c r="I97" s="189"/>
      <c r="J97" s="388">
        <f>IF(D97="",0,IF(D98&lt;D97,H97,+H97*(D97/(D98+0.001))))</f>
        <v>0</v>
      </c>
      <c r="K97" s="192" t="s">
        <v>1549</v>
      </c>
      <c r="L97" s="1339"/>
    </row>
    <row r="98" spans="1:12" ht="15.75">
      <c r="A98" s="658"/>
      <c r="B98" s="177" t="s">
        <v>1548</v>
      </c>
      <c r="C98" s="84"/>
      <c r="D98" s="388">
        <f>'T1 GEN-2-3-4'!K87-'T1 GEN-2-3-4'!I78-'T1 GEN-2-3-4'!I91-'T1 GEN-2-3-4'!I92-'T1 GEN-2-3-4'!I93-'T1 GEN-2-3-4'!I96-'T1 GEN-2-3-4'!I99</f>
        <v>0</v>
      </c>
      <c r="E98" s="125"/>
      <c r="F98" s="84"/>
      <c r="G98" s="103"/>
      <c r="H98" s="125"/>
      <c r="I98" s="103"/>
      <c r="J98" s="125"/>
      <c r="K98" s="192"/>
      <c r="L98" s="1339"/>
    </row>
    <row r="99" spans="1:12" ht="15.75">
      <c r="A99" s="658"/>
      <c r="B99" s="124"/>
      <c r="C99" s="125"/>
      <c r="D99" s="125"/>
      <c r="E99" s="125"/>
      <c r="F99" s="317"/>
      <c r="G99" s="318"/>
      <c r="H99" s="317"/>
      <c r="I99" s="319" t="s">
        <v>703</v>
      </c>
      <c r="J99" s="108">
        <f>MIN(J95,J97)</f>
        <v>0</v>
      </c>
      <c r="K99" s="192"/>
      <c r="L99" s="1339"/>
    </row>
    <row r="100" spans="1:12" ht="15.75">
      <c r="A100" s="658"/>
      <c r="B100" s="1181" t="s">
        <v>1555</v>
      </c>
      <c r="C100" s="125"/>
      <c r="D100" s="125"/>
      <c r="E100" s="125"/>
      <c r="F100" s="125"/>
      <c r="G100" s="103"/>
      <c r="H100" s="125"/>
      <c r="I100" s="103"/>
      <c r="J100" s="125"/>
      <c r="K100" s="192"/>
      <c r="L100" s="1339"/>
    </row>
    <row r="101" spans="1:12" ht="15.75">
      <c r="A101" s="658"/>
      <c r="B101" s="1181" t="s">
        <v>371</v>
      </c>
      <c r="C101" s="125"/>
      <c r="D101" s="125"/>
      <c r="E101" s="125"/>
      <c r="F101" s="125"/>
      <c r="G101" s="103"/>
      <c r="H101" s="125"/>
      <c r="I101" s="103"/>
      <c r="J101" s="125"/>
      <c r="K101" s="192"/>
      <c r="L101" s="1339"/>
    </row>
    <row r="102" spans="1:12" ht="15.75">
      <c r="A102" s="658"/>
      <c r="B102" s="1181" t="s">
        <v>372</v>
      </c>
      <c r="C102" s="125"/>
      <c r="D102" s="125"/>
      <c r="E102" s="125"/>
      <c r="F102" s="125"/>
      <c r="G102" s="103"/>
      <c r="H102" s="125"/>
      <c r="I102" s="103"/>
      <c r="J102" s="125"/>
      <c r="K102" s="192"/>
      <c r="L102" s="1339"/>
    </row>
    <row r="103" spans="1:12" ht="15.75">
      <c r="A103" s="658"/>
      <c r="B103" s="1181" t="s">
        <v>263</v>
      </c>
      <c r="C103" s="125"/>
      <c r="D103" s="125"/>
      <c r="E103" s="125"/>
      <c r="F103" s="125"/>
      <c r="G103" s="103"/>
      <c r="H103" s="125"/>
      <c r="I103" s="103"/>
      <c r="J103" s="125"/>
      <c r="K103" s="192"/>
      <c r="L103" s="1339"/>
    </row>
    <row r="104" spans="1:12" ht="15.75">
      <c r="A104" s="658"/>
      <c r="B104" s="1181" t="s">
        <v>1985</v>
      </c>
      <c r="C104" s="125"/>
      <c r="D104" s="125"/>
      <c r="E104" s="125"/>
      <c r="F104" s="125"/>
      <c r="G104" s="103"/>
      <c r="H104" s="125"/>
      <c r="I104" s="103"/>
      <c r="J104" s="125"/>
      <c r="K104" s="192"/>
      <c r="L104" s="1339"/>
    </row>
    <row r="105" spans="1:12" ht="15.75">
      <c r="A105" s="658"/>
      <c r="B105" s="1181" t="s">
        <v>1986</v>
      </c>
      <c r="C105" s="125"/>
      <c r="D105" s="125"/>
      <c r="E105" s="125"/>
      <c r="F105" s="125"/>
      <c r="G105" s="103"/>
      <c r="H105" s="125"/>
      <c r="I105" s="103"/>
      <c r="J105" s="125"/>
      <c r="K105" s="192"/>
      <c r="L105" s="1339"/>
    </row>
    <row r="106" spans="1:12" ht="15.75">
      <c r="A106" s="658"/>
      <c r="B106" s="1181" t="s">
        <v>265</v>
      </c>
      <c r="C106" s="125"/>
      <c r="D106" s="125"/>
      <c r="E106" s="125"/>
      <c r="F106" s="125"/>
      <c r="G106" s="103"/>
      <c r="H106" s="125"/>
      <c r="I106" s="103"/>
      <c r="J106" s="125"/>
      <c r="K106" s="192"/>
      <c r="L106" s="1339"/>
    </row>
    <row r="107" spans="1:12" ht="15.75">
      <c r="A107" s="658"/>
      <c r="B107" s="1181" t="s">
        <v>264</v>
      </c>
      <c r="C107" s="125"/>
      <c r="D107" s="125"/>
      <c r="E107" s="125"/>
      <c r="F107" s="125"/>
      <c r="G107" s="103"/>
      <c r="H107" s="125"/>
      <c r="I107" s="103"/>
      <c r="J107" s="125"/>
      <c r="K107" s="192"/>
      <c r="L107" s="1339"/>
    </row>
    <row r="108" spans="1:12" ht="15.75">
      <c r="A108" s="658"/>
      <c r="B108" s="1181" t="s">
        <v>344</v>
      </c>
      <c r="C108" s="125"/>
      <c r="D108" s="125"/>
      <c r="E108" s="125"/>
      <c r="F108" s="125"/>
      <c r="G108" s="103"/>
      <c r="H108" s="125"/>
      <c r="I108" s="103"/>
      <c r="J108" s="125"/>
      <c r="K108" s="192"/>
      <c r="L108" s="1339"/>
    </row>
    <row r="109" spans="1:12" ht="15.75">
      <c r="A109" s="658"/>
      <c r="B109" s="741"/>
      <c r="C109" s="100"/>
      <c r="D109" s="100"/>
      <c r="E109" s="100"/>
      <c r="F109" s="100"/>
      <c r="G109" s="100"/>
      <c r="H109" s="100"/>
      <c r="I109" s="100"/>
      <c r="J109" s="100"/>
      <c r="K109" s="193" t="s">
        <v>1192</v>
      </c>
      <c r="L109" s="1339"/>
    </row>
    <row r="110" spans="1:12" ht="15.75">
      <c r="A110" s="658"/>
      <c r="B110" s="80"/>
      <c r="C110" s="99"/>
      <c r="D110" s="99"/>
      <c r="E110" s="99"/>
      <c r="F110" s="99"/>
      <c r="G110" s="99"/>
      <c r="H110" s="99"/>
      <c r="I110" s="99"/>
      <c r="J110" s="119"/>
      <c r="K110" s="99"/>
      <c r="L110" s="1339"/>
    </row>
    <row r="111" spans="1:12" ht="15.75">
      <c r="A111" s="658"/>
      <c r="B111" s="99"/>
      <c r="C111" s="99"/>
      <c r="D111" s="99"/>
      <c r="E111" s="99"/>
      <c r="F111" s="99"/>
      <c r="G111" s="99"/>
      <c r="H111" s="99"/>
      <c r="I111" s="99"/>
      <c r="J111" s="99" t="s">
        <v>1379</v>
      </c>
      <c r="K111" s="99"/>
      <c r="L111" s="1339"/>
    </row>
    <row r="112" spans="1:12" ht="15.75">
      <c r="A112" s="658"/>
      <c r="B112" s="99"/>
      <c r="C112" s="99"/>
      <c r="D112" s="99"/>
      <c r="E112" s="99"/>
      <c r="F112" s="99"/>
      <c r="G112" s="99"/>
      <c r="H112" s="99"/>
      <c r="I112" s="99"/>
      <c r="J112" s="99"/>
      <c r="K112" s="99"/>
      <c r="L112" s="1339"/>
    </row>
  </sheetData>
  <sheetProtection password="EC35" sheet="1" objects="1" scenarios="1"/>
  <mergeCells count="4">
    <mergeCell ref="B45:F45"/>
    <mergeCell ref="B70:H70"/>
    <mergeCell ref="B50:D50"/>
    <mergeCell ref="L1:L112"/>
  </mergeCells>
  <hyperlinks>
    <hyperlink ref="L1:L112" location="'GO TO'!B10" display=" "/>
  </hyperlinks>
  <printOptions horizontalCentered="1"/>
  <pageMargins left="0" right="0" top="0" bottom="0" header="0.511811023622047" footer="0.511811023622047"/>
  <pageSetup fitToHeight="0" fitToWidth="1" horizontalDpi="600" verticalDpi="600" orientation="portrait" scale="74" r:id="rId3"/>
  <headerFooter alignWithMargins="0">
    <oddFooter>&amp;L   5000-S1</oddFooter>
  </headerFooter>
  <rowBreaks count="1" manualBreakCount="1">
    <brk id="57" min="1" max="10" man="1"/>
  </rowBreaks>
  <legacyDrawing r:id="rId2"/>
</worksheet>
</file>

<file path=xl/worksheets/sheet15.xml><?xml version="1.0" encoding="utf-8"?>
<worksheet xmlns="http://schemas.openxmlformats.org/spreadsheetml/2006/main" xmlns:r="http://schemas.openxmlformats.org/officeDocument/2006/relationships">
  <sheetPr codeName="Sheet12" transitionEvaluation="1">
    <pageSetUpPr fitToPage="1"/>
  </sheetPr>
  <dimension ref="A1:L33"/>
  <sheetViews>
    <sheetView showGridLines="0" zoomScale="75" zoomScaleNormal="75" workbookViewId="0" topLeftCell="A1">
      <selection activeCell="A3" sqref="A3"/>
    </sheetView>
  </sheetViews>
  <sheetFormatPr defaultColWidth="9.77734375" defaultRowHeight="15"/>
  <cols>
    <col min="1" max="1" width="12.77734375" style="619" customWidth="1"/>
    <col min="2" max="2" width="32.77734375" style="619" customWidth="1"/>
    <col min="3" max="3" width="5.77734375" style="619" customWidth="1"/>
    <col min="4" max="4" width="6.77734375" style="619" customWidth="1"/>
    <col min="5" max="5" width="5.77734375" style="619" customWidth="1"/>
    <col min="6" max="6" width="7.77734375" style="619" customWidth="1"/>
    <col min="7" max="7" width="5.77734375" style="619" customWidth="1"/>
    <col min="8" max="8" width="13.77734375" style="619" customWidth="1"/>
    <col min="9" max="9" width="5.77734375" style="619" customWidth="1"/>
    <col min="10" max="10" width="13.77734375" style="619" customWidth="1"/>
    <col min="11" max="11" width="5.77734375" style="619" customWidth="1"/>
    <col min="12" max="16384" width="9.77734375" style="619" customWidth="1"/>
  </cols>
  <sheetData>
    <row r="1" spans="1:12" ht="20.25">
      <c r="A1" s="76" t="str">
        <f>"T1-"&amp;yeartext</f>
        <v>T1-2006</v>
      </c>
      <c r="B1" s="76"/>
      <c r="C1" s="1185" t="s">
        <v>68</v>
      </c>
      <c r="D1" s="80"/>
      <c r="E1" s="80"/>
      <c r="F1" s="118"/>
      <c r="G1" s="118"/>
      <c r="H1" s="118"/>
      <c r="I1" s="118"/>
      <c r="J1" s="80"/>
      <c r="K1" s="1184" t="s">
        <v>1237</v>
      </c>
      <c r="L1" s="1359" t="s">
        <v>1793</v>
      </c>
    </row>
    <row r="2" spans="1:12" ht="20.25">
      <c r="A2" s="80"/>
      <c r="B2" s="80"/>
      <c r="C2" s="1185" t="s">
        <v>491</v>
      </c>
      <c r="D2" s="80"/>
      <c r="E2" s="80"/>
      <c r="F2" s="80"/>
      <c r="G2" s="80"/>
      <c r="H2" s="80"/>
      <c r="I2" s="80"/>
      <c r="J2" s="80"/>
      <c r="K2" s="80"/>
      <c r="L2" s="1359"/>
    </row>
    <row r="3" spans="1:12" ht="15">
      <c r="A3" s="80"/>
      <c r="B3" s="80"/>
      <c r="C3" s="80"/>
      <c r="D3" s="80"/>
      <c r="E3" s="80"/>
      <c r="F3" s="80"/>
      <c r="G3" s="80"/>
      <c r="H3" s="80"/>
      <c r="I3" s="80"/>
      <c r="J3" s="80"/>
      <c r="K3" s="80"/>
      <c r="L3" s="1359"/>
    </row>
    <row r="4" spans="1:12" ht="15.75">
      <c r="A4" s="80" t="s">
        <v>51</v>
      </c>
      <c r="B4" s="80"/>
      <c r="C4" s="80"/>
      <c r="D4" s="80"/>
      <c r="E4" s="80"/>
      <c r="F4" s="80"/>
      <c r="G4" s="80"/>
      <c r="H4" s="80"/>
      <c r="I4" s="80"/>
      <c r="J4" s="80"/>
      <c r="K4" s="80"/>
      <c r="L4" s="1359"/>
    </row>
    <row r="5" spans="1:12" ht="15">
      <c r="A5" s="80" t="s">
        <v>69</v>
      </c>
      <c r="B5" s="80"/>
      <c r="C5" s="80"/>
      <c r="D5" s="80"/>
      <c r="E5" s="80"/>
      <c r="F5" s="80"/>
      <c r="G5" s="80"/>
      <c r="H5" s="80"/>
      <c r="I5" s="80"/>
      <c r="J5" s="80"/>
      <c r="K5" s="80"/>
      <c r="L5" s="1359"/>
    </row>
    <row r="6" spans="1:12" ht="20.25" customHeight="1">
      <c r="A6" s="80" t="s">
        <v>1785</v>
      </c>
      <c r="B6" s="80"/>
      <c r="C6" s="80"/>
      <c r="D6" s="80"/>
      <c r="E6" s="80"/>
      <c r="F6" s="80"/>
      <c r="G6" s="80"/>
      <c r="H6" s="80"/>
      <c r="I6" s="80"/>
      <c r="J6" s="80"/>
      <c r="K6" s="80"/>
      <c r="L6" s="1359"/>
    </row>
    <row r="7" spans="1:12" ht="15.75">
      <c r="A7" s="80" t="s">
        <v>49</v>
      </c>
      <c r="B7" s="80"/>
      <c r="C7" s="80"/>
      <c r="D7" s="80"/>
      <c r="E7" s="80"/>
      <c r="F7" s="80"/>
      <c r="G7" s="80"/>
      <c r="H7" s="80"/>
      <c r="I7" s="80"/>
      <c r="J7" s="80"/>
      <c r="K7" s="80"/>
      <c r="L7" s="1359"/>
    </row>
    <row r="8" spans="1:12" ht="15">
      <c r="A8" s="80"/>
      <c r="B8" s="80"/>
      <c r="C8" s="80"/>
      <c r="D8" s="80"/>
      <c r="E8" s="80"/>
      <c r="F8" s="80"/>
      <c r="G8" s="80"/>
      <c r="H8" s="80"/>
      <c r="I8" s="80"/>
      <c r="J8" s="80"/>
      <c r="K8" s="80"/>
      <c r="L8" s="1359"/>
    </row>
    <row r="9" spans="1:12" ht="15.75">
      <c r="A9" s="99" t="s">
        <v>50</v>
      </c>
      <c r="B9" s="99"/>
      <c r="C9" s="80"/>
      <c r="D9" s="80"/>
      <c r="E9" s="80"/>
      <c r="F9" s="80"/>
      <c r="G9" s="80"/>
      <c r="H9" s="80"/>
      <c r="I9" s="80"/>
      <c r="J9" s="80"/>
      <c r="K9" s="80"/>
      <c r="L9" s="1359"/>
    </row>
    <row r="10" spans="1:12" ht="15">
      <c r="A10" s="125"/>
      <c r="B10" s="125"/>
      <c r="C10" s="125"/>
      <c r="D10" s="125"/>
      <c r="E10" s="125"/>
      <c r="F10" s="125"/>
      <c r="G10" s="125"/>
      <c r="H10" s="80"/>
      <c r="I10" s="80"/>
      <c r="J10" s="80"/>
      <c r="K10" s="80"/>
      <c r="L10" s="1359"/>
    </row>
    <row r="11" spans="1:12" ht="15.75" customHeight="1">
      <c r="A11" s="103" t="s">
        <v>572</v>
      </c>
      <c r="B11" s="125" t="str">
        <f>"(if your spouse or common-law partner was age 65 or older in "&amp;yeartext&amp;"):"</f>
        <v>(if your spouse or common-law partner was age 65 or older in 2006):</v>
      </c>
      <c r="C11" s="125"/>
      <c r="D11" s="125"/>
      <c r="E11" s="125"/>
      <c r="F11" s="128"/>
      <c r="G11" s="128"/>
      <c r="H11" s="107"/>
      <c r="I11" s="80"/>
      <c r="J11" s="80"/>
      <c r="K11" s="80"/>
      <c r="L11" s="1359"/>
    </row>
    <row r="12" spans="1:12" ht="15.75">
      <c r="A12" s="77" t="s">
        <v>70</v>
      </c>
      <c r="B12" s="77"/>
      <c r="C12" s="77"/>
      <c r="D12" s="77"/>
      <c r="E12" s="77"/>
      <c r="F12" s="77"/>
      <c r="G12" s="77"/>
      <c r="H12" s="111"/>
      <c r="I12" s="2">
        <v>353</v>
      </c>
      <c r="J12" s="108"/>
      <c r="K12" s="195">
        <v>1</v>
      </c>
      <c r="L12" s="1359"/>
    </row>
    <row r="13" spans="1:12" ht="15.75">
      <c r="A13" s="101" t="s">
        <v>1013</v>
      </c>
      <c r="B13" s="101"/>
      <c r="C13" s="84"/>
      <c r="D13" s="84"/>
      <c r="E13" s="84"/>
      <c r="F13" s="84"/>
      <c r="G13" s="84"/>
      <c r="H13" s="80"/>
      <c r="I13" s="80"/>
      <c r="J13" s="80"/>
      <c r="K13" s="99"/>
      <c r="L13" s="1359"/>
    </row>
    <row r="14" spans="1:12" ht="15.75">
      <c r="A14" s="77" t="s">
        <v>1504</v>
      </c>
      <c r="B14" s="77"/>
      <c r="C14" s="77"/>
      <c r="D14" s="77"/>
      <c r="E14" s="77"/>
      <c r="F14" s="77"/>
      <c r="G14" s="77"/>
      <c r="H14" s="843" t="s">
        <v>1302</v>
      </c>
      <c r="I14" s="2">
        <v>355</v>
      </c>
      <c r="J14" s="108"/>
      <c r="K14" s="195">
        <v>2</v>
      </c>
      <c r="L14" s="1359"/>
    </row>
    <row r="15" spans="1:12" ht="15.75">
      <c r="A15" s="101" t="s">
        <v>1014</v>
      </c>
      <c r="B15" s="101"/>
      <c r="C15" s="84"/>
      <c r="D15" s="84"/>
      <c r="E15" s="84"/>
      <c r="F15" s="84"/>
      <c r="G15" s="84"/>
      <c r="H15" s="107"/>
      <c r="I15" s="80"/>
      <c r="J15" s="80"/>
      <c r="K15" s="121"/>
      <c r="L15" s="1359"/>
    </row>
    <row r="16" spans="1:12" ht="15.75">
      <c r="A16" s="77" t="s">
        <v>1303</v>
      </c>
      <c r="B16" s="77"/>
      <c r="C16" s="77"/>
      <c r="D16" s="77"/>
      <c r="E16" s="77"/>
      <c r="F16" s="77"/>
      <c r="G16" s="77"/>
      <c r="H16" s="77"/>
      <c r="I16" s="2">
        <v>357</v>
      </c>
      <c r="J16" s="108"/>
      <c r="K16" s="195">
        <v>3</v>
      </c>
      <c r="L16" s="1359"/>
    </row>
    <row r="17" spans="1:12" ht="15.75">
      <c r="A17" s="101" t="s">
        <v>71</v>
      </c>
      <c r="B17" s="101"/>
      <c r="C17" s="84"/>
      <c r="D17" s="84"/>
      <c r="E17" s="84"/>
      <c r="F17" s="84"/>
      <c r="G17" s="84"/>
      <c r="H17" s="80"/>
      <c r="I17" s="80"/>
      <c r="J17" s="80"/>
      <c r="K17" s="121"/>
      <c r="L17" s="1359"/>
    </row>
    <row r="18" spans="1:12" ht="16.5" thickBot="1">
      <c r="A18" s="77" t="s">
        <v>1281</v>
      </c>
      <c r="B18" s="77"/>
      <c r="C18" s="77"/>
      <c r="D18" s="77"/>
      <c r="E18" s="77"/>
      <c r="F18" s="77"/>
      <c r="G18" s="77"/>
      <c r="H18" s="77"/>
      <c r="I18" s="2">
        <v>360</v>
      </c>
      <c r="J18" s="739"/>
      <c r="K18" s="195">
        <v>4</v>
      </c>
      <c r="L18" s="1359"/>
    </row>
    <row r="19" spans="1:12" ht="15.75">
      <c r="A19" s="84"/>
      <c r="B19" s="84"/>
      <c r="C19" s="84"/>
      <c r="D19" s="84"/>
      <c r="E19" s="84"/>
      <c r="F19" s="84"/>
      <c r="G19" s="84"/>
      <c r="H19" s="80"/>
      <c r="I19" s="80"/>
      <c r="J19" s="80"/>
      <c r="K19" s="195"/>
      <c r="L19" s="1359"/>
    </row>
    <row r="20" spans="1:12" ht="15.75">
      <c r="A20" s="77"/>
      <c r="B20" s="77"/>
      <c r="C20" s="77"/>
      <c r="D20" s="77"/>
      <c r="E20" s="77"/>
      <c r="F20" s="77"/>
      <c r="G20" s="77"/>
      <c r="H20" s="77" t="s">
        <v>1015</v>
      </c>
      <c r="I20" s="80"/>
      <c r="J20" s="388">
        <f>J12+J14+J16+J18</f>
        <v>0</v>
      </c>
      <c r="K20" s="195">
        <v>5</v>
      </c>
      <c r="L20" s="1359"/>
    </row>
    <row r="21" spans="1:12" ht="15.75">
      <c r="A21" s="84"/>
      <c r="B21" s="84"/>
      <c r="C21" s="84"/>
      <c r="D21" s="84"/>
      <c r="E21" s="84"/>
      <c r="F21" s="84"/>
      <c r="G21" s="84"/>
      <c r="H21" s="81"/>
      <c r="I21" s="80"/>
      <c r="J21" s="80"/>
      <c r="K21" s="195"/>
      <c r="L21" s="1359"/>
    </row>
    <row r="22" spans="1:12" ht="15.75">
      <c r="A22" s="77" t="s">
        <v>1994</v>
      </c>
      <c r="B22" s="77"/>
      <c r="C22" s="77"/>
      <c r="D22" s="77"/>
      <c r="E22" s="77"/>
      <c r="F22" s="77"/>
      <c r="G22" s="125"/>
      <c r="H22" s="108"/>
      <c r="I22" s="195">
        <v>6</v>
      </c>
      <c r="J22" s="80"/>
      <c r="K22" s="195"/>
      <c r="L22" s="1359"/>
    </row>
    <row r="23" spans="1:12" ht="15.75">
      <c r="A23" s="84" t="s">
        <v>72</v>
      </c>
      <c r="B23" s="84"/>
      <c r="C23" s="84"/>
      <c r="D23" s="84"/>
      <c r="E23" s="84"/>
      <c r="F23" s="84"/>
      <c r="G23" s="125"/>
      <c r="H23" s="81"/>
      <c r="I23" s="82"/>
      <c r="J23" s="80"/>
      <c r="K23" s="195"/>
      <c r="L23" s="1359"/>
    </row>
    <row r="24" spans="1:12" ht="16.5" thickBot="1">
      <c r="A24" s="77" t="s">
        <v>1995</v>
      </c>
      <c r="B24" s="77"/>
      <c r="C24" s="77"/>
      <c r="D24" s="77"/>
      <c r="E24" s="77"/>
      <c r="F24" s="77"/>
      <c r="G24" s="125"/>
      <c r="H24" s="739"/>
      <c r="I24" s="195">
        <v>7</v>
      </c>
      <c r="J24" s="80"/>
      <c r="K24" s="195"/>
      <c r="L24" s="1359"/>
    </row>
    <row r="25" spans="1:12" ht="15.75">
      <c r="A25" s="84"/>
      <c r="B25" s="84"/>
      <c r="C25" s="84"/>
      <c r="D25" s="84"/>
      <c r="E25" s="84"/>
      <c r="F25" s="84"/>
      <c r="G25" s="77"/>
      <c r="H25" s="81"/>
      <c r="I25" s="80"/>
      <c r="J25" s="80"/>
      <c r="K25" s="195"/>
      <c r="L25" s="1359"/>
    </row>
    <row r="26" spans="1:12" ht="15.75">
      <c r="A26" s="77"/>
      <c r="B26" s="77"/>
      <c r="C26" s="77"/>
      <c r="D26" s="77"/>
      <c r="E26" s="77"/>
      <c r="F26" s="93" t="s">
        <v>570</v>
      </c>
      <c r="G26" s="2">
        <v>351</v>
      </c>
      <c r="H26" s="388">
        <f>MAXA(0,(H22-H24))</f>
        <v>0</v>
      </c>
      <c r="I26" s="1186" t="s">
        <v>1600</v>
      </c>
      <c r="J26" s="388">
        <f>+H26</f>
        <v>0</v>
      </c>
      <c r="K26" s="195">
        <v>8</v>
      </c>
      <c r="L26" s="1359"/>
    </row>
    <row r="27" spans="1:12" ht="15.75">
      <c r="A27" s="194" t="s">
        <v>380</v>
      </c>
      <c r="B27" s="194"/>
      <c r="C27" s="183"/>
      <c r="D27" s="84"/>
      <c r="E27" s="84"/>
      <c r="F27" s="84"/>
      <c r="G27" s="84"/>
      <c r="H27" s="105" t="s">
        <v>1016</v>
      </c>
      <c r="I27" s="80"/>
      <c r="J27" s="80"/>
      <c r="K27" s="121"/>
      <c r="L27" s="1359"/>
    </row>
    <row r="28" spans="1:12" ht="15.75">
      <c r="A28" s="77"/>
      <c r="B28" s="77"/>
      <c r="C28" s="77"/>
      <c r="D28" s="77"/>
      <c r="E28" s="77"/>
      <c r="F28" s="77"/>
      <c r="G28" s="77"/>
      <c r="H28" s="93" t="s">
        <v>571</v>
      </c>
      <c r="I28" s="80"/>
      <c r="J28" s="660">
        <f>MAXA(0,J20-J26)</f>
        <v>0</v>
      </c>
      <c r="K28" s="195">
        <v>9</v>
      </c>
      <c r="L28" s="1359"/>
    </row>
    <row r="29" spans="1:12" ht="15.75">
      <c r="A29" s="80"/>
      <c r="B29" s="80"/>
      <c r="C29" s="80"/>
      <c r="D29" s="80"/>
      <c r="E29" s="80"/>
      <c r="F29" s="80"/>
      <c r="G29" s="80"/>
      <c r="H29" s="81"/>
      <c r="I29" s="80"/>
      <c r="J29" s="80"/>
      <c r="K29" s="110"/>
      <c r="L29" s="1359"/>
    </row>
    <row r="30" spans="1:12" ht="15.75">
      <c r="A30" s="80"/>
      <c r="B30" s="80"/>
      <c r="C30" s="80"/>
      <c r="D30" s="80"/>
      <c r="E30" s="80"/>
      <c r="F30" s="80"/>
      <c r="G30" s="80"/>
      <c r="H30" s="81"/>
      <c r="I30" s="80"/>
      <c r="J30" s="80"/>
      <c r="K30" s="110"/>
      <c r="L30" s="1359"/>
    </row>
    <row r="31" spans="1:12" ht="15.75">
      <c r="A31" s="80"/>
      <c r="B31" s="80"/>
      <c r="C31" s="80"/>
      <c r="D31" s="80"/>
      <c r="E31" s="80"/>
      <c r="F31" s="80"/>
      <c r="G31" s="80"/>
      <c r="H31" s="81"/>
      <c r="I31" s="80"/>
      <c r="J31" s="80"/>
      <c r="K31" s="99"/>
      <c r="L31" s="1359"/>
    </row>
    <row r="32" spans="1:11" ht="15.75">
      <c r="A32" s="62" t="s">
        <v>634</v>
      </c>
      <c r="B32" s="62"/>
      <c r="C32" s="62"/>
      <c r="D32" s="62"/>
      <c r="E32" s="62"/>
      <c r="F32" s="62"/>
      <c r="G32" s="62"/>
      <c r="H32" s="64"/>
      <c r="I32" s="62"/>
      <c r="J32" s="65"/>
      <c r="K32" s="63"/>
    </row>
    <row r="33" spans="1:11" ht="15">
      <c r="A33" s="62"/>
      <c r="B33" s="62"/>
      <c r="C33" s="62"/>
      <c r="D33" s="62"/>
      <c r="E33" s="62"/>
      <c r="F33" s="62"/>
      <c r="G33" s="62"/>
      <c r="H33" s="62"/>
      <c r="I33" s="62"/>
      <c r="J33" s="62"/>
      <c r="K33" s="62" t="s">
        <v>1722</v>
      </c>
    </row>
  </sheetData>
  <sheetProtection password="EC35" sheet="1" objects="1" scenarios="1"/>
  <mergeCells count="1">
    <mergeCell ref="L1:L31"/>
  </mergeCells>
  <hyperlinks>
    <hyperlink ref="L1:L31" location="'GO TO'!B11" display=" "/>
  </hyperlink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3"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codeName="Sheet13" transitionEvaluation="1">
    <pageSetUpPr fitToPage="1"/>
  </sheetPr>
  <dimension ref="A1:L64"/>
  <sheetViews>
    <sheetView showGridLines="0" zoomScale="75" zoomScaleNormal="75" workbookViewId="0" topLeftCell="A1">
      <selection activeCell="A2" sqref="A2"/>
    </sheetView>
  </sheetViews>
  <sheetFormatPr defaultColWidth="9.77734375" defaultRowHeight="15"/>
  <cols>
    <col min="1" max="1" width="3.77734375" style="619" customWidth="1"/>
    <col min="2" max="3" width="9.77734375" style="619" customWidth="1"/>
    <col min="4" max="4" width="24.77734375" style="619" customWidth="1"/>
    <col min="5" max="5" width="5.77734375" style="619" customWidth="1"/>
    <col min="6" max="6" width="4.77734375" style="619" customWidth="1"/>
    <col min="7" max="8" width="13.77734375" style="619" customWidth="1"/>
    <col min="9" max="9" width="10.77734375" style="619" customWidth="1"/>
    <col min="10" max="10" width="5.77734375" style="619" customWidth="1"/>
    <col min="11" max="11" width="14.77734375" style="619" customWidth="1"/>
    <col min="12" max="16384" width="9.77734375" style="619" customWidth="1"/>
  </cols>
  <sheetData>
    <row r="1" spans="1:12" ht="23.25">
      <c r="A1" s="141" t="str">
        <f>"T1-"&amp;yeartext</f>
        <v>T1-2006</v>
      </c>
      <c r="B1" s="118"/>
      <c r="C1" s="118"/>
      <c r="D1" s="80"/>
      <c r="E1" s="824"/>
      <c r="F1" s="824"/>
      <c r="G1" s="1187" t="str">
        <f>"Capital Gains (or Losses) in "&amp;yeartext</f>
        <v>Capital Gains (or Losses) in 2006</v>
      </c>
      <c r="H1" s="118"/>
      <c r="I1" s="118"/>
      <c r="J1" s="118"/>
      <c r="K1" s="1172" t="s">
        <v>1723</v>
      </c>
      <c r="L1" s="1339" t="s">
        <v>1793</v>
      </c>
    </row>
    <row r="2" spans="1:12" ht="15">
      <c r="A2" s="80"/>
      <c r="B2" s="80"/>
      <c r="C2" s="80"/>
      <c r="D2" s="80"/>
      <c r="E2" s="80"/>
      <c r="F2" s="80"/>
      <c r="G2" s="80"/>
      <c r="H2" s="80"/>
      <c r="I2" s="80"/>
      <c r="J2" s="80"/>
      <c r="K2" s="80"/>
      <c r="L2" s="1339"/>
    </row>
    <row r="3" spans="1:12" ht="15">
      <c r="A3" s="80" t="s">
        <v>52</v>
      </c>
      <c r="B3" s="80"/>
      <c r="C3" s="80"/>
      <c r="D3" s="80"/>
      <c r="E3" s="80"/>
      <c r="F3" s="80"/>
      <c r="G3" s="80"/>
      <c r="H3" s="80"/>
      <c r="I3" s="80"/>
      <c r="J3" s="80"/>
      <c r="K3" s="80"/>
      <c r="L3" s="1339"/>
    </row>
    <row r="4" spans="1:12" ht="15.75">
      <c r="A4" s="80" t="s">
        <v>842</v>
      </c>
      <c r="B4" s="80"/>
      <c r="C4" s="80"/>
      <c r="D4" s="80"/>
      <c r="E4" s="80"/>
      <c r="F4" s="80"/>
      <c r="G4" s="80"/>
      <c r="H4" s="80"/>
      <c r="I4" s="80"/>
      <c r="J4" s="80"/>
      <c r="K4" s="80"/>
      <c r="L4" s="1339"/>
    </row>
    <row r="5" spans="1:12" ht="15">
      <c r="A5" s="80"/>
      <c r="B5" s="80"/>
      <c r="C5" s="80"/>
      <c r="D5" s="80"/>
      <c r="E5" s="80"/>
      <c r="F5" s="80"/>
      <c r="G5" s="80"/>
      <c r="H5" s="80"/>
      <c r="I5" s="80"/>
      <c r="J5" s="80"/>
      <c r="K5" s="80"/>
      <c r="L5" s="1339"/>
    </row>
    <row r="6" spans="1:12" ht="15.75">
      <c r="A6" s="154" t="s">
        <v>627</v>
      </c>
      <c r="B6" s="84"/>
      <c r="C6" s="84"/>
      <c r="D6" s="84"/>
      <c r="E6" s="1371" t="s">
        <v>1724</v>
      </c>
      <c r="F6" s="1372"/>
      <c r="G6" s="202" t="s">
        <v>1725</v>
      </c>
      <c r="H6" s="202" t="s">
        <v>1726</v>
      </c>
      <c r="I6" s="1371" t="s">
        <v>1727</v>
      </c>
      <c r="J6" s="1372"/>
      <c r="K6" s="202" t="s">
        <v>1169</v>
      </c>
      <c r="L6" s="1339"/>
    </row>
    <row r="7" spans="1:12" ht="15">
      <c r="A7" s="124" t="s">
        <v>382</v>
      </c>
      <c r="B7" s="80"/>
      <c r="C7" s="125"/>
      <c r="D7" s="125"/>
      <c r="E7" s="1373" t="s">
        <v>1170</v>
      </c>
      <c r="F7" s="1374"/>
      <c r="G7" s="1198" t="s">
        <v>1171</v>
      </c>
      <c r="H7" s="1198" t="s">
        <v>384</v>
      </c>
      <c r="I7" s="1373" t="s">
        <v>1172</v>
      </c>
      <c r="J7" s="1374"/>
      <c r="K7" s="1198" t="s">
        <v>105</v>
      </c>
      <c r="L7" s="1339"/>
    </row>
    <row r="8" spans="1:12" ht="15">
      <c r="A8" s="1383"/>
      <c r="B8" s="1384"/>
      <c r="C8" s="125"/>
      <c r="D8" s="125"/>
      <c r="E8" s="1373" t="s">
        <v>106</v>
      </c>
      <c r="F8" s="1374"/>
      <c r="G8" s="1198" t="s">
        <v>107</v>
      </c>
      <c r="H8" s="1198" t="s">
        <v>385</v>
      </c>
      <c r="I8" s="1373" t="s">
        <v>383</v>
      </c>
      <c r="J8" s="1374"/>
      <c r="K8" s="1198" t="s">
        <v>1304</v>
      </c>
      <c r="L8" s="1339"/>
    </row>
    <row r="9" spans="1:12" ht="15">
      <c r="A9" s="1381"/>
      <c r="B9" s="1382"/>
      <c r="C9" s="77"/>
      <c r="D9" s="77"/>
      <c r="E9" s="1379"/>
      <c r="F9" s="1380"/>
      <c r="G9" s="203"/>
      <c r="H9" s="203"/>
      <c r="I9" s="1379"/>
      <c r="J9" s="1380"/>
      <c r="K9" s="1199" t="s">
        <v>2299</v>
      </c>
      <c r="L9" s="1339"/>
    </row>
    <row r="10" spans="1:12" ht="18" customHeight="1">
      <c r="A10" s="618"/>
      <c r="B10" s="80" t="s">
        <v>573</v>
      </c>
      <c r="C10" s="80"/>
      <c r="D10" s="80"/>
      <c r="E10" s="1368" t="s">
        <v>575</v>
      </c>
      <c r="F10" s="1368"/>
      <c r="G10" s="1368"/>
      <c r="H10" s="1368"/>
      <c r="I10" s="1368"/>
      <c r="J10" s="1368"/>
      <c r="K10" s="1368"/>
      <c r="L10" s="1339"/>
    </row>
    <row r="11" spans="1:12" ht="15.75">
      <c r="A11" s="1387" t="s">
        <v>628</v>
      </c>
      <c r="B11" s="1375" t="s">
        <v>574</v>
      </c>
      <c r="C11" s="1376"/>
      <c r="D11" s="1376"/>
      <c r="E11" s="1376"/>
      <c r="F11" s="1376"/>
      <c r="G11" s="1376"/>
      <c r="H11" s="1376"/>
      <c r="I11" s="1376"/>
      <c r="J11" s="1376"/>
      <c r="K11" s="1376"/>
      <c r="L11" s="1339"/>
    </row>
    <row r="12" spans="1:12" ht="15">
      <c r="A12" s="1387"/>
      <c r="B12" s="197" t="s">
        <v>1931</v>
      </c>
      <c r="C12" s="199" t="s">
        <v>843</v>
      </c>
      <c r="D12" s="143"/>
      <c r="E12" s="125"/>
      <c r="F12" s="125"/>
      <c r="G12" s="125"/>
      <c r="H12" s="125"/>
      <c r="I12" s="125"/>
      <c r="J12" s="125"/>
      <c r="K12" s="80"/>
      <c r="L12" s="1339"/>
    </row>
    <row r="13" spans="1:12" ht="15">
      <c r="A13" s="1387"/>
      <c r="B13" s="209"/>
      <c r="C13" s="1360"/>
      <c r="D13" s="1361"/>
      <c r="E13" s="1377"/>
      <c r="F13" s="1378"/>
      <c r="G13" s="198"/>
      <c r="H13" s="198"/>
      <c r="I13" s="1369"/>
      <c r="J13" s="1370"/>
      <c r="K13" s="659">
        <f>G13-H13-I13</f>
        <v>0</v>
      </c>
      <c r="L13" s="1339"/>
    </row>
    <row r="14" spans="1:12" ht="15.75">
      <c r="A14" s="1387"/>
      <c r="B14" s="84"/>
      <c r="C14" s="84"/>
      <c r="D14" s="106"/>
      <c r="E14" s="106" t="s">
        <v>503</v>
      </c>
      <c r="F14" s="1193">
        <v>106</v>
      </c>
      <c r="G14" s="204">
        <f>G13</f>
        <v>0</v>
      </c>
      <c r="H14" s="205"/>
      <c r="I14" s="106" t="s">
        <v>105</v>
      </c>
      <c r="J14" s="1194">
        <v>107</v>
      </c>
      <c r="K14" s="1188">
        <f>K13</f>
        <v>0</v>
      </c>
      <c r="L14" s="1339"/>
    </row>
    <row r="15" spans="1:12" ht="15.75">
      <c r="A15" s="1387"/>
      <c r="B15" s="100" t="s">
        <v>576</v>
      </c>
      <c r="C15" s="77"/>
      <c r="D15" s="77"/>
      <c r="E15" s="125"/>
      <c r="F15" s="125"/>
      <c r="G15" s="84"/>
      <c r="H15" s="125"/>
      <c r="I15" s="125"/>
      <c r="J15" s="125"/>
      <c r="K15" s="80"/>
      <c r="L15" s="1339"/>
    </row>
    <row r="16" spans="1:12" ht="15">
      <c r="A16" s="1387"/>
      <c r="B16" s="1385" t="s">
        <v>157</v>
      </c>
      <c r="C16" s="1390"/>
      <c r="D16" s="1391"/>
      <c r="E16" s="124"/>
      <c r="F16" s="125"/>
      <c r="G16" s="125"/>
      <c r="H16" s="125"/>
      <c r="I16" s="125"/>
      <c r="J16" s="125"/>
      <c r="K16" s="80"/>
      <c r="L16" s="1339"/>
    </row>
    <row r="17" spans="1:12" ht="15">
      <c r="A17" s="1387"/>
      <c r="B17" s="1365" t="s">
        <v>288</v>
      </c>
      <c r="C17" s="1366"/>
      <c r="D17" s="1367"/>
      <c r="E17" s="1377" t="s">
        <v>288</v>
      </c>
      <c r="F17" s="1378"/>
      <c r="G17" s="198"/>
      <c r="H17" s="198"/>
      <c r="I17" s="1369"/>
      <c r="J17" s="1370"/>
      <c r="K17" s="659">
        <f>G17-H17-I17</f>
        <v>0</v>
      </c>
      <c r="L17" s="1339"/>
    </row>
    <row r="18" spans="1:12" ht="15.75">
      <c r="A18" s="1387"/>
      <c r="B18" s="124"/>
      <c r="C18" s="125"/>
      <c r="D18" s="105"/>
      <c r="E18" s="106" t="s">
        <v>503</v>
      </c>
      <c r="F18" s="1193">
        <v>109</v>
      </c>
      <c r="G18" s="204">
        <f>G17</f>
        <v>0</v>
      </c>
      <c r="H18" s="205"/>
      <c r="I18" s="106" t="s">
        <v>105</v>
      </c>
      <c r="J18" s="1194">
        <v>110</v>
      </c>
      <c r="K18" s="1188">
        <f>K17</f>
        <v>0</v>
      </c>
      <c r="L18" s="1339"/>
    </row>
    <row r="19" spans="1:12" ht="15">
      <c r="A19" s="1387"/>
      <c r="B19" s="1392" t="s">
        <v>156</v>
      </c>
      <c r="C19" s="1393"/>
      <c r="D19" s="1394"/>
      <c r="E19" s="125"/>
      <c r="F19" s="125"/>
      <c r="G19" s="937"/>
      <c r="H19" s="105"/>
      <c r="I19" s="125"/>
      <c r="J19" s="125"/>
      <c r="K19" s="800"/>
      <c r="L19" s="1339"/>
    </row>
    <row r="20" spans="1:12" ht="15">
      <c r="A20" s="1387"/>
      <c r="B20" s="1181" t="s">
        <v>602</v>
      </c>
      <c r="C20" s="125"/>
      <c r="D20" s="144"/>
      <c r="E20" s="125"/>
      <c r="F20" s="125"/>
      <c r="G20" s="125"/>
      <c r="H20" s="125"/>
      <c r="I20" s="125"/>
      <c r="J20" s="125"/>
      <c r="K20" s="80"/>
      <c r="L20" s="1339"/>
    </row>
    <row r="21" spans="1:12" ht="15.75" customHeight="1">
      <c r="A21" s="1387"/>
      <c r="B21" s="1360"/>
      <c r="C21" s="1362"/>
      <c r="D21" s="1361"/>
      <c r="E21" s="1377" t="s">
        <v>288</v>
      </c>
      <c r="F21" s="1378"/>
      <c r="G21" s="198"/>
      <c r="H21" s="198"/>
      <c r="I21" s="1369"/>
      <c r="J21" s="1370"/>
      <c r="K21" s="659">
        <f>G21-H21-I21</f>
        <v>0</v>
      </c>
      <c r="L21" s="1339"/>
    </row>
    <row r="22" spans="1:12" ht="15.75">
      <c r="A22" s="618"/>
      <c r="B22" s="84"/>
      <c r="C22" s="84"/>
      <c r="D22" s="106"/>
      <c r="E22" s="106" t="s">
        <v>503</v>
      </c>
      <c r="F22" s="1193">
        <v>123</v>
      </c>
      <c r="G22" s="204">
        <f>G21</f>
        <v>0</v>
      </c>
      <c r="H22" s="205"/>
      <c r="I22" s="106" t="s">
        <v>105</v>
      </c>
      <c r="J22" s="1194">
        <v>124</v>
      </c>
      <c r="K22" s="1188">
        <f>K21</f>
        <v>0</v>
      </c>
      <c r="L22" s="1339"/>
    </row>
    <row r="23" spans="1:12" ht="32.25" customHeight="1">
      <c r="A23" s="1395" t="s">
        <v>230</v>
      </c>
      <c r="B23" s="1334"/>
      <c r="C23" s="1334"/>
      <c r="D23" s="1334"/>
      <c r="E23" s="1334"/>
      <c r="F23" s="1334"/>
      <c r="G23" s="1334"/>
      <c r="H23" s="1334"/>
      <c r="I23" s="1334"/>
      <c r="J23" s="1169"/>
      <c r="K23" s="80"/>
      <c r="L23" s="1339"/>
    </row>
    <row r="24" spans="1:12" ht="15.75" customHeight="1">
      <c r="A24" s="618"/>
      <c r="B24" s="930" t="s">
        <v>231</v>
      </c>
      <c r="C24" s="77"/>
      <c r="D24" s="77"/>
      <c r="E24" s="125"/>
      <c r="F24" s="125"/>
      <c r="G24" s="125"/>
      <c r="H24" s="125"/>
      <c r="I24" s="125"/>
      <c r="J24" s="125"/>
      <c r="K24" s="80"/>
      <c r="L24" s="1339"/>
    </row>
    <row r="25" spans="1:12" ht="15">
      <c r="A25" s="1385" t="s">
        <v>304</v>
      </c>
      <c r="B25" s="1386"/>
      <c r="C25" s="200" t="s">
        <v>844</v>
      </c>
      <c r="D25" s="143"/>
      <c r="E25" s="124"/>
      <c r="F25" s="125"/>
      <c r="G25" s="125"/>
      <c r="H25" s="125"/>
      <c r="I25" s="125"/>
      <c r="J25" s="125"/>
      <c r="K25" s="80"/>
      <c r="L25" s="1339"/>
    </row>
    <row r="26" spans="1:12" ht="15">
      <c r="A26" s="1396"/>
      <c r="B26" s="1397"/>
      <c r="C26" s="1363"/>
      <c r="D26" s="1364"/>
      <c r="E26" s="1377" t="s">
        <v>288</v>
      </c>
      <c r="F26" s="1378"/>
      <c r="G26" s="198"/>
      <c r="H26" s="198"/>
      <c r="I26" s="1369"/>
      <c r="J26" s="1370"/>
      <c r="K26" s="659">
        <f>G26-H26-I26</f>
        <v>0</v>
      </c>
      <c r="L26" s="1339"/>
    </row>
    <row r="27" spans="1:12" ht="15.75">
      <c r="A27" s="618"/>
      <c r="B27" s="84"/>
      <c r="C27" s="84"/>
      <c r="D27" s="106"/>
      <c r="E27" s="106" t="s">
        <v>503</v>
      </c>
      <c r="F27" s="1193">
        <v>131</v>
      </c>
      <c r="G27" s="204">
        <f>G26</f>
        <v>0</v>
      </c>
      <c r="H27" s="205"/>
      <c r="I27" s="106" t="s">
        <v>105</v>
      </c>
      <c r="J27" s="1194">
        <v>132</v>
      </c>
      <c r="K27" s="1188">
        <f>K26</f>
        <v>0</v>
      </c>
      <c r="L27" s="1339"/>
    </row>
    <row r="28" spans="1:12" ht="15.75">
      <c r="A28" s="100" t="s">
        <v>232</v>
      </c>
      <c r="B28" s="100"/>
      <c r="C28" s="77"/>
      <c r="D28" s="77"/>
      <c r="E28" s="125"/>
      <c r="F28" s="125"/>
      <c r="G28" s="84"/>
      <c r="H28" s="125"/>
      <c r="I28" s="125"/>
      <c r="J28" s="125"/>
      <c r="K28" s="80"/>
      <c r="L28" s="1339"/>
    </row>
    <row r="29" spans="1:12" ht="15">
      <c r="A29" s="199" t="s">
        <v>233</v>
      </c>
      <c r="B29" s="200"/>
      <c r="C29" s="200"/>
      <c r="D29" s="1197" t="s">
        <v>601</v>
      </c>
      <c r="E29" s="124"/>
      <c r="F29" s="125"/>
      <c r="G29" s="125"/>
      <c r="H29" s="125"/>
      <c r="I29" s="125"/>
      <c r="J29" s="125"/>
      <c r="K29" s="80"/>
      <c r="L29" s="1339"/>
    </row>
    <row r="30" spans="1:12" ht="15">
      <c r="A30" s="1377" t="s">
        <v>288</v>
      </c>
      <c r="B30" s="1382"/>
      <c r="C30" s="1382"/>
      <c r="D30" s="1388"/>
      <c r="E30" s="1377" t="s">
        <v>288</v>
      </c>
      <c r="F30" s="1378"/>
      <c r="G30" s="198"/>
      <c r="H30" s="198"/>
      <c r="I30" s="1369"/>
      <c r="J30" s="1370"/>
      <c r="K30" s="659">
        <f>G30-H30-I30</f>
        <v>0</v>
      </c>
      <c r="L30" s="1339"/>
    </row>
    <row r="31" spans="1:12" ht="15.75">
      <c r="A31" s="618"/>
      <c r="B31" s="125"/>
      <c r="C31" s="125"/>
      <c r="D31" s="105"/>
      <c r="E31" s="106" t="s">
        <v>503</v>
      </c>
      <c r="F31" s="1193">
        <v>136</v>
      </c>
      <c r="G31" s="204">
        <f>G30</f>
        <v>0</v>
      </c>
      <c r="H31" s="205"/>
      <c r="I31" s="106" t="s">
        <v>105</v>
      </c>
      <c r="J31" s="1194">
        <v>138</v>
      </c>
      <c r="K31" s="1188">
        <f>K30</f>
        <v>0</v>
      </c>
      <c r="L31" s="1339"/>
    </row>
    <row r="32" spans="1:12" ht="15.75">
      <c r="A32" s="100" t="s">
        <v>234</v>
      </c>
      <c r="B32" s="100"/>
      <c r="C32" s="77"/>
      <c r="D32" s="77"/>
      <c r="E32" s="125"/>
      <c r="F32" s="125"/>
      <c r="G32" s="84"/>
      <c r="H32" s="125"/>
      <c r="I32" s="125"/>
      <c r="J32" s="125"/>
      <c r="K32" s="80"/>
      <c r="L32" s="1339"/>
    </row>
    <row r="33" spans="1:12" ht="15">
      <c r="A33" s="1385" t="s">
        <v>689</v>
      </c>
      <c r="B33" s="1386"/>
      <c r="C33" s="823" t="s">
        <v>690</v>
      </c>
      <c r="D33" s="1195" t="s">
        <v>397</v>
      </c>
      <c r="E33" s="124"/>
      <c r="F33" s="125"/>
      <c r="G33" s="125"/>
      <c r="H33" s="125"/>
      <c r="I33" s="125"/>
      <c r="J33" s="125"/>
      <c r="K33" s="80"/>
      <c r="L33" s="1339"/>
    </row>
    <row r="34" spans="1:12" ht="15">
      <c r="A34" s="1369">
        <v>1</v>
      </c>
      <c r="B34" s="1370"/>
      <c r="C34" s="198"/>
      <c r="D34" s="198"/>
      <c r="E34" s="1377" t="s">
        <v>288</v>
      </c>
      <c r="F34" s="1378"/>
      <c r="G34" s="198"/>
      <c r="H34" s="198"/>
      <c r="I34" s="1369"/>
      <c r="J34" s="1370"/>
      <c r="K34" s="659">
        <f>G34-H34-I34</f>
        <v>0</v>
      </c>
      <c r="L34" s="1339"/>
    </row>
    <row r="35" spans="1:12" ht="15.75">
      <c r="A35" s="618"/>
      <c r="B35" s="84"/>
      <c r="C35" s="84"/>
      <c r="D35" s="106"/>
      <c r="E35" s="106" t="s">
        <v>503</v>
      </c>
      <c r="F35" s="1193">
        <v>151</v>
      </c>
      <c r="G35" s="204">
        <f>G34</f>
        <v>0</v>
      </c>
      <c r="H35" s="205"/>
      <c r="I35" s="106" t="s">
        <v>105</v>
      </c>
      <c r="J35" s="1194">
        <v>153</v>
      </c>
      <c r="K35" s="1188">
        <f>K34</f>
        <v>0</v>
      </c>
      <c r="L35" s="1339"/>
    </row>
    <row r="36" spans="1:12" ht="15.75">
      <c r="A36" s="100" t="s">
        <v>235</v>
      </c>
      <c r="B36" s="100"/>
      <c r="C36" s="77"/>
      <c r="D36" s="77"/>
      <c r="E36" s="125"/>
      <c r="F36" s="125"/>
      <c r="G36" s="84"/>
      <c r="H36" s="125"/>
      <c r="I36" s="125"/>
      <c r="J36" s="125"/>
      <c r="K36" s="80"/>
      <c r="L36" s="1339"/>
    </row>
    <row r="37" spans="1:12" ht="15">
      <c r="A37" s="199" t="s">
        <v>254</v>
      </c>
      <c r="B37" s="199"/>
      <c r="C37" s="200"/>
      <c r="D37" s="1197" t="s">
        <v>601</v>
      </c>
      <c r="E37" s="124"/>
      <c r="F37" s="125"/>
      <c r="G37" s="125"/>
      <c r="H37" s="125"/>
      <c r="I37" s="125"/>
      <c r="J37" s="125"/>
      <c r="K37" s="80"/>
      <c r="L37" s="1339"/>
    </row>
    <row r="38" spans="1:12" ht="15">
      <c r="A38" s="1377" t="s">
        <v>288</v>
      </c>
      <c r="B38" s="1382"/>
      <c r="C38" s="1382"/>
      <c r="D38" s="1388"/>
      <c r="E38" s="1377" t="s">
        <v>288</v>
      </c>
      <c r="F38" s="1378"/>
      <c r="G38" s="198"/>
      <c r="H38" s="198"/>
      <c r="I38" s="1369"/>
      <c r="J38" s="1370"/>
      <c r="K38" s="659">
        <f>G38-H38-I38</f>
        <v>0</v>
      </c>
      <c r="L38" s="1339"/>
    </row>
    <row r="39" spans="1:12" ht="15.75">
      <c r="A39" s="618"/>
      <c r="B39" s="125"/>
      <c r="C39" s="125"/>
      <c r="D39" s="105"/>
      <c r="E39" s="106" t="s">
        <v>503</v>
      </c>
      <c r="F39" s="1193">
        <v>154</v>
      </c>
      <c r="G39" s="204">
        <f>G38</f>
        <v>0</v>
      </c>
      <c r="H39" s="205"/>
      <c r="I39" s="106" t="s">
        <v>105</v>
      </c>
      <c r="J39" s="1194">
        <v>155</v>
      </c>
      <c r="K39" s="1188">
        <f>K38</f>
        <v>0</v>
      </c>
      <c r="L39" s="1339"/>
    </row>
    <row r="40" spans="1:12" ht="15.75">
      <c r="A40" s="103" t="s">
        <v>236</v>
      </c>
      <c r="B40" s="103"/>
      <c r="C40" s="125"/>
      <c r="D40" s="125"/>
      <c r="E40" s="125"/>
      <c r="F40" s="125"/>
      <c r="G40" s="84"/>
      <c r="H40" s="125"/>
      <c r="I40" s="125"/>
      <c r="J40" s="125"/>
      <c r="K40" s="80"/>
      <c r="L40" s="1339"/>
    </row>
    <row r="41" spans="1:12" ht="15">
      <c r="A41" s="1389" t="s">
        <v>288</v>
      </c>
      <c r="B41" s="1382"/>
      <c r="C41" s="1382"/>
      <c r="D41" s="1388"/>
      <c r="E41" s="1377" t="s">
        <v>288</v>
      </c>
      <c r="F41" s="1378"/>
      <c r="G41" s="198"/>
      <c r="H41" s="198"/>
      <c r="I41" s="1369"/>
      <c r="J41" s="1370"/>
      <c r="K41" s="659">
        <f>G41-H41-I41</f>
        <v>0</v>
      </c>
      <c r="L41" s="1339"/>
    </row>
    <row r="42" spans="1:12" ht="15.75">
      <c r="A42" s="618"/>
      <c r="B42" s="125"/>
      <c r="C42" s="125"/>
      <c r="D42" s="105"/>
      <c r="E42" s="84"/>
      <c r="F42" s="84"/>
      <c r="G42" s="84"/>
      <c r="H42" s="106"/>
      <c r="I42" s="106" t="s">
        <v>229</v>
      </c>
      <c r="J42" s="2">
        <v>158</v>
      </c>
      <c r="K42" s="204">
        <f>K41</f>
        <v>0</v>
      </c>
      <c r="L42" s="1339"/>
    </row>
    <row r="43" spans="1:12" ht="15.75">
      <c r="A43" s="103" t="s">
        <v>237</v>
      </c>
      <c r="B43" s="103"/>
      <c r="C43" s="125"/>
      <c r="D43" s="125"/>
      <c r="E43" s="125"/>
      <c r="F43" s="125"/>
      <c r="G43" s="125"/>
      <c r="H43" s="125"/>
      <c r="I43" s="125"/>
      <c r="J43" s="125"/>
      <c r="K43" s="125"/>
      <c r="L43" s="1339"/>
    </row>
    <row r="44" spans="1:12" ht="15">
      <c r="A44" s="1389" t="s">
        <v>288</v>
      </c>
      <c r="B44" s="1382"/>
      <c r="C44" s="1382"/>
      <c r="D44" s="1388"/>
      <c r="E44" s="1377" t="s">
        <v>288</v>
      </c>
      <c r="F44" s="1378"/>
      <c r="G44" s="198"/>
      <c r="H44" s="198"/>
      <c r="I44" s="1369"/>
      <c r="J44" s="1370"/>
      <c r="K44" s="659">
        <f>G44-H44-I44</f>
        <v>0</v>
      </c>
      <c r="L44" s="1339"/>
    </row>
    <row r="45" spans="1:12" ht="15.75">
      <c r="A45" s="103" t="s">
        <v>435</v>
      </c>
      <c r="B45" s="103"/>
      <c r="C45" s="125"/>
      <c r="D45" s="105"/>
      <c r="E45" s="84"/>
      <c r="F45" s="84"/>
      <c r="G45" s="84"/>
      <c r="H45" s="106"/>
      <c r="I45" s="106"/>
      <c r="J45" s="106" t="s">
        <v>577</v>
      </c>
      <c r="K45" s="204"/>
      <c r="L45" s="1339"/>
    </row>
    <row r="46" spans="1:12" ht="15.75">
      <c r="A46" s="125" t="s">
        <v>434</v>
      </c>
      <c r="B46" s="125"/>
      <c r="C46" s="125"/>
      <c r="D46" s="125"/>
      <c r="E46" s="125"/>
      <c r="F46" s="125"/>
      <c r="G46" s="125"/>
      <c r="H46" s="125"/>
      <c r="I46" s="105" t="s">
        <v>228</v>
      </c>
      <c r="J46" s="2">
        <v>159</v>
      </c>
      <c r="K46" s="660">
        <f>K44-K45</f>
        <v>0</v>
      </c>
      <c r="L46" s="1339"/>
    </row>
    <row r="47" spans="1:12" ht="15">
      <c r="A47" s="618"/>
      <c r="B47" s="125"/>
      <c r="C47" s="125"/>
      <c r="D47" s="125"/>
      <c r="E47" s="125"/>
      <c r="F47" s="125"/>
      <c r="G47" s="125"/>
      <c r="H47" s="125"/>
      <c r="I47" s="125"/>
      <c r="J47" s="125"/>
      <c r="K47" s="80"/>
      <c r="L47" s="1339"/>
    </row>
    <row r="48" spans="1:12" ht="15.75">
      <c r="A48" s="1196" t="s">
        <v>845</v>
      </c>
      <c r="B48" s="1196"/>
      <c r="C48" s="1196"/>
      <c r="D48" s="1196"/>
      <c r="E48" s="1196"/>
      <c r="F48" s="1196"/>
      <c r="G48" s="1196"/>
      <c r="H48" s="125"/>
      <c r="I48" s="125"/>
      <c r="J48" s="2">
        <v>161</v>
      </c>
      <c r="K48" s="1200"/>
      <c r="L48" s="1339"/>
    </row>
    <row r="49" spans="1:12" ht="15">
      <c r="A49" s="84" t="s">
        <v>134</v>
      </c>
      <c r="B49" s="125"/>
      <c r="C49" s="84"/>
      <c r="D49" s="84"/>
      <c r="E49" s="84"/>
      <c r="F49" s="84"/>
      <c r="G49" s="84"/>
      <c r="H49" s="84"/>
      <c r="I49" s="84"/>
      <c r="J49" s="125"/>
      <c r="K49" s="125"/>
      <c r="L49" s="1339"/>
    </row>
    <row r="50" spans="1:12" ht="15.75">
      <c r="A50" s="77" t="s">
        <v>135</v>
      </c>
      <c r="B50" s="1196"/>
      <c r="C50" s="77"/>
      <c r="D50" s="77"/>
      <c r="E50" s="77"/>
      <c r="F50" s="77"/>
      <c r="G50" s="77"/>
      <c r="H50" s="102">
        <v>173</v>
      </c>
      <c r="I50" s="108"/>
      <c r="J50" s="80"/>
      <c r="K50" s="125"/>
      <c r="L50" s="1339"/>
    </row>
    <row r="51" spans="1:12" ht="15.75">
      <c r="A51" s="80"/>
      <c r="B51" s="103"/>
      <c r="C51" s="80"/>
      <c r="D51" s="80"/>
      <c r="E51" s="80"/>
      <c r="F51" s="80"/>
      <c r="G51" s="80"/>
      <c r="H51" s="80"/>
      <c r="I51" s="80"/>
      <c r="J51" s="80"/>
      <c r="K51" s="125"/>
      <c r="L51" s="1339"/>
    </row>
    <row r="52" spans="1:12" ht="15.75">
      <c r="A52" s="100" t="s">
        <v>136</v>
      </c>
      <c r="B52" s="1196"/>
      <c r="C52" s="77"/>
      <c r="D52" s="77"/>
      <c r="E52" s="77"/>
      <c r="F52" s="77"/>
      <c r="G52" s="77"/>
      <c r="H52" s="77"/>
      <c r="I52" s="102"/>
      <c r="J52" s="2">
        <v>174</v>
      </c>
      <c r="K52" s="1201">
        <f>MISC!L69</f>
        <v>0</v>
      </c>
      <c r="L52" s="1339"/>
    </row>
    <row r="53" spans="1:12" ht="15.75">
      <c r="A53" s="100" t="s">
        <v>137</v>
      </c>
      <c r="B53" s="1196"/>
      <c r="C53" s="77"/>
      <c r="D53" s="77"/>
      <c r="E53" s="77"/>
      <c r="F53" s="77"/>
      <c r="G53" s="77"/>
      <c r="H53" s="77"/>
      <c r="I53" s="96"/>
      <c r="J53" s="2">
        <v>176</v>
      </c>
      <c r="K53" s="1201">
        <f>MISC!L70</f>
        <v>0</v>
      </c>
      <c r="L53" s="1339"/>
    </row>
    <row r="54" spans="1:12" ht="15.75">
      <c r="A54" s="78" t="s">
        <v>1584</v>
      </c>
      <c r="B54" s="1196"/>
      <c r="C54" s="78"/>
      <c r="D54" s="78"/>
      <c r="E54" s="78"/>
      <c r="F54" s="78"/>
      <c r="G54" s="78"/>
      <c r="H54" s="78"/>
      <c r="I54" s="96"/>
      <c r="J54" s="2">
        <v>178</v>
      </c>
      <c r="K54" s="1202"/>
      <c r="L54" s="1339"/>
    </row>
    <row r="55" spans="1:12" ht="15.75">
      <c r="A55" s="78"/>
      <c r="B55" s="1196"/>
      <c r="C55" s="78"/>
      <c r="D55" s="78"/>
      <c r="E55" s="78"/>
      <c r="F55" s="78"/>
      <c r="G55" s="78"/>
      <c r="H55" s="169"/>
      <c r="I55" s="169" t="s">
        <v>227</v>
      </c>
      <c r="J55" s="1189" t="s">
        <v>221</v>
      </c>
      <c r="K55" s="1203">
        <f>K14+K17+K22+K27+K31+K35+K39+K42+K46-K48+K52+K53-K54</f>
        <v>0</v>
      </c>
      <c r="L55" s="1339"/>
    </row>
    <row r="56" spans="1:12" ht="15">
      <c r="A56" s="78" t="s">
        <v>342</v>
      </c>
      <c r="B56" s="1196"/>
      <c r="C56" s="78"/>
      <c r="D56" s="78"/>
      <c r="E56" s="78"/>
      <c r="F56" s="78"/>
      <c r="G56" s="78"/>
      <c r="H56" s="78"/>
      <c r="I56" s="206"/>
      <c r="J56" s="1190" t="s">
        <v>222</v>
      </c>
      <c r="K56" s="1204"/>
      <c r="L56" s="1339"/>
    </row>
    <row r="57" spans="1:12" ht="16.5" thickBot="1">
      <c r="A57" s="78" t="s">
        <v>220</v>
      </c>
      <c r="B57" s="1196"/>
      <c r="C57" s="78"/>
      <c r="D57" s="78"/>
      <c r="E57" s="78"/>
      <c r="F57" s="78"/>
      <c r="G57" s="78"/>
      <c r="H57" s="78"/>
      <c r="I57" s="206"/>
      <c r="J57" s="1191" t="s">
        <v>223</v>
      </c>
      <c r="K57" s="736"/>
      <c r="L57" s="1339"/>
    </row>
    <row r="58" spans="1:12" ht="15.75">
      <c r="A58" s="78"/>
      <c r="B58" s="1196"/>
      <c r="C58" s="78"/>
      <c r="D58" s="78"/>
      <c r="E58" s="78"/>
      <c r="F58" s="78"/>
      <c r="G58" s="78"/>
      <c r="H58" s="169"/>
      <c r="I58" s="169" t="s">
        <v>226</v>
      </c>
      <c r="J58" s="1189" t="s">
        <v>224</v>
      </c>
      <c r="K58" s="1202">
        <f>K55+K56+K57</f>
        <v>0</v>
      </c>
      <c r="L58" s="1339"/>
    </row>
    <row r="59" spans="1:12" ht="15.75">
      <c r="A59" s="101" t="str">
        <f>"Taxable capital gains (or net capital loss) in "&amp;yeartext&amp;":"</f>
        <v>Taxable capital gains (or net capital loss) in 2006:</v>
      </c>
      <c r="B59" s="103"/>
      <c r="C59" s="84"/>
      <c r="D59" s="84"/>
      <c r="E59" s="84"/>
      <c r="F59" s="84"/>
      <c r="G59" s="84"/>
      <c r="H59" s="183"/>
      <c r="I59" s="84"/>
      <c r="J59" s="128"/>
      <c r="K59" s="80"/>
      <c r="L59" s="1339"/>
    </row>
    <row r="60" spans="1:12" ht="15.75">
      <c r="A60" s="80" t="s">
        <v>907</v>
      </c>
      <c r="B60" s="125"/>
      <c r="C60" s="80"/>
      <c r="D60" s="80"/>
      <c r="E60" s="80"/>
      <c r="F60" s="80"/>
      <c r="G60" s="80"/>
      <c r="H60" s="91"/>
      <c r="I60" s="125"/>
      <c r="J60" s="128"/>
      <c r="K60" s="80"/>
      <c r="L60" s="1339"/>
    </row>
    <row r="61" spans="1:12" ht="15.75">
      <c r="A61" s="149" t="s">
        <v>846</v>
      </c>
      <c r="B61" s="1196"/>
      <c r="C61" s="149"/>
      <c r="D61" s="149"/>
      <c r="E61" s="149"/>
      <c r="F61" s="149"/>
      <c r="G61" s="149"/>
      <c r="H61" s="152"/>
      <c r="I61" s="207"/>
      <c r="J61" s="1192" t="s">
        <v>225</v>
      </c>
      <c r="K61" s="1188">
        <f>0.5*K58</f>
        <v>0</v>
      </c>
      <c r="L61" s="1339"/>
    </row>
    <row r="62" spans="1:12" ht="15.75">
      <c r="A62" s="80"/>
      <c r="B62" s="103"/>
      <c r="C62" s="80"/>
      <c r="D62" s="80"/>
      <c r="E62" s="80"/>
      <c r="F62" s="80"/>
      <c r="G62" s="80"/>
      <c r="H62" s="91"/>
      <c r="I62" s="80"/>
      <c r="J62" s="80"/>
      <c r="K62" s="80"/>
      <c r="L62" s="1339"/>
    </row>
    <row r="63" spans="1:12" ht="15.75">
      <c r="A63" s="80" t="s">
        <v>1997</v>
      </c>
      <c r="B63" s="125"/>
      <c r="C63" s="80"/>
      <c r="D63" s="80"/>
      <c r="E63" s="80"/>
      <c r="F63" s="80"/>
      <c r="G63" s="80"/>
      <c r="H63" s="91"/>
      <c r="I63" s="80"/>
      <c r="J63" s="80"/>
      <c r="K63" s="119"/>
      <c r="L63" s="1339"/>
    </row>
    <row r="64" spans="1:12" ht="15">
      <c r="A64" s="618"/>
      <c r="B64" s="80"/>
      <c r="C64" s="80"/>
      <c r="D64" s="80"/>
      <c r="E64" s="80"/>
      <c r="F64" s="80"/>
      <c r="G64" s="80"/>
      <c r="H64" s="80"/>
      <c r="I64" s="80"/>
      <c r="J64" s="80"/>
      <c r="K64" s="80" t="s">
        <v>1388</v>
      </c>
      <c r="L64" s="1339"/>
    </row>
  </sheetData>
  <sheetProtection password="EC35" sheet="1" objects="1" scenarios="1"/>
  <mergeCells count="47">
    <mergeCell ref="A38:D38"/>
    <mergeCell ref="A41:D41"/>
    <mergeCell ref="A44:D44"/>
    <mergeCell ref="B16:D16"/>
    <mergeCell ref="B19:D19"/>
    <mergeCell ref="A23:I23"/>
    <mergeCell ref="A25:B25"/>
    <mergeCell ref="A26:B26"/>
    <mergeCell ref="A30:D30"/>
    <mergeCell ref="E34:F34"/>
    <mergeCell ref="A9:B9"/>
    <mergeCell ref="A8:B8"/>
    <mergeCell ref="A33:B33"/>
    <mergeCell ref="A34:B34"/>
    <mergeCell ref="A11:A21"/>
    <mergeCell ref="E17:F17"/>
    <mergeCell ref="E21:F21"/>
    <mergeCell ref="E26:F26"/>
    <mergeCell ref="E30:F30"/>
    <mergeCell ref="I38:J38"/>
    <mergeCell ref="I41:J41"/>
    <mergeCell ref="I44:J44"/>
    <mergeCell ref="E6:F6"/>
    <mergeCell ref="E7:F7"/>
    <mergeCell ref="E8:F8"/>
    <mergeCell ref="E9:F9"/>
    <mergeCell ref="E38:F38"/>
    <mergeCell ref="E41:F41"/>
    <mergeCell ref="E44:F44"/>
    <mergeCell ref="I13:J13"/>
    <mergeCell ref="I17:J17"/>
    <mergeCell ref="I21:J21"/>
    <mergeCell ref="I34:J34"/>
    <mergeCell ref="L1:L64"/>
    <mergeCell ref="E10:K10"/>
    <mergeCell ref="I26:J26"/>
    <mergeCell ref="I6:J6"/>
    <mergeCell ref="I7:J7"/>
    <mergeCell ref="I8:J8"/>
    <mergeCell ref="B11:K11"/>
    <mergeCell ref="I30:J30"/>
    <mergeCell ref="E13:F13"/>
    <mergeCell ref="I9:J9"/>
    <mergeCell ref="C13:D13"/>
    <mergeCell ref="B21:D21"/>
    <mergeCell ref="C26:D26"/>
    <mergeCell ref="B17:D17"/>
  </mergeCells>
  <hyperlinks>
    <hyperlink ref="L1:L64" location="'GO TO'!B12" display=" "/>
  </hyperlinks>
  <printOptions horizontalCentered="1"/>
  <pageMargins left="0.261811024" right="0.261811024" top="0.511811023622047" bottom="0.261811024" header="0.511811023622047" footer="0.511811023622047"/>
  <pageSetup fitToHeight="0" fitToWidth="1" horizontalDpi="600" verticalDpi="600" orientation="portrait" scale="72" r:id="rId3"/>
  <legacyDrawing r:id="rId2"/>
</worksheet>
</file>

<file path=xl/worksheets/sheet17.xml><?xml version="1.0" encoding="utf-8"?>
<worksheet xmlns="http://schemas.openxmlformats.org/spreadsheetml/2006/main" xmlns:r="http://schemas.openxmlformats.org/officeDocument/2006/relationships">
  <sheetPr codeName="Sheet14" transitionEvaluation="1">
    <pageSetUpPr fitToPage="1"/>
  </sheetPr>
  <dimension ref="A1:G31"/>
  <sheetViews>
    <sheetView showGridLines="0" zoomScale="75" zoomScaleNormal="75" workbookViewId="0" topLeftCell="A1">
      <selection activeCell="A2" sqref="A2"/>
    </sheetView>
  </sheetViews>
  <sheetFormatPr defaultColWidth="9.77734375" defaultRowHeight="15"/>
  <cols>
    <col min="1" max="1" width="6.10546875" style="619" customWidth="1"/>
    <col min="2" max="2" width="23.3359375" style="619" customWidth="1"/>
    <col min="3" max="3" width="57.88671875" style="619" customWidth="1"/>
    <col min="4" max="4" width="5.21484375" style="619" customWidth="1"/>
    <col min="5" max="5" width="12.77734375" style="619" customWidth="1"/>
    <col min="6" max="6" width="3.4453125" style="619" customWidth="1"/>
    <col min="7" max="16384" width="9.77734375" style="619" customWidth="1"/>
  </cols>
  <sheetData>
    <row r="1" spans="1:7" ht="20.25">
      <c r="A1" s="76" t="str">
        <f>"T1-"&amp;yeartext</f>
        <v>T1-2006</v>
      </c>
      <c r="B1" s="89"/>
      <c r="C1" s="76" t="s">
        <v>609</v>
      </c>
      <c r="D1" s="89"/>
      <c r="E1" s="208" t="s">
        <v>610</v>
      </c>
      <c r="F1" s="80"/>
      <c r="G1" s="1339" t="s">
        <v>1793</v>
      </c>
    </row>
    <row r="2" spans="1:7" ht="15">
      <c r="A2" s="618"/>
      <c r="B2" s="80"/>
      <c r="C2" s="80"/>
      <c r="D2" s="80"/>
      <c r="E2" s="80"/>
      <c r="F2" s="80"/>
      <c r="G2" s="1339"/>
    </row>
    <row r="3" spans="1:7" ht="15">
      <c r="A3" s="80" t="s">
        <v>611</v>
      </c>
      <c r="B3" s="80"/>
      <c r="C3" s="80"/>
      <c r="D3" s="80"/>
      <c r="E3" s="80"/>
      <c r="F3" s="80"/>
      <c r="G3" s="1339"/>
    </row>
    <row r="4" spans="1:7" ht="15">
      <c r="A4" s="80" t="s">
        <v>381</v>
      </c>
      <c r="B4" s="80"/>
      <c r="C4" s="80"/>
      <c r="D4" s="80"/>
      <c r="E4" s="80"/>
      <c r="F4" s="80"/>
      <c r="G4" s="1339"/>
    </row>
    <row r="5" spans="1:7" ht="15">
      <c r="A5" s="618"/>
      <c r="B5" s="80"/>
      <c r="C5" s="80"/>
      <c r="D5" s="80"/>
      <c r="E5" s="80"/>
      <c r="F5" s="80"/>
      <c r="G5" s="1339"/>
    </row>
    <row r="6" spans="1:7" ht="15.75">
      <c r="A6" s="666" t="s">
        <v>1180</v>
      </c>
      <c r="B6" s="99" t="s">
        <v>1145</v>
      </c>
      <c r="C6" s="80"/>
      <c r="D6" s="80"/>
      <c r="E6" s="125"/>
      <c r="F6" s="80"/>
      <c r="G6" s="1339"/>
    </row>
    <row r="7" spans="1:7" ht="15.75">
      <c r="A7" s="666"/>
      <c r="B7" s="80" t="s">
        <v>1146</v>
      </c>
      <c r="C7" s="80"/>
      <c r="D7" s="80"/>
      <c r="E7" s="388"/>
      <c r="F7" s="186" t="s">
        <v>925</v>
      </c>
      <c r="G7" s="1339"/>
    </row>
    <row r="8" spans="1:7" ht="15.75">
      <c r="A8" s="666"/>
      <c r="B8" s="1398" t="s">
        <v>840</v>
      </c>
      <c r="C8" s="1398"/>
      <c r="D8" s="81"/>
      <c r="E8" s="404">
        <f>'Sch4-2'!E28</f>
        <v>0</v>
      </c>
      <c r="F8" s="186" t="s">
        <v>615</v>
      </c>
      <c r="G8" s="1339"/>
    </row>
    <row r="9" spans="1:7" ht="16.5" thickBot="1">
      <c r="A9" s="666"/>
      <c r="B9" s="1398"/>
      <c r="C9" s="1398"/>
      <c r="D9" s="81"/>
      <c r="E9" s="734"/>
      <c r="F9" s="186" t="s">
        <v>616</v>
      </c>
      <c r="G9" s="1339"/>
    </row>
    <row r="10" spans="1:7" ht="15.75">
      <c r="A10" s="666"/>
      <c r="B10" s="150"/>
      <c r="C10" s="157" t="s">
        <v>560</v>
      </c>
      <c r="D10" s="210">
        <v>180</v>
      </c>
      <c r="E10" s="659">
        <f>SUM(E7:E9)</f>
        <v>0</v>
      </c>
      <c r="F10" s="186" t="s">
        <v>617</v>
      </c>
      <c r="G10" s="1339"/>
    </row>
    <row r="11" spans="1:7" ht="15.75">
      <c r="A11" s="667"/>
      <c r="B11" s="80" t="s">
        <v>1147</v>
      </c>
      <c r="C11" s="80"/>
      <c r="D11" s="81"/>
      <c r="E11" s="388"/>
      <c r="F11" s="186" t="s">
        <v>618</v>
      </c>
      <c r="G11" s="1339"/>
    </row>
    <row r="12" spans="1:7" ht="15.75">
      <c r="A12" s="667"/>
      <c r="B12" s="1398" t="s">
        <v>840</v>
      </c>
      <c r="C12" s="1398"/>
      <c r="D12" s="81"/>
      <c r="E12" s="404">
        <f>'Sch4-2'!E50</f>
        <v>0</v>
      </c>
      <c r="F12" s="186" t="s">
        <v>619</v>
      </c>
      <c r="G12" s="1339"/>
    </row>
    <row r="13" spans="1:7" ht="15.75">
      <c r="A13" s="667"/>
      <c r="B13" s="1398"/>
      <c r="C13" s="1398"/>
      <c r="D13" s="81"/>
      <c r="E13" s="404"/>
      <c r="F13" s="186" t="s">
        <v>1560</v>
      </c>
      <c r="G13" s="1339"/>
    </row>
    <row r="14" spans="1:7" ht="15">
      <c r="A14" s="667"/>
      <c r="B14" s="150"/>
      <c r="C14" s="157" t="s">
        <v>561</v>
      </c>
      <c r="D14" s="210">
        <v>120</v>
      </c>
      <c r="E14" s="660">
        <f>SUM(E10:E13)</f>
        <v>0</v>
      </c>
      <c r="F14" s="80"/>
      <c r="G14" s="1339"/>
    </row>
    <row r="15" spans="1:7" ht="22.5" customHeight="1">
      <c r="A15" s="666" t="s">
        <v>1181</v>
      </c>
      <c r="B15" s="99" t="s">
        <v>2275</v>
      </c>
      <c r="C15" s="80"/>
      <c r="D15" s="81"/>
      <c r="E15" s="80"/>
      <c r="F15" s="80"/>
      <c r="G15" s="1339"/>
    </row>
    <row r="16" spans="1:7" ht="15">
      <c r="A16" s="667"/>
      <c r="B16" s="80" t="s">
        <v>751</v>
      </c>
      <c r="C16" s="403"/>
      <c r="D16" s="81"/>
      <c r="E16" s="388"/>
      <c r="F16" s="80"/>
      <c r="G16" s="1339"/>
    </row>
    <row r="17" spans="1:7" ht="15">
      <c r="A17" s="667"/>
      <c r="B17" s="1398" t="s">
        <v>840</v>
      </c>
      <c r="C17" s="1398"/>
      <c r="D17" s="81"/>
      <c r="E17" s="404">
        <f>'Sch4-2'!E67</f>
        <v>0</v>
      </c>
      <c r="F17" s="80"/>
      <c r="G17" s="1339"/>
    </row>
    <row r="18" spans="1:7" ht="15">
      <c r="A18" s="667"/>
      <c r="B18" s="1398"/>
      <c r="C18" s="1398"/>
      <c r="D18" s="81"/>
      <c r="E18" s="388"/>
      <c r="F18" s="80"/>
      <c r="G18" s="1339"/>
    </row>
    <row r="19" spans="1:7" ht="15">
      <c r="A19" s="667"/>
      <c r="B19" s="78" t="s">
        <v>612</v>
      </c>
      <c r="C19" s="403"/>
      <c r="D19" s="81"/>
      <c r="E19" s="388"/>
      <c r="F19" s="80"/>
      <c r="G19" s="1339"/>
    </row>
    <row r="20" spans="1:7" ht="15">
      <c r="A20" s="667"/>
      <c r="B20" s="77"/>
      <c r="C20" s="93" t="s">
        <v>60</v>
      </c>
      <c r="D20" s="210">
        <v>121</v>
      </c>
      <c r="E20" s="660">
        <f>SUM(E16:E19)</f>
        <v>0</v>
      </c>
      <c r="F20" s="80"/>
      <c r="G20" s="1339"/>
    </row>
    <row r="21" spans="1:7" ht="22.5" customHeight="1">
      <c r="A21" s="666" t="s">
        <v>1182</v>
      </c>
      <c r="B21" s="99" t="s">
        <v>1825</v>
      </c>
      <c r="C21" s="80"/>
      <c r="D21" s="81"/>
      <c r="E21" s="80"/>
      <c r="F21" s="80"/>
      <c r="G21" s="1339"/>
    </row>
    <row r="22" spans="1:7" ht="15">
      <c r="A22" s="667"/>
      <c r="B22" s="1398" t="s">
        <v>840</v>
      </c>
      <c r="C22" s="1398"/>
      <c r="D22" s="81"/>
      <c r="E22" s="404">
        <f>'Sch4-2'!E76</f>
        <v>0</v>
      </c>
      <c r="F22" s="80"/>
      <c r="G22" s="1339"/>
    </row>
    <row r="23" spans="1:7" ht="15">
      <c r="A23" s="667"/>
      <c r="B23" s="1398"/>
      <c r="C23" s="1398"/>
      <c r="D23" s="81"/>
      <c r="E23" s="388"/>
      <c r="F23" s="80"/>
      <c r="G23" s="1339"/>
    </row>
    <row r="24" spans="1:7" ht="15">
      <c r="A24" s="667"/>
      <c r="B24" s="150"/>
      <c r="C24" s="93" t="s">
        <v>61</v>
      </c>
      <c r="D24" s="210">
        <v>122</v>
      </c>
      <c r="E24" s="660">
        <f>SUM(E22:E23)</f>
        <v>0</v>
      </c>
      <c r="F24" s="80"/>
      <c r="G24" s="1339"/>
    </row>
    <row r="25" spans="1:7" ht="21.75" customHeight="1">
      <c r="A25" s="666" t="s">
        <v>1316</v>
      </c>
      <c r="B25" s="99" t="s">
        <v>579</v>
      </c>
      <c r="C25" s="80"/>
      <c r="D25" s="81"/>
      <c r="E25" s="80"/>
      <c r="F25" s="80"/>
      <c r="G25" s="1339"/>
    </row>
    <row r="26" spans="1:7" ht="15">
      <c r="A26" s="667"/>
      <c r="B26" s="77" t="s">
        <v>1055</v>
      </c>
      <c r="C26" s="405" t="s">
        <v>840</v>
      </c>
      <c r="D26" s="81"/>
      <c r="E26" s="388">
        <f>'Sch4-2'!E78+'Sch4-2'!E79</f>
        <v>0</v>
      </c>
      <c r="F26" s="80"/>
      <c r="G26" s="1339"/>
    </row>
    <row r="27" spans="1:7" ht="15">
      <c r="A27" s="667"/>
      <c r="B27" s="78" t="s">
        <v>1056</v>
      </c>
      <c r="C27" s="400" t="s">
        <v>840</v>
      </c>
      <c r="D27" s="81"/>
      <c r="E27" s="388">
        <f>'Sch4-2'!E80+'Sch4-2'!E81</f>
        <v>0</v>
      </c>
      <c r="F27" s="80"/>
      <c r="G27" s="1339"/>
    </row>
    <row r="28" spans="1:7" ht="15">
      <c r="A28" s="667"/>
      <c r="B28" s="78"/>
      <c r="C28" s="93" t="s">
        <v>62</v>
      </c>
      <c r="D28" s="210">
        <v>221</v>
      </c>
      <c r="E28" s="660">
        <f>SUM(E26:E27)</f>
        <v>0</v>
      </c>
      <c r="F28" s="80"/>
      <c r="G28" s="1339"/>
    </row>
    <row r="29" spans="1:7" ht="15">
      <c r="A29" s="667"/>
      <c r="B29" s="80"/>
      <c r="C29" s="80"/>
      <c r="D29" s="80"/>
      <c r="E29" s="80"/>
      <c r="F29" s="80"/>
      <c r="G29" s="1339"/>
    </row>
    <row r="30" spans="1:7" ht="15">
      <c r="A30" s="667"/>
      <c r="B30" s="80" t="s">
        <v>2267</v>
      </c>
      <c r="C30" s="81"/>
      <c r="D30" s="81"/>
      <c r="E30" s="81"/>
      <c r="F30" s="80" t="s">
        <v>1283</v>
      </c>
      <c r="G30" s="1339"/>
    </row>
    <row r="31" spans="1:7" ht="15">
      <c r="A31" s="667"/>
      <c r="B31" s="80"/>
      <c r="C31" s="80"/>
      <c r="D31" s="80"/>
      <c r="E31" s="80" t="s">
        <v>1379</v>
      </c>
      <c r="F31" s="80"/>
      <c r="G31" s="1339"/>
    </row>
  </sheetData>
  <sheetProtection password="EC35" sheet="1" objects="1" scenarios="1"/>
  <mergeCells count="9">
    <mergeCell ref="G1:G31"/>
    <mergeCell ref="B22:C22"/>
    <mergeCell ref="B23:C23"/>
    <mergeCell ref="B12:C12"/>
    <mergeCell ref="B13:C13"/>
    <mergeCell ref="B17:C17"/>
    <mergeCell ref="B18:C18"/>
    <mergeCell ref="B8:C8"/>
    <mergeCell ref="B9:C9"/>
  </mergeCells>
  <hyperlinks>
    <hyperlink ref="G1:G31" location="'GO TO'!B13"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codeName="Sheet141" transitionEvaluation="1">
    <pageSetUpPr fitToPage="1"/>
  </sheetPr>
  <dimension ref="A1:G84"/>
  <sheetViews>
    <sheetView showGridLines="0" zoomScale="75" zoomScaleNormal="75" workbookViewId="0" topLeftCell="A1">
      <selection activeCell="B2" sqref="B2"/>
    </sheetView>
  </sheetViews>
  <sheetFormatPr defaultColWidth="9.77734375" defaultRowHeight="15"/>
  <cols>
    <col min="1" max="1" width="6.10546875" style="619" customWidth="1"/>
    <col min="2" max="2" width="23.3359375" style="619" customWidth="1"/>
    <col min="3" max="3" width="57.88671875" style="619" customWidth="1"/>
    <col min="4" max="4" width="5.21484375" style="619" customWidth="1"/>
    <col min="5" max="5" width="12.77734375" style="619" customWidth="1"/>
    <col min="6" max="6" width="3.4453125" style="619" customWidth="1"/>
    <col min="7" max="16384" width="9.77734375" style="619" customWidth="1"/>
  </cols>
  <sheetData>
    <row r="1" spans="1:7" ht="20.25">
      <c r="A1" s="76" t="str">
        <f>"T1-"&amp;yeartext</f>
        <v>T1-2006</v>
      </c>
      <c r="B1" s="89"/>
      <c r="C1" s="224" t="s">
        <v>66</v>
      </c>
      <c r="D1" s="89"/>
      <c r="E1" s="208"/>
      <c r="F1" s="80"/>
      <c r="G1" s="1339" t="s">
        <v>1793</v>
      </c>
    </row>
    <row r="2" spans="1:7" ht="15">
      <c r="A2" s="618"/>
      <c r="B2" s="80"/>
      <c r="C2" s="80"/>
      <c r="D2" s="80"/>
      <c r="E2" s="80"/>
      <c r="F2" s="80"/>
      <c r="G2" s="1339"/>
    </row>
    <row r="3" spans="1:7" ht="15">
      <c r="A3" s="80" t="s">
        <v>611</v>
      </c>
      <c r="B3" s="80"/>
      <c r="C3" s="80"/>
      <c r="D3" s="80"/>
      <c r="E3" s="80"/>
      <c r="F3" s="80"/>
      <c r="G3" s="1339"/>
    </row>
    <row r="4" spans="1:7" ht="15">
      <c r="A4" s="80" t="s">
        <v>381</v>
      </c>
      <c r="B4" s="80"/>
      <c r="C4" s="80"/>
      <c r="D4" s="80"/>
      <c r="E4" s="80"/>
      <c r="F4" s="80"/>
      <c r="G4" s="1339"/>
    </row>
    <row r="5" spans="1:7" ht="15">
      <c r="A5" s="618"/>
      <c r="B5" s="80"/>
      <c r="C5" s="80"/>
      <c r="D5" s="80"/>
      <c r="E5" s="80"/>
      <c r="F5" s="80"/>
      <c r="G5" s="1339"/>
    </row>
    <row r="6" spans="1:7" ht="15.75">
      <c r="A6" s="666" t="s">
        <v>1180</v>
      </c>
      <c r="B6" s="99" t="s">
        <v>1145</v>
      </c>
      <c r="C6" s="80"/>
      <c r="D6" s="80"/>
      <c r="E6" s="81"/>
      <c r="F6" s="80"/>
      <c r="G6" s="1339"/>
    </row>
    <row r="7" spans="1:7" ht="15.75">
      <c r="A7" s="666"/>
      <c r="B7" s="80" t="s">
        <v>1146</v>
      </c>
      <c r="C7" s="80"/>
      <c r="D7" s="80"/>
      <c r="E7" s="81" t="s">
        <v>1347</v>
      </c>
      <c r="F7" s="80"/>
      <c r="G7" s="1339"/>
    </row>
    <row r="8" spans="1:7" ht="15">
      <c r="A8" s="668">
        <v>1</v>
      </c>
      <c r="B8" s="1403">
        <f>IF(('T4PS'!E23)&gt;0,'T4PS'!E17,"")</f>
      </c>
      <c r="C8" s="1403"/>
      <c r="D8" s="81"/>
      <c r="E8" s="401">
        <f>IF('T4PS'!E23&gt;0,'T4PS'!E23,"")</f>
      </c>
      <c r="F8" s="80"/>
      <c r="G8" s="1339"/>
    </row>
    <row r="9" spans="1:7" ht="15">
      <c r="A9" s="668">
        <f>A8+1</f>
        <v>2</v>
      </c>
      <c r="B9" s="1401">
        <f>IF('T4PS'!F23&gt;0,'T4PS'!F17,"")</f>
      </c>
      <c r="C9" s="1401"/>
      <c r="D9" s="81"/>
      <c r="E9" s="402">
        <f>IF('T4PS'!F23&gt;0,'T4PS'!F23,"")</f>
      </c>
      <c r="F9" s="80"/>
      <c r="G9" s="1339"/>
    </row>
    <row r="10" spans="1:7" ht="15">
      <c r="A10" s="668">
        <f aca="true" t="shared" si="0" ref="A10:A27">A9+1</f>
        <v>3</v>
      </c>
      <c r="B10" s="1401">
        <f>IF('T4PS'!G23&gt;0,'T4PS'!G17,"")</f>
      </c>
      <c r="C10" s="1401"/>
      <c r="D10" s="81"/>
      <c r="E10" s="402">
        <f>IF('T4PS'!G23&gt;0,'T4PS'!G23,"")</f>
      </c>
      <c r="F10" s="80"/>
      <c r="G10" s="1339"/>
    </row>
    <row r="11" spans="1:7" ht="15">
      <c r="A11" s="668">
        <f t="shared" si="0"/>
        <v>4</v>
      </c>
      <c r="B11" s="1401">
        <f>IF('T4PS'!H23&gt;0,'T4PS'!H17,"")</f>
      </c>
      <c r="C11" s="1401"/>
      <c r="D11" s="81"/>
      <c r="E11" s="402">
        <f>IF('T4PS'!H23&gt;0,'T4PS'!H23,"")</f>
      </c>
      <c r="F11" s="80"/>
      <c r="G11" s="1339"/>
    </row>
    <row r="12" spans="1:7" ht="15">
      <c r="A12" s="668">
        <f t="shared" si="0"/>
        <v>5</v>
      </c>
      <c r="B12" s="1401">
        <f>IF('T4PS'!I23&gt;0,'T4PS'!I17,"")</f>
      </c>
      <c r="C12" s="1401"/>
      <c r="D12" s="81"/>
      <c r="E12" s="402">
        <f>IF('T4PS'!I23&gt;0,'T4PS'!I23,"")</f>
      </c>
      <c r="F12" s="80"/>
      <c r="G12" s="1339"/>
    </row>
    <row r="13" spans="1:7" ht="15">
      <c r="A13" s="668">
        <f t="shared" si="0"/>
        <v>6</v>
      </c>
      <c r="B13" s="1399"/>
      <c r="C13" s="1399"/>
      <c r="D13" s="81"/>
      <c r="E13" s="97"/>
      <c r="F13" s="80"/>
      <c r="G13" s="1339"/>
    </row>
    <row r="14" spans="1:7" ht="15">
      <c r="A14" s="668">
        <f t="shared" si="0"/>
        <v>7</v>
      </c>
      <c r="B14" s="1399"/>
      <c r="C14" s="1399"/>
      <c r="D14" s="81"/>
      <c r="E14" s="97"/>
      <c r="F14" s="80"/>
      <c r="G14" s="1339"/>
    </row>
    <row r="15" spans="1:7" ht="15">
      <c r="A15" s="668">
        <f t="shared" si="0"/>
        <v>8</v>
      </c>
      <c r="B15" s="1399"/>
      <c r="C15" s="1399"/>
      <c r="D15" s="81"/>
      <c r="E15" s="97"/>
      <c r="F15" s="80"/>
      <c r="G15" s="1339"/>
    </row>
    <row r="16" spans="1:7" ht="15">
      <c r="A16" s="668">
        <f t="shared" si="0"/>
        <v>9</v>
      </c>
      <c r="B16" s="1399"/>
      <c r="C16" s="1399"/>
      <c r="D16" s="81"/>
      <c r="E16" s="97"/>
      <c r="F16" s="80"/>
      <c r="G16" s="1339"/>
    </row>
    <row r="17" spans="1:7" ht="15">
      <c r="A17" s="668">
        <f t="shared" si="0"/>
        <v>10</v>
      </c>
      <c r="B17" s="1399"/>
      <c r="C17" s="1399"/>
      <c r="D17" s="81"/>
      <c r="E17" s="97"/>
      <c r="F17" s="80"/>
      <c r="G17" s="1339"/>
    </row>
    <row r="18" spans="1:7" ht="15">
      <c r="A18" s="668">
        <f t="shared" si="0"/>
        <v>11</v>
      </c>
      <c r="B18" s="1399"/>
      <c r="C18" s="1399"/>
      <c r="D18" s="81"/>
      <c r="E18" s="97"/>
      <c r="F18" s="80"/>
      <c r="G18" s="1339"/>
    </row>
    <row r="19" spans="1:7" ht="15">
      <c r="A19" s="668">
        <f t="shared" si="0"/>
        <v>12</v>
      </c>
      <c r="B19" s="1399"/>
      <c r="C19" s="1399"/>
      <c r="D19" s="81"/>
      <c r="E19" s="97"/>
      <c r="F19" s="80"/>
      <c r="G19" s="1339"/>
    </row>
    <row r="20" spans="1:7" ht="15">
      <c r="A20" s="668">
        <f t="shared" si="0"/>
        <v>13</v>
      </c>
      <c r="B20" s="1399"/>
      <c r="C20" s="1399"/>
      <c r="D20" s="81"/>
      <c r="E20" s="97"/>
      <c r="F20" s="80"/>
      <c r="G20" s="1339"/>
    </row>
    <row r="21" spans="1:7" ht="15">
      <c r="A21" s="668">
        <f t="shared" si="0"/>
        <v>14</v>
      </c>
      <c r="B21" s="1399"/>
      <c r="C21" s="1399"/>
      <c r="D21" s="81"/>
      <c r="E21" s="97"/>
      <c r="F21" s="80"/>
      <c r="G21" s="1339"/>
    </row>
    <row r="22" spans="1:7" ht="15">
      <c r="A22" s="668">
        <f t="shared" si="0"/>
        <v>15</v>
      </c>
      <c r="B22" s="1399"/>
      <c r="C22" s="1399"/>
      <c r="D22" s="81"/>
      <c r="E22" s="97"/>
      <c r="F22" s="80"/>
      <c r="G22" s="1339"/>
    </row>
    <row r="23" spans="1:7" ht="15">
      <c r="A23" s="668">
        <f t="shared" si="0"/>
        <v>16</v>
      </c>
      <c r="B23" s="1399"/>
      <c r="C23" s="1399"/>
      <c r="D23" s="81"/>
      <c r="E23" s="97"/>
      <c r="F23" s="80"/>
      <c r="G23" s="1339"/>
    </row>
    <row r="24" spans="1:7" ht="15">
      <c r="A24" s="668">
        <f t="shared" si="0"/>
        <v>17</v>
      </c>
      <c r="B24" s="1399"/>
      <c r="C24" s="1399"/>
      <c r="D24" s="81"/>
      <c r="E24" s="97"/>
      <c r="F24" s="80"/>
      <c r="G24" s="1339"/>
    </row>
    <row r="25" spans="1:7" ht="15">
      <c r="A25" s="668">
        <f t="shared" si="0"/>
        <v>18</v>
      </c>
      <c r="B25" s="1399"/>
      <c r="C25" s="1399"/>
      <c r="D25" s="81"/>
      <c r="E25" s="97"/>
      <c r="F25" s="80"/>
      <c r="G25" s="1339"/>
    </row>
    <row r="26" spans="1:7" ht="15">
      <c r="A26" s="668">
        <f t="shared" si="0"/>
        <v>19</v>
      </c>
      <c r="B26" s="1399"/>
      <c r="C26" s="1399"/>
      <c r="D26" s="81"/>
      <c r="E26" s="97"/>
      <c r="F26" s="80"/>
      <c r="G26" s="1339"/>
    </row>
    <row r="27" spans="1:7" ht="15">
      <c r="A27" s="668">
        <f t="shared" si="0"/>
        <v>20</v>
      </c>
      <c r="B27" s="1399"/>
      <c r="C27" s="1399"/>
      <c r="D27" s="81"/>
      <c r="E27" s="97"/>
      <c r="F27" s="80"/>
      <c r="G27" s="1339"/>
    </row>
    <row r="28" spans="1:7" ht="15">
      <c r="A28" s="668"/>
      <c r="B28" s="500"/>
      <c r="C28" s="1183" t="s">
        <v>562</v>
      </c>
      <c r="D28" s="210">
        <v>180</v>
      </c>
      <c r="E28" s="404">
        <f>SUM(E8:E27)</f>
        <v>0</v>
      </c>
      <c r="F28" s="80"/>
      <c r="G28" s="1339"/>
    </row>
    <row r="29" spans="1:7" ht="15.75">
      <c r="A29" s="666"/>
      <c r="B29" s="80" t="s">
        <v>1147</v>
      </c>
      <c r="C29" s="80"/>
      <c r="D29" s="80"/>
      <c r="E29" s="81"/>
      <c r="F29" s="80"/>
      <c r="G29" s="1339"/>
    </row>
    <row r="30" spans="1:7" ht="15">
      <c r="A30" s="668">
        <v>21</v>
      </c>
      <c r="B30" s="1403">
        <f>IF(('T4PS'!E30)&gt;0,'T4PS'!E17,"")</f>
      </c>
      <c r="C30" s="1403"/>
      <c r="D30" s="81"/>
      <c r="E30" s="401">
        <f>IF('T4PS'!E30&gt;0,'T4PS'!E30,"")</f>
      </c>
      <c r="F30" s="80"/>
      <c r="G30" s="1339"/>
    </row>
    <row r="31" spans="1:7" ht="15">
      <c r="A31" s="668">
        <f>A30+1</f>
        <v>22</v>
      </c>
      <c r="B31" s="1401">
        <f>IF('T4PS'!F30&gt;0,'T4PS'!F17,"")</f>
      </c>
      <c r="C31" s="1401"/>
      <c r="D31" s="81"/>
      <c r="E31" s="402">
        <f>IF('T4PS'!F30&gt;0,'T4PS'!F30,"")</f>
      </c>
      <c r="F31" s="80"/>
      <c r="G31" s="1339"/>
    </row>
    <row r="32" spans="1:7" ht="15">
      <c r="A32" s="668">
        <f aca="true" t="shared" si="1" ref="A32:A49">A31+1</f>
        <v>23</v>
      </c>
      <c r="B32" s="1401">
        <f>IF('T4PS'!G30&gt;0,'T4PS'!G17,"")</f>
      </c>
      <c r="C32" s="1401"/>
      <c r="D32" s="81"/>
      <c r="E32" s="402">
        <f>IF('T4PS'!G30&gt;0,'T4PS'!G30,"")</f>
      </c>
      <c r="F32" s="80"/>
      <c r="G32" s="1339"/>
    </row>
    <row r="33" spans="1:7" ht="15">
      <c r="A33" s="668">
        <f t="shared" si="1"/>
        <v>24</v>
      </c>
      <c r="B33" s="1401">
        <f>IF('T4PS'!H30&gt;0,'T4PS'!H17,"")</f>
      </c>
      <c r="C33" s="1401"/>
      <c r="D33" s="81"/>
      <c r="E33" s="402">
        <f>IF('T4PS'!H30&gt;0,'T4PS'!H30,"")</f>
      </c>
      <c r="F33" s="80"/>
      <c r="G33" s="1339"/>
    </row>
    <row r="34" spans="1:7" ht="15">
      <c r="A34" s="668">
        <f t="shared" si="1"/>
        <v>25</v>
      </c>
      <c r="B34" s="1401">
        <f>IF('T4PS'!I30&gt;0,'T4PS'!I17,"")</f>
      </c>
      <c r="C34" s="1401"/>
      <c r="D34" s="81"/>
      <c r="E34" s="402">
        <f>IF('T4PS'!I30&gt;0,'T4PS'!I30,"")</f>
      </c>
      <c r="F34" s="80"/>
      <c r="G34" s="1339"/>
    </row>
    <row r="35" spans="1:7" ht="15">
      <c r="A35" s="668">
        <f t="shared" si="1"/>
        <v>26</v>
      </c>
      <c r="B35" s="1399"/>
      <c r="C35" s="1399"/>
      <c r="D35" s="81"/>
      <c r="E35" s="97"/>
      <c r="F35" s="80"/>
      <c r="G35" s="1339"/>
    </row>
    <row r="36" spans="1:7" ht="15">
      <c r="A36" s="668">
        <f t="shared" si="1"/>
        <v>27</v>
      </c>
      <c r="B36" s="1399"/>
      <c r="C36" s="1399"/>
      <c r="D36" s="81"/>
      <c r="E36" s="97"/>
      <c r="F36" s="80"/>
      <c r="G36" s="1339"/>
    </row>
    <row r="37" spans="1:7" ht="15">
      <c r="A37" s="668">
        <f t="shared" si="1"/>
        <v>28</v>
      </c>
      <c r="B37" s="1399"/>
      <c r="C37" s="1399"/>
      <c r="D37" s="81"/>
      <c r="E37" s="97"/>
      <c r="F37" s="80"/>
      <c r="G37" s="1339"/>
    </row>
    <row r="38" spans="1:7" ht="15">
      <c r="A38" s="668">
        <f t="shared" si="1"/>
        <v>29</v>
      </c>
      <c r="B38" s="1399"/>
      <c r="C38" s="1399"/>
      <c r="D38" s="81"/>
      <c r="E38" s="97"/>
      <c r="F38" s="80"/>
      <c r="G38" s="1339"/>
    </row>
    <row r="39" spans="1:7" ht="15">
      <c r="A39" s="668">
        <f t="shared" si="1"/>
        <v>30</v>
      </c>
      <c r="B39" s="1399"/>
      <c r="C39" s="1399"/>
      <c r="D39" s="81"/>
      <c r="E39" s="97"/>
      <c r="F39" s="80"/>
      <c r="G39" s="1339"/>
    </row>
    <row r="40" spans="1:7" ht="15">
      <c r="A40" s="668">
        <f t="shared" si="1"/>
        <v>31</v>
      </c>
      <c r="B40" s="1399"/>
      <c r="C40" s="1399"/>
      <c r="D40" s="81"/>
      <c r="E40" s="97"/>
      <c r="F40" s="80"/>
      <c r="G40" s="1339"/>
    </row>
    <row r="41" spans="1:7" ht="15">
      <c r="A41" s="668">
        <f t="shared" si="1"/>
        <v>32</v>
      </c>
      <c r="B41" s="1399"/>
      <c r="C41" s="1399"/>
      <c r="D41" s="81"/>
      <c r="E41" s="97"/>
      <c r="F41" s="80"/>
      <c r="G41" s="1339"/>
    </row>
    <row r="42" spans="1:7" ht="15">
      <c r="A42" s="668">
        <f t="shared" si="1"/>
        <v>33</v>
      </c>
      <c r="B42" s="1399"/>
      <c r="C42" s="1399"/>
      <c r="D42" s="81"/>
      <c r="E42" s="97"/>
      <c r="F42" s="80"/>
      <c r="G42" s="1339"/>
    </row>
    <row r="43" spans="1:7" ht="15">
      <c r="A43" s="668">
        <f t="shared" si="1"/>
        <v>34</v>
      </c>
      <c r="B43" s="1399"/>
      <c r="C43" s="1399"/>
      <c r="D43" s="81"/>
      <c r="E43" s="97"/>
      <c r="F43" s="80"/>
      <c r="G43" s="1339"/>
    </row>
    <row r="44" spans="1:7" ht="15">
      <c r="A44" s="668">
        <f t="shared" si="1"/>
        <v>35</v>
      </c>
      <c r="B44" s="1399"/>
      <c r="C44" s="1399"/>
      <c r="D44" s="81"/>
      <c r="E44" s="97"/>
      <c r="F44" s="80"/>
      <c r="G44" s="1339"/>
    </row>
    <row r="45" spans="1:7" ht="15">
      <c r="A45" s="668">
        <f t="shared" si="1"/>
        <v>36</v>
      </c>
      <c r="B45" s="1399"/>
      <c r="C45" s="1399"/>
      <c r="D45" s="81"/>
      <c r="E45" s="97"/>
      <c r="F45" s="80"/>
      <c r="G45" s="1339"/>
    </row>
    <row r="46" spans="1:7" ht="15">
      <c r="A46" s="668">
        <f t="shared" si="1"/>
        <v>37</v>
      </c>
      <c r="B46" s="1399"/>
      <c r="C46" s="1399"/>
      <c r="D46" s="81"/>
      <c r="E46" s="97"/>
      <c r="F46" s="80"/>
      <c r="G46" s="1339"/>
    </row>
    <row r="47" spans="1:7" ht="15">
      <c r="A47" s="668">
        <f t="shared" si="1"/>
        <v>38</v>
      </c>
      <c r="B47" s="1399"/>
      <c r="C47" s="1399"/>
      <c r="D47" s="81"/>
      <c r="E47" s="97"/>
      <c r="F47" s="80"/>
      <c r="G47" s="1339"/>
    </row>
    <row r="48" spans="1:7" ht="15">
      <c r="A48" s="668">
        <f t="shared" si="1"/>
        <v>39</v>
      </c>
      <c r="B48" s="1399"/>
      <c r="C48" s="1399"/>
      <c r="D48" s="81"/>
      <c r="E48" s="97"/>
      <c r="F48" s="80"/>
      <c r="G48" s="1339"/>
    </row>
    <row r="49" spans="1:7" ht="15">
      <c r="A49" s="668">
        <f t="shared" si="1"/>
        <v>40</v>
      </c>
      <c r="B49" s="1399"/>
      <c r="C49" s="1399"/>
      <c r="D49" s="81"/>
      <c r="E49" s="97"/>
      <c r="F49" s="80"/>
      <c r="G49" s="1339"/>
    </row>
    <row r="50" spans="1:7" ht="15">
      <c r="A50" s="668"/>
      <c r="B50" s="500"/>
      <c r="C50" s="1183" t="s">
        <v>559</v>
      </c>
      <c r="D50" s="81"/>
      <c r="E50" s="404">
        <f>SUM(E30:E49)</f>
        <v>0</v>
      </c>
      <c r="F50" s="80"/>
      <c r="G50" s="1339"/>
    </row>
    <row r="51" spans="1:7" ht="15">
      <c r="A51" s="668"/>
      <c r="B51" s="500"/>
      <c r="C51" s="1183" t="s">
        <v>59</v>
      </c>
      <c r="D51" s="210">
        <v>120</v>
      </c>
      <c r="E51" s="404">
        <f>E28+E50</f>
        <v>0</v>
      </c>
      <c r="F51" s="80"/>
      <c r="G51" s="1339"/>
    </row>
    <row r="52" spans="1:7" ht="15">
      <c r="A52" s="668"/>
      <c r="B52" s="80" t="s">
        <v>826</v>
      </c>
      <c r="C52" s="500"/>
      <c r="D52" s="210"/>
      <c r="E52" s="80"/>
      <c r="F52" s="80"/>
      <c r="G52" s="1339"/>
    </row>
    <row r="53" spans="1:7" ht="15">
      <c r="A53" s="668"/>
      <c r="B53" s="500"/>
      <c r="C53" s="500"/>
      <c r="D53" s="210"/>
      <c r="E53" s="80"/>
      <c r="F53" s="80"/>
      <c r="G53" s="1339"/>
    </row>
    <row r="54" spans="1:7" ht="20.25">
      <c r="A54" s="668"/>
      <c r="B54" s="500"/>
      <c r="C54" s="224" t="s">
        <v>67</v>
      </c>
      <c r="D54" s="89"/>
      <c r="E54" s="224"/>
      <c r="F54" s="80"/>
      <c r="G54" s="1339"/>
    </row>
    <row r="55" spans="1:7" ht="15">
      <c r="A55" s="668"/>
      <c r="B55" s="500"/>
      <c r="C55" s="500"/>
      <c r="D55" s="210"/>
      <c r="E55" s="80"/>
      <c r="F55" s="80"/>
      <c r="G55" s="1339"/>
    </row>
    <row r="56" spans="1:7" ht="22.5" customHeight="1">
      <c r="A56" s="666" t="s">
        <v>1181</v>
      </c>
      <c r="B56" s="99" t="s">
        <v>2275</v>
      </c>
      <c r="C56" s="80"/>
      <c r="D56" s="81"/>
      <c r="E56" s="80"/>
      <c r="F56" s="80"/>
      <c r="G56" s="1339"/>
    </row>
    <row r="57" spans="1:7" ht="15">
      <c r="A57" s="667"/>
      <c r="B57" s="80" t="s">
        <v>751</v>
      </c>
      <c r="C57" s="499"/>
      <c r="D57" s="81"/>
      <c r="E57" s="108"/>
      <c r="F57" s="80"/>
      <c r="G57" s="1339"/>
    </row>
    <row r="58" spans="1:7" ht="15">
      <c r="A58" s="667"/>
      <c r="B58" s="1402"/>
      <c r="C58" s="1402"/>
      <c r="D58" s="81"/>
      <c r="E58" s="97"/>
      <c r="F58" s="80"/>
      <c r="G58" s="1339"/>
    </row>
    <row r="59" spans="1:7" ht="15">
      <c r="A59" s="667"/>
      <c r="B59" s="1402"/>
      <c r="C59" s="1402"/>
      <c r="D59" s="81"/>
      <c r="E59" s="97"/>
      <c r="F59" s="80"/>
      <c r="G59" s="1339"/>
    </row>
    <row r="60" spans="1:7" ht="15">
      <c r="A60" s="667"/>
      <c r="B60" s="1402"/>
      <c r="C60" s="1402"/>
      <c r="D60" s="81"/>
      <c r="E60" s="97"/>
      <c r="F60" s="80"/>
      <c r="G60" s="1339"/>
    </row>
    <row r="61" spans="1:7" ht="15">
      <c r="A61" s="667"/>
      <c r="B61" s="1402"/>
      <c r="C61" s="1402"/>
      <c r="D61" s="81"/>
      <c r="E61" s="97"/>
      <c r="F61" s="80"/>
      <c r="G61" s="1339"/>
    </row>
    <row r="62" spans="1:7" ht="15">
      <c r="A62" s="667"/>
      <c r="B62" s="1402"/>
      <c r="C62" s="1402"/>
      <c r="D62" s="81"/>
      <c r="E62" s="97"/>
      <c r="F62" s="80"/>
      <c r="G62" s="1339"/>
    </row>
    <row r="63" spans="1:7" ht="15">
      <c r="A63" s="667"/>
      <c r="B63" s="78" t="s">
        <v>612</v>
      </c>
      <c r="C63" s="499"/>
      <c r="D63" s="81"/>
      <c r="E63" s="97"/>
      <c r="F63" s="80"/>
      <c r="G63" s="1339"/>
    </row>
    <row r="64" spans="1:7" ht="15">
      <c r="A64" s="667"/>
      <c r="B64" s="1400"/>
      <c r="C64" s="1400"/>
      <c r="D64" s="81"/>
      <c r="E64" s="97"/>
      <c r="F64" s="80"/>
      <c r="G64" s="1339"/>
    </row>
    <row r="65" spans="1:7" ht="15">
      <c r="A65" s="667"/>
      <c r="B65" s="1400"/>
      <c r="C65" s="1400"/>
      <c r="D65" s="81"/>
      <c r="E65" s="97"/>
      <c r="F65" s="80"/>
      <c r="G65" s="1339"/>
    </row>
    <row r="66" spans="1:7" ht="15">
      <c r="A66" s="667"/>
      <c r="B66" s="1400"/>
      <c r="C66" s="1400"/>
      <c r="D66" s="81"/>
      <c r="E66" s="97"/>
      <c r="F66" s="80"/>
      <c r="G66" s="1339"/>
    </row>
    <row r="67" spans="1:7" ht="15">
      <c r="A67" s="667"/>
      <c r="B67" s="77"/>
      <c r="C67" s="93" t="s">
        <v>63</v>
      </c>
      <c r="D67" s="210">
        <v>121</v>
      </c>
      <c r="E67" s="404">
        <f>SUM(E57:E66)</f>
        <v>0</v>
      </c>
      <c r="F67" s="80"/>
      <c r="G67" s="1339"/>
    </row>
    <row r="68" spans="1:7" ht="22.5" customHeight="1">
      <c r="A68" s="666" t="s">
        <v>1182</v>
      </c>
      <c r="B68" s="99" t="s">
        <v>1825</v>
      </c>
      <c r="C68" s="80"/>
      <c r="D68" s="81"/>
      <c r="E68" s="80"/>
      <c r="F68" s="80"/>
      <c r="G68" s="1339"/>
    </row>
    <row r="69" spans="1:7" ht="15">
      <c r="A69" s="667"/>
      <c r="B69" s="1402"/>
      <c r="C69" s="1402"/>
      <c r="D69" s="81"/>
      <c r="E69" s="108"/>
      <c r="F69" s="80"/>
      <c r="G69" s="1339"/>
    </row>
    <row r="70" spans="1:7" ht="15">
      <c r="A70" s="667"/>
      <c r="B70" s="1402"/>
      <c r="C70" s="1402"/>
      <c r="D70" s="81"/>
      <c r="E70" s="108"/>
      <c r="F70" s="80"/>
      <c r="G70" s="1339"/>
    </row>
    <row r="71" spans="1:7" ht="15">
      <c r="A71" s="667"/>
      <c r="B71" s="1402"/>
      <c r="C71" s="1402"/>
      <c r="D71" s="81"/>
      <c r="E71" s="108"/>
      <c r="F71" s="80"/>
      <c r="G71" s="1339"/>
    </row>
    <row r="72" spans="1:7" ht="15">
      <c r="A72" s="667"/>
      <c r="B72" s="1402"/>
      <c r="C72" s="1402"/>
      <c r="D72" s="81"/>
      <c r="E72" s="108"/>
      <c r="F72" s="80"/>
      <c r="G72" s="1339"/>
    </row>
    <row r="73" spans="1:7" ht="15">
      <c r="A73" s="667"/>
      <c r="B73" s="1402"/>
      <c r="C73" s="1402"/>
      <c r="D73" s="81"/>
      <c r="E73" s="108"/>
      <c r="F73" s="80"/>
      <c r="G73" s="1339"/>
    </row>
    <row r="74" spans="1:7" ht="15">
      <c r="A74" s="667"/>
      <c r="B74" s="1402"/>
      <c r="C74" s="1402"/>
      <c r="D74" s="81"/>
      <c r="E74" s="108"/>
      <c r="F74" s="80"/>
      <c r="G74" s="1339"/>
    </row>
    <row r="75" spans="1:7" ht="15">
      <c r="A75" s="667"/>
      <c r="B75" s="1402"/>
      <c r="C75" s="1402"/>
      <c r="D75" s="81"/>
      <c r="E75" s="97"/>
      <c r="F75" s="80"/>
      <c r="G75" s="1339"/>
    </row>
    <row r="76" spans="1:7" ht="15">
      <c r="A76" s="667"/>
      <c r="B76" s="150"/>
      <c r="C76" s="157" t="s">
        <v>64</v>
      </c>
      <c r="D76" s="210">
        <v>122</v>
      </c>
      <c r="E76" s="404">
        <f>SUM(E69:E75)</f>
        <v>0</v>
      </c>
      <c r="F76" s="80"/>
      <c r="G76" s="1339"/>
    </row>
    <row r="77" spans="1:7" ht="21.75" customHeight="1">
      <c r="A77" s="666" t="s">
        <v>1316</v>
      </c>
      <c r="B77" s="99" t="s">
        <v>579</v>
      </c>
      <c r="C77" s="80"/>
      <c r="D77" s="81"/>
      <c r="E77" s="80"/>
      <c r="F77" s="80"/>
      <c r="G77" s="1339"/>
    </row>
    <row r="78" spans="1:7" ht="15.75" customHeight="1">
      <c r="A78" s="667"/>
      <c r="B78" s="77" t="s">
        <v>1055</v>
      </c>
      <c r="C78" s="499"/>
      <c r="D78" s="81"/>
      <c r="E78" s="108"/>
      <c r="F78" s="80"/>
      <c r="G78" s="1339"/>
    </row>
    <row r="79" spans="1:7" ht="15.75" customHeight="1">
      <c r="A79" s="667"/>
      <c r="B79" s="77" t="s">
        <v>1055</v>
      </c>
      <c r="C79" s="499"/>
      <c r="D79" s="81"/>
      <c r="E79" s="108"/>
      <c r="F79" s="80"/>
      <c r="G79" s="1339"/>
    </row>
    <row r="80" spans="1:7" ht="15.75" customHeight="1">
      <c r="A80" s="667"/>
      <c r="B80" s="78" t="s">
        <v>1056</v>
      </c>
      <c r="C80" s="499"/>
      <c r="D80" s="81"/>
      <c r="E80" s="108"/>
      <c r="F80" s="80"/>
      <c r="G80" s="1339"/>
    </row>
    <row r="81" spans="1:7" ht="15">
      <c r="A81" s="667"/>
      <c r="B81" s="78" t="s">
        <v>1056</v>
      </c>
      <c r="C81" s="499"/>
      <c r="D81" s="81"/>
      <c r="E81" s="97"/>
      <c r="F81" s="80"/>
      <c r="G81" s="1339"/>
    </row>
    <row r="82" spans="1:7" ht="15">
      <c r="A82" s="667"/>
      <c r="B82" s="84"/>
      <c r="C82" s="158" t="s">
        <v>65</v>
      </c>
      <c r="D82" s="210">
        <v>221</v>
      </c>
      <c r="E82" s="404">
        <f>SUM(E78:E81)</f>
        <v>0</v>
      </c>
      <c r="F82" s="80"/>
      <c r="G82" s="1339"/>
    </row>
    <row r="83" spans="1:7" ht="15">
      <c r="A83" s="667"/>
      <c r="B83" s="80" t="s">
        <v>826</v>
      </c>
      <c r="C83" s="81"/>
      <c r="D83" s="81"/>
      <c r="E83" s="81"/>
      <c r="F83" s="80" t="s">
        <v>1283</v>
      </c>
      <c r="G83" s="1339"/>
    </row>
    <row r="84" spans="1:7" ht="15">
      <c r="A84" s="667"/>
      <c r="B84" s="80"/>
      <c r="C84" s="80"/>
      <c r="D84" s="80"/>
      <c r="E84" s="80" t="s">
        <v>1379</v>
      </c>
      <c r="F84" s="80"/>
      <c r="G84" s="1339"/>
    </row>
  </sheetData>
  <sheetProtection password="EC35" sheet="1" objects="1" scenarios="1"/>
  <mergeCells count="56">
    <mergeCell ref="B47:C47"/>
    <mergeCell ref="B48:C48"/>
    <mergeCell ref="B49:C49"/>
    <mergeCell ref="B43:C43"/>
    <mergeCell ref="B44:C44"/>
    <mergeCell ref="B45:C45"/>
    <mergeCell ref="B46:C46"/>
    <mergeCell ref="B39:C39"/>
    <mergeCell ref="B40:C40"/>
    <mergeCell ref="B41:C41"/>
    <mergeCell ref="B42:C42"/>
    <mergeCell ref="B35:C35"/>
    <mergeCell ref="B36:C36"/>
    <mergeCell ref="B37:C37"/>
    <mergeCell ref="B38:C38"/>
    <mergeCell ref="B62:C62"/>
    <mergeCell ref="B64:C64"/>
    <mergeCell ref="B73:C73"/>
    <mergeCell ref="B74:C74"/>
    <mergeCell ref="B75:C75"/>
    <mergeCell ref="B69:C69"/>
    <mergeCell ref="B70:C70"/>
    <mergeCell ref="B71:C71"/>
    <mergeCell ref="B72:C72"/>
    <mergeCell ref="B8:C8"/>
    <mergeCell ref="B9:C9"/>
    <mergeCell ref="B10:C10"/>
    <mergeCell ref="B11:C11"/>
    <mergeCell ref="B61:C61"/>
    <mergeCell ref="B12:C12"/>
    <mergeCell ref="B13:C13"/>
    <mergeCell ref="B14:C14"/>
    <mergeCell ref="B15:C15"/>
    <mergeCell ref="B16:C16"/>
    <mergeCell ref="B59:C59"/>
    <mergeCell ref="B60:C60"/>
    <mergeCell ref="B58:C58"/>
    <mergeCell ref="B30:C30"/>
    <mergeCell ref="B25:C25"/>
    <mergeCell ref="B26:C26"/>
    <mergeCell ref="B27:C27"/>
    <mergeCell ref="B31:C31"/>
    <mergeCell ref="B21:C21"/>
    <mergeCell ref="B22:C22"/>
    <mergeCell ref="B23:C23"/>
    <mergeCell ref="B24:C24"/>
    <mergeCell ref="G1:G84"/>
    <mergeCell ref="B17:C17"/>
    <mergeCell ref="B18:C18"/>
    <mergeCell ref="B65:C65"/>
    <mergeCell ref="B66:C66"/>
    <mergeCell ref="B19:C19"/>
    <mergeCell ref="B20:C20"/>
    <mergeCell ref="B32:C32"/>
    <mergeCell ref="B33:C33"/>
    <mergeCell ref="B34:C34"/>
  </mergeCells>
  <hyperlinks>
    <hyperlink ref="G1:G84" location="'GO TO'!B14"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I38"/>
  <sheetViews>
    <sheetView showGridLines="0" zoomScale="67" zoomScaleNormal="67" workbookViewId="0" topLeftCell="A1">
      <selection activeCell="A3" sqref="A3"/>
    </sheetView>
  </sheetViews>
  <sheetFormatPr defaultColWidth="9.77734375" defaultRowHeight="15"/>
  <cols>
    <col min="1" max="1" width="10.77734375" style="619" customWidth="1"/>
    <col min="2" max="2" width="25.77734375" style="619" customWidth="1"/>
    <col min="3" max="3" width="14.77734375" style="619" customWidth="1"/>
    <col min="4" max="4" width="12.77734375" style="619" customWidth="1"/>
    <col min="5" max="5" width="10.10546875" style="619" customWidth="1"/>
    <col min="6" max="6" width="15.99609375" style="619" customWidth="1"/>
    <col min="7" max="7" width="9.88671875" style="619" customWidth="1"/>
    <col min="8" max="8" width="11.10546875" style="619" customWidth="1"/>
    <col min="9" max="9" width="10.10546875" style="619" customWidth="1"/>
    <col min="10" max="10" width="11.77734375" style="619" customWidth="1"/>
    <col min="11" max="16384" width="9.77734375" style="619" customWidth="1"/>
  </cols>
  <sheetData>
    <row r="1" spans="1:9" ht="23.25">
      <c r="A1" s="141" t="str">
        <f>"T1-"&amp;yeartext</f>
        <v>T1-2006</v>
      </c>
      <c r="B1" s="178"/>
      <c r="C1" s="1205" t="s">
        <v>2268</v>
      </c>
      <c r="D1" s="178"/>
      <c r="E1" s="178"/>
      <c r="F1" s="178"/>
      <c r="G1" s="178"/>
      <c r="H1" s="1172" t="s">
        <v>274</v>
      </c>
      <c r="I1" s="1339" t="s">
        <v>1793</v>
      </c>
    </row>
    <row r="2" spans="1:9" ht="5.25" customHeight="1">
      <c r="A2" s="80"/>
      <c r="B2" s="80"/>
      <c r="C2" s="80"/>
      <c r="D2" s="80"/>
      <c r="E2" s="80"/>
      <c r="F2" s="80"/>
      <c r="G2" s="80"/>
      <c r="H2" s="80"/>
      <c r="I2" s="1339"/>
    </row>
    <row r="3" spans="1:9" ht="15">
      <c r="A3" s="80"/>
      <c r="B3" s="80"/>
      <c r="C3" s="80"/>
      <c r="D3" s="80"/>
      <c r="E3" s="80"/>
      <c r="F3" s="80"/>
      <c r="G3" s="80"/>
      <c r="H3" s="80"/>
      <c r="I3" s="1339"/>
    </row>
    <row r="4" spans="1:9" ht="15">
      <c r="A4" s="80" t="s">
        <v>1166</v>
      </c>
      <c r="B4" s="80"/>
      <c r="C4" s="80"/>
      <c r="D4" s="80"/>
      <c r="E4" s="80"/>
      <c r="F4" s="80"/>
      <c r="G4" s="80"/>
      <c r="H4" s="80"/>
      <c r="I4" s="1339"/>
    </row>
    <row r="5" spans="1:9" ht="15">
      <c r="A5" s="80" t="s">
        <v>369</v>
      </c>
      <c r="B5" s="80"/>
      <c r="C5" s="80"/>
      <c r="D5" s="80"/>
      <c r="E5" s="80"/>
      <c r="F5" s="80"/>
      <c r="G5" s="80"/>
      <c r="H5" s="80"/>
      <c r="I5" s="1339"/>
    </row>
    <row r="6" spans="1:9" ht="5.25" customHeight="1">
      <c r="A6" s="80"/>
      <c r="B6" s="80"/>
      <c r="C6" s="80"/>
      <c r="D6" s="80"/>
      <c r="E6" s="80"/>
      <c r="F6" s="80"/>
      <c r="G6" s="80"/>
      <c r="H6" s="80"/>
      <c r="I6" s="1339"/>
    </row>
    <row r="7" spans="1:9" ht="15.75">
      <c r="A7" s="99" t="s">
        <v>2092</v>
      </c>
      <c r="B7" s="80"/>
      <c r="C7" s="80"/>
      <c r="D7" s="80"/>
      <c r="E7" s="80"/>
      <c r="F7" s="80"/>
      <c r="G7" s="80"/>
      <c r="H7" s="80"/>
      <c r="I7" s="1339"/>
    </row>
    <row r="8" spans="1:9" ht="15.75">
      <c r="A8" s="211" t="s">
        <v>2091</v>
      </c>
      <c r="B8" s="80"/>
      <c r="C8" s="80"/>
      <c r="D8" s="80"/>
      <c r="E8" s="80"/>
      <c r="F8" s="80"/>
      <c r="G8" s="80"/>
      <c r="H8" s="80"/>
      <c r="I8" s="1339"/>
    </row>
    <row r="9" spans="1:9" ht="50.25" customHeight="1">
      <c r="A9" s="212" t="s">
        <v>923</v>
      </c>
      <c r="B9" s="99" t="s">
        <v>978</v>
      </c>
      <c r="C9" s="80"/>
      <c r="D9" s="848" t="s">
        <v>373</v>
      </c>
      <c r="E9" s="80"/>
      <c r="F9" s="80"/>
      <c r="G9" s="80"/>
      <c r="H9" s="80"/>
      <c r="I9" s="1339"/>
    </row>
    <row r="10" spans="1:9" ht="15">
      <c r="A10" s="296" t="str">
        <f>"If your martial status changed in "&amp;yeartext&amp;", give the date of the change:"</f>
        <v>If your martial status changed in 2006, give the date of the change:</v>
      </c>
      <c r="B10" s="80"/>
      <c r="C10" s="80"/>
      <c r="D10" s="847"/>
      <c r="E10" s="80"/>
      <c r="F10" s="80"/>
      <c r="G10" s="80"/>
      <c r="H10" s="80"/>
      <c r="I10" s="1339"/>
    </row>
    <row r="11" spans="1:9" ht="15">
      <c r="A11" s="211" t="s">
        <v>1847</v>
      </c>
      <c r="B11" s="80"/>
      <c r="C11" s="80"/>
      <c r="D11" s="80"/>
      <c r="E11" s="80"/>
      <c r="F11" s="80"/>
      <c r="G11" s="80"/>
      <c r="H11" s="80"/>
      <c r="I11" s="1339"/>
    </row>
    <row r="12" spans="1:9" ht="15">
      <c r="A12" s="211"/>
      <c r="B12" s="80"/>
      <c r="C12" s="80"/>
      <c r="D12" s="80"/>
      <c r="E12" s="80"/>
      <c r="F12" s="80"/>
      <c r="G12" s="80"/>
      <c r="H12" s="80"/>
      <c r="I12" s="1339"/>
    </row>
    <row r="13" spans="1:9" ht="15">
      <c r="A13" s="743" t="s">
        <v>692</v>
      </c>
      <c r="B13" s="214"/>
      <c r="C13" s="216" t="s">
        <v>693</v>
      </c>
      <c r="D13" s="216" t="s">
        <v>694</v>
      </c>
      <c r="E13" s="216" t="s">
        <v>1329</v>
      </c>
      <c r="F13" s="1404" t="s">
        <v>1299</v>
      </c>
      <c r="G13" s="1405"/>
      <c r="H13" s="201" t="s">
        <v>1347</v>
      </c>
      <c r="I13" s="1339"/>
    </row>
    <row r="14" spans="1:9" ht="15">
      <c r="A14" s="743" t="s">
        <v>696</v>
      </c>
      <c r="B14" s="214"/>
      <c r="C14" s="217" t="s">
        <v>697</v>
      </c>
      <c r="D14" s="217" t="s">
        <v>698</v>
      </c>
      <c r="E14" s="217" t="str">
        <f>"in "&amp;yeartext</f>
        <v>in 2006</v>
      </c>
      <c r="F14" s="1406"/>
      <c r="G14" s="1407"/>
      <c r="H14" s="222" t="s">
        <v>1784</v>
      </c>
      <c r="I14" s="1339"/>
    </row>
    <row r="15" spans="1:9" ht="15">
      <c r="A15" s="213" t="s">
        <v>699</v>
      </c>
      <c r="B15" s="742"/>
      <c r="C15" s="744" t="s">
        <v>691</v>
      </c>
      <c r="D15" s="218"/>
      <c r="E15" s="218"/>
      <c r="F15" s="1408"/>
      <c r="G15" s="1409"/>
      <c r="H15" s="146"/>
      <c r="I15" s="1339"/>
    </row>
    <row r="16" spans="1:9" ht="24.75" customHeight="1">
      <c r="A16" s="1360"/>
      <c r="B16" s="1361"/>
      <c r="C16" s="66"/>
      <c r="D16" s="219"/>
      <c r="E16" s="221"/>
      <c r="F16" s="1410"/>
      <c r="G16" s="1411"/>
      <c r="H16" s="221"/>
      <c r="I16" s="1339"/>
    </row>
    <row r="17" spans="1:9" ht="15">
      <c r="A17" s="211"/>
      <c r="B17" s="80"/>
      <c r="C17" s="80"/>
      <c r="D17" s="80"/>
      <c r="E17" s="80"/>
      <c r="F17" s="80"/>
      <c r="G17" s="80"/>
      <c r="H17" s="80"/>
      <c r="I17" s="1339"/>
    </row>
    <row r="18" spans="1:9" ht="15">
      <c r="A18" s="211"/>
      <c r="B18" s="80"/>
      <c r="C18" s="80"/>
      <c r="D18" s="80"/>
      <c r="E18" s="80"/>
      <c r="F18" s="80"/>
      <c r="G18" s="80"/>
      <c r="H18" s="80"/>
      <c r="I18" s="1339"/>
    </row>
    <row r="19" spans="1:9" ht="18">
      <c r="A19" s="212" t="s">
        <v>1297</v>
      </c>
      <c r="B19" s="80"/>
      <c r="C19" s="80"/>
      <c r="D19" s="80"/>
      <c r="E19" s="80"/>
      <c r="F19" s="80"/>
      <c r="G19" s="80"/>
      <c r="H19" s="80"/>
      <c r="I19" s="1339"/>
    </row>
    <row r="20" spans="1:9" ht="15">
      <c r="A20" s="211"/>
      <c r="B20" s="80"/>
      <c r="C20" s="80"/>
      <c r="D20" s="80"/>
      <c r="E20" s="80"/>
      <c r="F20" s="80"/>
      <c r="G20" s="80"/>
      <c r="H20" s="80"/>
      <c r="I20" s="1339"/>
    </row>
    <row r="21" spans="1:9" ht="15">
      <c r="A21" s="743" t="s">
        <v>692</v>
      </c>
      <c r="B21" s="214"/>
      <c r="C21" s="216" t="s">
        <v>1170</v>
      </c>
      <c r="D21" s="216" t="s">
        <v>694</v>
      </c>
      <c r="E21" s="216" t="s">
        <v>1329</v>
      </c>
      <c r="F21" s="844" t="s">
        <v>695</v>
      </c>
      <c r="G21" s="201" t="s">
        <v>1829</v>
      </c>
      <c r="H21" s="201" t="s">
        <v>1347</v>
      </c>
      <c r="I21" s="1339"/>
    </row>
    <row r="22" spans="1:9" ht="15">
      <c r="A22" s="743" t="s">
        <v>696</v>
      </c>
      <c r="B22" s="215"/>
      <c r="C22" s="217" t="s">
        <v>1298</v>
      </c>
      <c r="D22" s="217" t="s">
        <v>698</v>
      </c>
      <c r="E22" s="217" t="str">
        <f>"in "&amp;yeartext</f>
        <v>in 2006</v>
      </c>
      <c r="F22" s="217" t="s">
        <v>343</v>
      </c>
      <c r="G22" s="222" t="s">
        <v>995</v>
      </c>
      <c r="H22" s="222" t="s">
        <v>1784</v>
      </c>
      <c r="I22" s="1339"/>
    </row>
    <row r="23" spans="1:9" ht="15">
      <c r="A23" s="213" t="s">
        <v>699</v>
      </c>
      <c r="B23" s="742"/>
      <c r="C23" s="744"/>
      <c r="D23" s="218"/>
      <c r="E23" s="218"/>
      <c r="F23" s="218"/>
      <c r="G23" s="146"/>
      <c r="H23" s="146"/>
      <c r="I23" s="1339"/>
    </row>
    <row r="24" spans="1:9" ht="24.75" customHeight="1">
      <c r="A24" s="1360"/>
      <c r="B24" s="1361"/>
      <c r="C24" s="846"/>
      <c r="D24" s="220"/>
      <c r="E24" s="221"/>
      <c r="F24" s="198"/>
      <c r="G24" s="849"/>
      <c r="H24" s="845"/>
      <c r="I24" s="1339"/>
    </row>
    <row r="25" spans="1:9" ht="15">
      <c r="A25" s="211"/>
      <c r="B25" s="80"/>
      <c r="C25" s="80"/>
      <c r="D25" s="80"/>
      <c r="E25" s="80"/>
      <c r="F25" s="80"/>
      <c r="G25" s="849"/>
      <c r="H25" s="845"/>
      <c r="I25" s="1339"/>
    </row>
    <row r="26" spans="1:9" ht="15">
      <c r="A26" s="211"/>
      <c r="B26" s="80"/>
      <c r="C26" s="80"/>
      <c r="D26" s="80"/>
      <c r="E26" s="80"/>
      <c r="F26" s="80"/>
      <c r="G26" s="849"/>
      <c r="H26" s="845"/>
      <c r="I26" s="1339"/>
    </row>
    <row r="27" spans="1:9" ht="18">
      <c r="A27" s="212"/>
      <c r="B27" s="80"/>
      <c r="C27" s="80"/>
      <c r="D27" s="80"/>
      <c r="E27" s="80"/>
      <c r="F27" s="80"/>
      <c r="G27" s="80"/>
      <c r="H27" s="80"/>
      <c r="I27" s="1339"/>
    </row>
    <row r="28" spans="1:9" ht="15">
      <c r="A28" s="743" t="s">
        <v>692</v>
      </c>
      <c r="B28" s="214"/>
      <c r="C28" s="216" t="s">
        <v>1170</v>
      </c>
      <c r="D28" s="216" t="s">
        <v>694</v>
      </c>
      <c r="E28" s="216" t="s">
        <v>1329</v>
      </c>
      <c r="F28" s="844" t="s">
        <v>695</v>
      </c>
      <c r="G28" s="201" t="s">
        <v>1829</v>
      </c>
      <c r="H28" s="201" t="s">
        <v>1347</v>
      </c>
      <c r="I28" s="1339"/>
    </row>
    <row r="29" spans="1:9" ht="15">
      <c r="A29" s="743" t="s">
        <v>696</v>
      </c>
      <c r="B29" s="215"/>
      <c r="C29" s="217" t="s">
        <v>1298</v>
      </c>
      <c r="D29" s="217" t="s">
        <v>698</v>
      </c>
      <c r="E29" s="217" t="str">
        <f>"in "&amp;yeartext</f>
        <v>in 2006</v>
      </c>
      <c r="F29" s="217" t="s">
        <v>343</v>
      </c>
      <c r="G29" s="222" t="s">
        <v>995</v>
      </c>
      <c r="H29" s="222" t="s">
        <v>1784</v>
      </c>
      <c r="I29" s="1339"/>
    </row>
    <row r="30" spans="1:9" ht="15">
      <c r="A30" s="213" t="s">
        <v>699</v>
      </c>
      <c r="B30" s="742"/>
      <c r="C30" s="744"/>
      <c r="D30" s="218"/>
      <c r="E30" s="218"/>
      <c r="F30" s="218"/>
      <c r="G30" s="146"/>
      <c r="H30" s="146"/>
      <c r="I30" s="1339"/>
    </row>
    <row r="31" spans="1:9" ht="24.75" customHeight="1">
      <c r="A31" s="1360"/>
      <c r="B31" s="1361"/>
      <c r="C31" s="846"/>
      <c r="D31" s="220"/>
      <c r="E31" s="221"/>
      <c r="F31" s="198"/>
      <c r="G31" s="849"/>
      <c r="H31" s="845"/>
      <c r="I31" s="1339"/>
    </row>
    <row r="32" spans="1:9" ht="15">
      <c r="A32" s="211"/>
      <c r="B32" s="80"/>
      <c r="C32" s="80"/>
      <c r="D32" s="80"/>
      <c r="E32" s="80"/>
      <c r="F32" s="80"/>
      <c r="G32" s="849"/>
      <c r="H32" s="845"/>
      <c r="I32" s="1339"/>
    </row>
    <row r="33" spans="1:9" ht="15">
      <c r="A33" s="211"/>
      <c r="B33" s="80"/>
      <c r="C33" s="80"/>
      <c r="D33" s="80"/>
      <c r="E33" s="80"/>
      <c r="F33" s="80"/>
      <c r="G33" s="849"/>
      <c r="H33" s="845"/>
      <c r="I33" s="1339"/>
    </row>
    <row r="34" spans="1:9" ht="15">
      <c r="A34" s="211"/>
      <c r="B34" s="80"/>
      <c r="C34" s="80"/>
      <c r="D34" s="80"/>
      <c r="E34" s="80"/>
      <c r="F34" s="80"/>
      <c r="G34" s="80"/>
      <c r="H34" s="80"/>
      <c r="I34" s="1339"/>
    </row>
    <row r="35" spans="1:9" ht="15">
      <c r="A35" s="80"/>
      <c r="B35" s="80"/>
      <c r="C35" s="80"/>
      <c r="D35" s="80"/>
      <c r="E35" s="80"/>
      <c r="F35" s="80"/>
      <c r="G35" s="80"/>
      <c r="H35" s="80"/>
      <c r="I35" s="1339"/>
    </row>
    <row r="36" spans="1:9" ht="15">
      <c r="A36" s="80"/>
      <c r="B36" s="80"/>
      <c r="C36" s="80"/>
      <c r="D36" s="80"/>
      <c r="E36" s="80"/>
      <c r="F36" s="80"/>
      <c r="G36" s="80"/>
      <c r="H36" s="80"/>
      <c r="I36" s="1339"/>
    </row>
    <row r="37" spans="1:9" ht="15">
      <c r="A37" s="80" t="s">
        <v>700</v>
      </c>
      <c r="B37" s="80"/>
      <c r="C37" s="80"/>
      <c r="D37" s="80"/>
      <c r="E37" s="80"/>
      <c r="F37" s="80"/>
      <c r="G37" s="80"/>
      <c r="H37" s="80"/>
      <c r="I37" s="1339"/>
    </row>
    <row r="38" spans="1:9" ht="15">
      <c r="A38" s="80"/>
      <c r="B38" s="80"/>
      <c r="C38" s="80"/>
      <c r="D38" s="80"/>
      <c r="E38" s="80"/>
      <c r="F38" s="80"/>
      <c r="G38" s="80"/>
      <c r="H38" s="80"/>
      <c r="I38" s="1339"/>
    </row>
  </sheetData>
  <sheetProtection password="EC35" sheet="1" objects="1" scenarios="1"/>
  <mergeCells count="6">
    <mergeCell ref="I1:I38"/>
    <mergeCell ref="A16:B16"/>
    <mergeCell ref="A24:B24"/>
    <mergeCell ref="A31:B31"/>
    <mergeCell ref="F13:G15"/>
    <mergeCell ref="F16:G16"/>
  </mergeCells>
  <hyperlinks>
    <hyperlink ref="I1:I38" location="'GO TO'!B15" display=" "/>
  </hyperlink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E81"/>
  <sheetViews>
    <sheetView zoomScale="85" zoomScaleNormal="85" workbookViewId="0" topLeftCell="A1">
      <pane ySplit="1" topLeftCell="BM2" activePane="bottomLeft" state="frozen"/>
      <selection pane="topLeft" activeCell="A2" sqref="A2"/>
      <selection pane="bottomLeft" activeCell="A2" sqref="A2"/>
    </sheetView>
  </sheetViews>
  <sheetFormatPr defaultColWidth="8.88671875" defaultRowHeight="15"/>
  <cols>
    <col min="1" max="1" width="70.3359375" style="1008" customWidth="1"/>
    <col min="2" max="2" width="13.77734375" style="1006" customWidth="1"/>
    <col min="3" max="3" width="10.99609375" style="1007" customWidth="1"/>
    <col min="4" max="4" width="2.4453125" style="0" customWidth="1"/>
    <col min="5" max="5" width="14.10546875" style="0" customWidth="1"/>
  </cols>
  <sheetData>
    <row r="1" spans="1:5" ht="39" customHeight="1">
      <c r="A1" s="1010" t="s">
        <v>1448</v>
      </c>
      <c r="B1" s="1278" t="s">
        <v>1912</v>
      </c>
      <c r="C1" s="1276"/>
      <c r="E1" s="1270" t="s">
        <v>1285</v>
      </c>
    </row>
    <row r="2" spans="1:5" ht="15">
      <c r="A2" s="1011"/>
      <c r="B2" s="1012"/>
      <c r="C2" s="133"/>
      <c r="E2" s="1270"/>
    </row>
    <row r="3" spans="1:5" ht="64.5" customHeight="1">
      <c r="A3" s="1013" t="s">
        <v>1483</v>
      </c>
      <c r="B3" s="1277" t="s">
        <v>1482</v>
      </c>
      <c r="C3" s="1276"/>
      <c r="E3" s="1270"/>
    </row>
    <row r="4" spans="1:5" ht="15">
      <c r="A4" s="1013"/>
      <c r="B4" s="1012"/>
      <c r="C4" s="133"/>
      <c r="E4" s="1270"/>
    </row>
    <row r="5" spans="1:5" ht="15">
      <c r="A5" s="1011" t="s">
        <v>957</v>
      </c>
      <c r="B5" s="1274" t="s">
        <v>1451</v>
      </c>
      <c r="C5" s="1276"/>
      <c r="E5" s="1270"/>
    </row>
    <row r="6" spans="1:5" ht="15">
      <c r="A6" s="1011" t="s">
        <v>958</v>
      </c>
      <c r="B6" s="1012"/>
      <c r="C6" s="133"/>
      <c r="E6" s="1270"/>
    </row>
    <row r="7" spans="1:5" ht="15">
      <c r="A7" s="1009" t="s">
        <v>959</v>
      </c>
      <c r="B7" s="1012"/>
      <c r="C7" s="133"/>
      <c r="E7" s="1270"/>
    </row>
    <row r="8" spans="1:5" ht="15">
      <c r="A8" s="1011" t="s">
        <v>960</v>
      </c>
      <c r="B8" s="1274" t="s">
        <v>1450</v>
      </c>
      <c r="C8" s="1276"/>
      <c r="E8" s="1270"/>
    </row>
    <row r="9" spans="1:5" ht="15">
      <c r="A9" s="1011" t="s">
        <v>961</v>
      </c>
      <c r="B9" s="1012"/>
      <c r="C9" s="133"/>
      <c r="E9" s="1270"/>
    </row>
    <row r="10" spans="1:5" ht="15">
      <c r="A10" s="1011"/>
      <c r="B10" s="1012"/>
      <c r="C10" s="133"/>
      <c r="E10" s="1270"/>
    </row>
    <row r="11" spans="1:5" ht="15">
      <c r="A11" s="1011" t="s">
        <v>962</v>
      </c>
      <c r="B11" s="1014" t="s">
        <v>1455</v>
      </c>
      <c r="C11" s="1015" t="s">
        <v>1457</v>
      </c>
      <c r="E11" s="1270"/>
    </row>
    <row r="12" spans="1:5" ht="15">
      <c r="A12" s="1011" t="s">
        <v>963</v>
      </c>
      <c r="B12" s="1014" t="s">
        <v>1454</v>
      </c>
      <c r="C12" s="1015" t="s">
        <v>1458</v>
      </c>
      <c r="E12" s="1270"/>
    </row>
    <row r="13" spans="1:5" ht="15">
      <c r="A13" s="1011" t="s">
        <v>964</v>
      </c>
      <c r="B13" s="1014" t="s">
        <v>1453</v>
      </c>
      <c r="C13" s="1015" t="s">
        <v>1456</v>
      </c>
      <c r="E13" s="1270"/>
    </row>
    <row r="14" spans="1:5" ht="15">
      <c r="A14" s="1011" t="s">
        <v>961</v>
      </c>
      <c r="B14" s="1012"/>
      <c r="C14" s="133"/>
      <c r="E14" s="1270"/>
    </row>
    <row r="15" spans="1:5" ht="15">
      <c r="A15" s="1011"/>
      <c r="B15" s="1012"/>
      <c r="C15" s="133"/>
      <c r="E15" s="1270"/>
    </row>
    <row r="16" spans="1:5" ht="15">
      <c r="A16" s="1011" t="s">
        <v>965</v>
      </c>
      <c r="B16" s="1012"/>
      <c r="C16" s="133"/>
      <c r="E16" s="1270"/>
    </row>
    <row r="17" spans="1:5" ht="15">
      <c r="A17" s="1011" t="s">
        <v>966</v>
      </c>
      <c r="B17" s="1274" t="s">
        <v>1452</v>
      </c>
      <c r="C17" s="1275"/>
      <c r="E17" s="1270"/>
    </row>
    <row r="18" spans="1:5" ht="15">
      <c r="A18" s="1011" t="s">
        <v>967</v>
      </c>
      <c r="B18" s="1012"/>
      <c r="C18" s="133"/>
      <c r="E18" s="1270"/>
    </row>
    <row r="19" spans="1:5" ht="15">
      <c r="A19" s="1011" t="s">
        <v>1928</v>
      </c>
      <c r="B19" s="1012"/>
      <c r="C19" s="133"/>
      <c r="E19" s="1270"/>
    </row>
    <row r="20" spans="1:5" ht="15">
      <c r="A20" s="1011"/>
      <c r="B20" s="1012"/>
      <c r="C20" s="133"/>
      <c r="E20" s="1270"/>
    </row>
    <row r="21" spans="1:5" ht="15">
      <c r="A21" s="1011" t="s">
        <v>968</v>
      </c>
      <c r="B21" s="1012"/>
      <c r="C21" s="133"/>
      <c r="E21" s="1270"/>
    </row>
    <row r="22" spans="1:5" ht="15">
      <c r="A22" s="1011" t="s">
        <v>969</v>
      </c>
      <c r="B22" s="1274" t="s">
        <v>1459</v>
      </c>
      <c r="C22" s="1275"/>
      <c r="E22" s="1270"/>
    </row>
    <row r="23" spans="1:5" ht="15">
      <c r="A23" s="1011" t="s">
        <v>970</v>
      </c>
      <c r="B23" s="1012"/>
      <c r="C23" s="133"/>
      <c r="E23" s="1270"/>
    </row>
    <row r="24" spans="1:5" ht="15">
      <c r="A24" s="1011" t="s">
        <v>1957</v>
      </c>
      <c r="B24" s="1274" t="s">
        <v>1460</v>
      </c>
      <c r="C24" s="1275"/>
      <c r="E24" s="1270"/>
    </row>
    <row r="25" spans="1:5" ht="15">
      <c r="A25" s="1011" t="s">
        <v>1928</v>
      </c>
      <c r="B25" s="1012"/>
      <c r="C25" s="133"/>
      <c r="E25" s="1270"/>
    </row>
    <row r="26" spans="1:5" ht="15">
      <c r="A26" s="1011"/>
      <c r="B26" s="1012"/>
      <c r="C26" s="133"/>
      <c r="E26" s="1270"/>
    </row>
    <row r="27" spans="1:5" ht="15">
      <c r="A27" s="1011" t="s">
        <v>1958</v>
      </c>
      <c r="B27" s="1012"/>
      <c r="C27" s="133"/>
      <c r="E27" s="1270"/>
    </row>
    <row r="28" spans="1:5" ht="15">
      <c r="A28" s="1011" t="s">
        <v>1959</v>
      </c>
      <c r="B28" s="1274" t="s">
        <v>1461</v>
      </c>
      <c r="C28" s="1275"/>
      <c r="E28" s="1270"/>
    </row>
    <row r="29" spans="1:5" ht="15">
      <c r="A29" s="1011" t="s">
        <v>1960</v>
      </c>
      <c r="B29" s="1012"/>
      <c r="C29" s="133"/>
      <c r="E29" s="1270"/>
    </row>
    <row r="30" spans="1:5" ht="15">
      <c r="A30" s="1011"/>
      <c r="B30" s="1012"/>
      <c r="C30" s="133"/>
      <c r="E30" s="1270"/>
    </row>
    <row r="31" spans="1:5" ht="15">
      <c r="A31" s="1011" t="s">
        <v>1961</v>
      </c>
      <c r="B31" s="1012"/>
      <c r="C31" s="133"/>
      <c r="E31" s="1270"/>
    </row>
    <row r="32" spans="1:5" ht="15">
      <c r="A32" s="1011" t="s">
        <v>1962</v>
      </c>
      <c r="B32" s="1274" t="s">
        <v>1462</v>
      </c>
      <c r="C32" s="1275"/>
      <c r="E32" s="1270"/>
    </row>
    <row r="33" spans="1:5" ht="15">
      <c r="A33" s="1011" t="s">
        <v>1963</v>
      </c>
      <c r="B33" s="1012"/>
      <c r="C33" s="133"/>
      <c r="E33" s="1270"/>
    </row>
    <row r="34" spans="1:5" ht="15">
      <c r="A34" s="1011" t="s">
        <v>1964</v>
      </c>
      <c r="B34" s="1274" t="s">
        <v>1463</v>
      </c>
      <c r="C34" s="1275"/>
      <c r="E34" s="1270"/>
    </row>
    <row r="35" spans="1:5" ht="15">
      <c r="A35" s="1011"/>
      <c r="B35" s="1012"/>
      <c r="C35" s="133"/>
      <c r="E35" s="1270"/>
    </row>
    <row r="36" spans="1:5" ht="15">
      <c r="A36" s="1011" t="s">
        <v>1965</v>
      </c>
      <c r="B36" s="1012"/>
      <c r="C36" s="133"/>
      <c r="E36" s="1270"/>
    </row>
    <row r="37" spans="1:5" ht="15">
      <c r="A37" s="1011" t="s">
        <v>1966</v>
      </c>
      <c r="B37" s="1274" t="s">
        <v>1464</v>
      </c>
      <c r="C37" s="1275"/>
      <c r="E37" s="1270"/>
    </row>
    <row r="38" spans="1:5" ht="15">
      <c r="A38" s="1011" t="s">
        <v>1967</v>
      </c>
      <c r="B38" s="1012"/>
      <c r="C38" s="133"/>
      <c r="E38" s="1270"/>
    </row>
    <row r="39" spans="1:5" ht="15">
      <c r="A39" s="1011" t="s">
        <v>1968</v>
      </c>
      <c r="B39" s="1012"/>
      <c r="C39" s="133"/>
      <c r="E39" s="1270"/>
    </row>
    <row r="40" spans="1:5" ht="15">
      <c r="A40" s="1011"/>
      <c r="B40" s="1012"/>
      <c r="C40" s="133"/>
      <c r="E40" s="1270"/>
    </row>
    <row r="41" spans="1:5" ht="15">
      <c r="A41" s="1011" t="s">
        <v>1969</v>
      </c>
      <c r="B41" s="1012"/>
      <c r="C41" s="133"/>
      <c r="E41" s="1270"/>
    </row>
    <row r="42" spans="1:5" ht="15">
      <c r="A42" s="1011" t="s">
        <v>1970</v>
      </c>
      <c r="B42" s="1274" t="s">
        <v>1465</v>
      </c>
      <c r="C42" s="1275"/>
      <c r="E42" s="1270"/>
    </row>
    <row r="43" spans="1:5" ht="15">
      <c r="A43" s="1011" t="s">
        <v>1971</v>
      </c>
      <c r="B43" s="1012"/>
      <c r="C43" s="133"/>
      <c r="E43" s="1270"/>
    </row>
    <row r="44" spans="1:5" ht="15">
      <c r="A44" s="1011" t="s">
        <v>1972</v>
      </c>
      <c r="B44" s="1274" t="s">
        <v>1466</v>
      </c>
      <c r="C44" s="1275"/>
      <c r="E44" s="1270"/>
    </row>
    <row r="45" spans="1:5" ht="15">
      <c r="A45" s="1011"/>
      <c r="B45" s="1012"/>
      <c r="C45" s="133"/>
      <c r="E45" s="1270"/>
    </row>
    <row r="46" spans="1:5" ht="15">
      <c r="A46" s="1011" t="s">
        <v>1973</v>
      </c>
      <c r="B46" s="1274" t="s">
        <v>1467</v>
      </c>
      <c r="C46" s="1275"/>
      <c r="E46" s="1270"/>
    </row>
    <row r="47" spans="1:5" ht="15">
      <c r="A47" s="1011" t="s">
        <v>1974</v>
      </c>
      <c r="B47" s="1012"/>
      <c r="C47" s="133"/>
      <c r="E47" s="1270"/>
    </row>
    <row r="48" spans="1:5" ht="15">
      <c r="A48" s="1011"/>
      <c r="B48" s="1012"/>
      <c r="C48" s="133"/>
      <c r="E48" s="1270"/>
    </row>
    <row r="49" spans="1:5" ht="15">
      <c r="A49" s="1011" t="s">
        <v>1975</v>
      </c>
      <c r="B49" s="1274" t="s">
        <v>1468</v>
      </c>
      <c r="C49" s="1275"/>
      <c r="E49" s="1270"/>
    </row>
    <row r="50" spans="1:5" ht="15">
      <c r="A50" s="1011" t="s">
        <v>1893</v>
      </c>
      <c r="B50" s="1012"/>
      <c r="C50" s="133"/>
      <c r="E50" s="1270"/>
    </row>
    <row r="51" spans="1:5" ht="15">
      <c r="A51" s="1011"/>
      <c r="B51" s="1012"/>
      <c r="C51" s="133"/>
      <c r="E51" s="1270"/>
    </row>
    <row r="52" spans="1:5" ht="15">
      <c r="A52" s="1011" t="s">
        <v>1894</v>
      </c>
      <c r="B52" s="1012"/>
      <c r="C52" s="133"/>
      <c r="E52" s="1270"/>
    </row>
    <row r="53" spans="1:5" ht="15">
      <c r="A53" s="1011" t="s">
        <v>1895</v>
      </c>
      <c r="B53" s="1274" t="s">
        <v>1469</v>
      </c>
      <c r="C53" s="1275"/>
      <c r="E53" s="1270"/>
    </row>
    <row r="54" spans="1:5" ht="15">
      <c r="A54" s="1011" t="s">
        <v>961</v>
      </c>
      <c r="B54" s="1012"/>
      <c r="C54" s="133"/>
      <c r="E54" s="1270"/>
    </row>
    <row r="55" spans="1:5" ht="15">
      <c r="A55" s="1011"/>
      <c r="B55" s="1012"/>
      <c r="C55" s="133"/>
      <c r="E55" s="1270"/>
    </row>
    <row r="56" spans="1:5" ht="15">
      <c r="A56" s="1011" t="s">
        <v>1896</v>
      </c>
      <c r="B56" s="1012"/>
      <c r="C56" s="133"/>
      <c r="E56" s="1270"/>
    </row>
    <row r="57" spans="1:5" ht="15">
      <c r="A57" s="1011" t="s">
        <v>1897</v>
      </c>
      <c r="B57" s="1274" t="s">
        <v>1470</v>
      </c>
      <c r="C57" s="1275"/>
      <c r="E57" s="1270"/>
    </row>
    <row r="58" spans="1:5" ht="15">
      <c r="A58" s="1011" t="s">
        <v>1898</v>
      </c>
      <c r="B58" s="1012"/>
      <c r="C58" s="133"/>
      <c r="E58" s="1270"/>
    </row>
    <row r="59" spans="1:5" ht="15">
      <c r="A59" s="1011"/>
      <c r="B59" s="1012"/>
      <c r="C59" s="133"/>
      <c r="E59" s="1270"/>
    </row>
    <row r="60" spans="1:5" ht="15">
      <c r="A60" s="1011" t="s">
        <v>1899</v>
      </c>
      <c r="B60" s="1274" t="s">
        <v>1471</v>
      </c>
      <c r="C60" s="1275"/>
      <c r="E60" s="1270"/>
    </row>
    <row r="61" spans="1:5" ht="15">
      <c r="A61" s="1011" t="s">
        <v>1900</v>
      </c>
      <c r="B61" s="1012"/>
      <c r="C61" s="133"/>
      <c r="E61" s="1270"/>
    </row>
    <row r="62" spans="1:5" ht="15">
      <c r="A62" s="1011" t="s">
        <v>1473</v>
      </c>
      <c r="B62" s="1274" t="s">
        <v>1472</v>
      </c>
      <c r="C62" s="1275"/>
      <c r="E62" s="1270"/>
    </row>
    <row r="63" spans="1:5" ht="15">
      <c r="A63" s="1011"/>
      <c r="B63" s="1012"/>
      <c r="C63" s="133"/>
      <c r="E63" s="1270"/>
    </row>
    <row r="64" spans="1:5" ht="15">
      <c r="A64" s="1011" t="s">
        <v>1901</v>
      </c>
      <c r="B64" s="1012"/>
      <c r="C64" s="133"/>
      <c r="E64" s="1270"/>
    </row>
    <row r="65" spans="1:5" ht="15">
      <c r="A65" s="1011" t="s">
        <v>1902</v>
      </c>
      <c r="B65" s="1274" t="s">
        <v>1474</v>
      </c>
      <c r="C65" s="1275"/>
      <c r="E65" s="1270"/>
    </row>
    <row r="66" spans="1:5" ht="15">
      <c r="A66" s="1011" t="s">
        <v>1903</v>
      </c>
      <c r="B66" s="1012"/>
      <c r="C66" s="133"/>
      <c r="E66" s="1270"/>
    </row>
    <row r="67" spans="1:5" ht="15">
      <c r="A67" s="1011"/>
      <c r="B67" s="1012"/>
      <c r="C67" s="133"/>
      <c r="E67" s="1270"/>
    </row>
    <row r="68" spans="1:5" ht="15">
      <c r="A68" s="1011" t="s">
        <v>1904</v>
      </c>
      <c r="B68" s="1012"/>
      <c r="C68" s="133"/>
      <c r="E68" s="1270"/>
    </row>
    <row r="69" spans="1:5" ht="15">
      <c r="A69" s="1011" t="s">
        <v>1905</v>
      </c>
      <c r="B69" s="1012"/>
      <c r="C69" s="133"/>
      <c r="E69" s="1270"/>
    </row>
    <row r="70" spans="1:5" ht="15">
      <c r="A70" s="1011" t="s">
        <v>1906</v>
      </c>
      <c r="B70" s="1012"/>
      <c r="C70" s="133"/>
      <c r="E70" s="1270"/>
    </row>
    <row r="71" spans="1:5" ht="15">
      <c r="A71" s="1011"/>
      <c r="B71" s="1012"/>
      <c r="C71" s="133"/>
      <c r="E71" s="1270"/>
    </row>
    <row r="72" spans="1:5" ht="15">
      <c r="A72" s="1011" t="s">
        <v>1907</v>
      </c>
      <c r="B72" s="1271" t="s">
        <v>1476</v>
      </c>
      <c r="C72" s="1272"/>
      <c r="E72" s="1270"/>
    </row>
    <row r="73" spans="1:5" ht="15">
      <c r="A73" s="1011" t="s">
        <v>1908</v>
      </c>
      <c r="B73" s="1273"/>
      <c r="C73" s="1272"/>
      <c r="E73" s="1270"/>
    </row>
    <row r="74" spans="1:5" ht="15">
      <c r="A74" s="1011" t="s">
        <v>1475</v>
      </c>
      <c r="B74" s="1274" t="s">
        <v>2198</v>
      </c>
      <c r="C74" s="1275"/>
      <c r="E74" s="1270"/>
    </row>
    <row r="75" spans="1:5" ht="15">
      <c r="A75" s="1011"/>
      <c r="B75" s="1012"/>
      <c r="C75" s="133"/>
      <c r="E75" s="1270"/>
    </row>
    <row r="76" spans="1:5" ht="15">
      <c r="A76" s="1011" t="s">
        <v>1909</v>
      </c>
      <c r="B76" s="1274" t="s">
        <v>1477</v>
      </c>
      <c r="C76" s="1275"/>
      <c r="E76" s="1270"/>
    </row>
    <row r="77" spans="1:5" ht="15">
      <c r="A77" s="1011" t="s">
        <v>1910</v>
      </c>
      <c r="B77" s="1012"/>
      <c r="C77" s="133"/>
      <c r="E77" s="1270"/>
    </row>
    <row r="78" spans="1:5" ht="15">
      <c r="A78" s="1011"/>
      <c r="B78" s="1012"/>
      <c r="C78" s="133"/>
      <c r="E78" s="1270"/>
    </row>
    <row r="79" spans="1:5" ht="15">
      <c r="A79" s="1011" t="s">
        <v>1911</v>
      </c>
      <c r="B79" s="1012"/>
      <c r="C79" s="133"/>
      <c r="E79" s="1270"/>
    </row>
    <row r="80" spans="1:5" ht="15">
      <c r="A80" s="1011" t="s">
        <v>1449</v>
      </c>
      <c r="B80" s="1274" t="s">
        <v>1478</v>
      </c>
      <c r="C80" s="1275"/>
      <c r="E80" s="1270"/>
    </row>
    <row r="81" spans="1:5" ht="15">
      <c r="A81" s="1011" t="s">
        <v>1928</v>
      </c>
      <c r="B81" s="1012"/>
      <c r="C81" s="133"/>
      <c r="E81" s="1270"/>
    </row>
  </sheetData>
  <sheetProtection password="EC35" sheet="1" objects="1" scenarios="1"/>
  <mergeCells count="25">
    <mergeCell ref="B8:C8"/>
    <mergeCell ref="B5:C5"/>
    <mergeCell ref="B3:C3"/>
    <mergeCell ref="B1:C1"/>
    <mergeCell ref="B17:C17"/>
    <mergeCell ref="B22:C22"/>
    <mergeCell ref="B24:C24"/>
    <mergeCell ref="B28:C28"/>
    <mergeCell ref="B46:C46"/>
    <mergeCell ref="B49:C49"/>
    <mergeCell ref="B53:C53"/>
    <mergeCell ref="B32:C32"/>
    <mergeCell ref="B34:C34"/>
    <mergeCell ref="B37:C37"/>
    <mergeCell ref="B42:C42"/>
    <mergeCell ref="E1:E81"/>
    <mergeCell ref="B72:C73"/>
    <mergeCell ref="B74:C74"/>
    <mergeCell ref="B76:C76"/>
    <mergeCell ref="B80:C80"/>
    <mergeCell ref="B57:C57"/>
    <mergeCell ref="B60:C60"/>
    <mergeCell ref="B62:C62"/>
    <mergeCell ref="B65:C65"/>
    <mergeCell ref="B44:C44"/>
  </mergeCells>
  <hyperlinks>
    <hyperlink ref="B3" r:id="rId1" display="CRA Website"/>
    <hyperlink ref="B8" r:id="rId2" display="Universal Child Care Benefit"/>
    <hyperlink ref="B5" r:id="rId3" display="Line 117"/>
    <hyperlink ref="B11" r:id="rId4" display="119"/>
    <hyperlink ref="C11" r:id="rId5" display="223"/>
    <hyperlink ref="B12" r:id="rId6" display="375"/>
    <hyperlink ref="C12" r:id="rId7" display="376"/>
    <hyperlink ref="B13" r:id="rId8" display="378"/>
    <hyperlink ref="C13" r:id="rId9" display="450"/>
    <hyperlink ref="B17:C17" r:id="rId10" display="Line 120"/>
    <hyperlink ref="B22:C22" r:id="rId11" display="Line 127"/>
    <hyperlink ref="B24:C24" r:id="rId12" display="Pamphlet P 113"/>
    <hyperlink ref="B28:C28" r:id="rId13" display="Line 130"/>
    <hyperlink ref="B32:C32" r:id="rId14" display="Line 229"/>
    <hyperlink ref="B34:C34" r:id="rId15" display="T4044"/>
    <hyperlink ref="B37:C37" r:id="rId16" display="Line 252"/>
    <hyperlink ref="B42:C42" r:id="rId17" display="Line 254"/>
    <hyperlink ref="B44:C44" r:id="rId18" display="T4037"/>
    <hyperlink ref="B46:C46" r:id="rId19" display="Line 301"/>
    <hyperlink ref="B49:C49" r:id="rId20" display="Line 363"/>
    <hyperlink ref="B53:C53" r:id="rId21" display="Line 364"/>
    <hyperlink ref="B57:C57" r:id="rId22" display="Line 314"/>
    <hyperlink ref="B60:C60" r:id="rId23" display="Line 323"/>
    <hyperlink ref="B62:C62" r:id="rId24" display="Textbook Amount"/>
    <hyperlink ref="B65:C65" r:id="rId25" display="Line 412"/>
    <hyperlink ref="B72:C73" r:id="rId26" display="Apprentice Job "/>
    <hyperlink ref="B74:C74" r:id="rId27" display="T2038(IND)"/>
    <hyperlink ref="B76:C76" r:id="rId28" display="Line 425"/>
    <hyperlink ref="B80:C80" r:id="rId29" display="Line 452"/>
    <hyperlink ref="E1:E81" location="'GO TO'!A1" display="     "/>
  </hyperlinks>
  <printOptions/>
  <pageMargins left="0.75" right="0.75" top="1" bottom="1" header="0.5" footer="0.5"/>
  <pageSetup horizontalDpi="600" verticalDpi="600" orientation="portrait" r:id="rId30"/>
</worksheet>
</file>

<file path=xl/worksheets/sheet20.xml><?xml version="1.0" encoding="utf-8"?>
<worksheet xmlns="http://schemas.openxmlformats.org/spreadsheetml/2006/main" xmlns:r="http://schemas.openxmlformats.org/officeDocument/2006/relationships">
  <sheetPr codeName="Sheet16" transitionEvaluation="1">
    <pageSetUpPr fitToPage="1"/>
  </sheetPr>
  <dimension ref="A1:K58"/>
  <sheetViews>
    <sheetView showGridLines="0" zoomScale="75" zoomScaleNormal="75" workbookViewId="0" topLeftCell="A1">
      <selection activeCell="A2" sqref="A2"/>
    </sheetView>
  </sheetViews>
  <sheetFormatPr defaultColWidth="9.77734375" defaultRowHeight="15"/>
  <cols>
    <col min="1" max="1" width="32.77734375" style="619" customWidth="1"/>
    <col min="2" max="2" width="5.77734375" style="619" customWidth="1"/>
    <col min="3" max="3" width="12.77734375" style="619" customWidth="1"/>
    <col min="4" max="4" width="5.77734375" style="619" customWidth="1"/>
    <col min="5" max="5" width="12.77734375" style="619" customWidth="1"/>
    <col min="6" max="6" width="5.77734375" style="619" customWidth="1"/>
    <col min="7" max="7" width="12.77734375" style="619" customWidth="1"/>
    <col min="8" max="8" width="5.77734375" style="619" customWidth="1"/>
    <col min="9" max="9" width="12.77734375" style="619" customWidth="1"/>
    <col min="10" max="10" width="5.77734375" style="619" customWidth="1"/>
    <col min="11" max="16384" width="9.77734375" style="619" customWidth="1"/>
  </cols>
  <sheetData>
    <row r="1" spans="1:11" ht="23.25">
      <c r="A1" s="141" t="str">
        <f>"T1-"&amp;yeartext</f>
        <v>T1-2006</v>
      </c>
      <c r="B1" s="80"/>
      <c r="C1" s="80"/>
      <c r="D1" s="1187" t="s">
        <v>701</v>
      </c>
      <c r="E1" s="80"/>
      <c r="F1" s="80"/>
      <c r="G1" s="80"/>
      <c r="H1" s="80"/>
      <c r="I1" s="80"/>
      <c r="J1" s="1172" t="s">
        <v>702</v>
      </c>
      <c r="K1" s="1339" t="s">
        <v>1793</v>
      </c>
    </row>
    <row r="2" spans="1:11" ht="23.25">
      <c r="A2" s="80"/>
      <c r="B2" s="80"/>
      <c r="C2" s="80"/>
      <c r="D2" s="1187" t="s">
        <v>790</v>
      </c>
      <c r="E2" s="80"/>
      <c r="F2" s="80"/>
      <c r="G2" s="80"/>
      <c r="H2" s="80"/>
      <c r="I2" s="80"/>
      <c r="J2" s="80"/>
      <c r="K2" s="1339"/>
    </row>
    <row r="3" spans="1:11" ht="6.75" customHeight="1">
      <c r="A3" s="80"/>
      <c r="B3" s="80"/>
      <c r="C3" s="80"/>
      <c r="D3" s="80"/>
      <c r="E3" s="80"/>
      <c r="F3" s="80"/>
      <c r="G3" s="80"/>
      <c r="H3" s="80"/>
      <c r="I3" s="80"/>
      <c r="J3" s="80"/>
      <c r="K3" s="1339"/>
    </row>
    <row r="4" spans="1:11" ht="15.75">
      <c r="A4" s="99" t="s">
        <v>1944</v>
      </c>
      <c r="B4" s="80"/>
      <c r="C4" s="80"/>
      <c r="D4" s="80"/>
      <c r="E4" s="80"/>
      <c r="F4" s="80"/>
      <c r="G4" s="80"/>
      <c r="H4" s="80"/>
      <c r="I4" s="80"/>
      <c r="J4" s="850"/>
      <c r="K4" s="1339"/>
    </row>
    <row r="5" spans="1:11" ht="18" customHeight="1">
      <c r="A5" s="80" t="str">
        <f>"●"&amp;"  You will not be deducting on your return for "&amp;yeartext&amp;" all of the unused RRSP contributions (amount B) on your "&amp;CHAR(34)&amp;yeartext&amp;" RRSP"&amp;" Deduction"</f>
        <v>●  You will not be deducting on your return for 2006 all of the unused RRSP contributions (amount B) on your "2006 RRSP Deduction</v>
      </c>
      <c r="B5" s="80"/>
      <c r="C5" s="80"/>
      <c r="D5" s="80"/>
      <c r="E5" s="80"/>
      <c r="F5" s="80"/>
      <c r="G5" s="80"/>
      <c r="H5" s="80"/>
      <c r="I5" s="80"/>
      <c r="J5" s="80"/>
      <c r="K5" s="1339"/>
    </row>
    <row r="6" spans="1:11" ht="15">
      <c r="A6" s="82" t="s">
        <v>1712</v>
      </c>
      <c r="B6" s="825"/>
      <c r="C6" s="80"/>
      <c r="D6" s="80"/>
      <c r="E6" s="80"/>
      <c r="F6" s="80"/>
      <c r="G6" s="80"/>
      <c r="H6" s="80"/>
      <c r="I6" s="1206" t="str">
        <f>"for "&amp;yeartext</f>
        <v>for 2006</v>
      </c>
      <c r="J6" s="80"/>
      <c r="K6" s="1339"/>
    </row>
    <row r="7" spans="1:11" ht="17.25" customHeight="1">
      <c r="A7" s="80" t="str">
        <f>"●"&amp;"  You will not be deducting on your return for "&amp;yeartext&amp;" all of the RRSP contributions you made from"&amp;" March 2, "&amp;yeartext&amp;", to March 1, "&amp;nextyeartext&amp;"."</f>
        <v>●  You will not be deducting on your return for 2006 all of the RRSP contributions you made from March 2, 2006, to March 1, 2007.</v>
      </c>
      <c r="B7" s="80"/>
      <c r="C7" s="80"/>
      <c r="D7" s="80"/>
      <c r="E7" s="80"/>
      <c r="F7" s="80"/>
      <c r="G7" s="80"/>
      <c r="H7" s="80"/>
      <c r="I7" s="80"/>
      <c r="J7" s="80"/>
      <c r="K7" s="1339"/>
    </row>
    <row r="8" spans="1:11" ht="24" customHeight="1">
      <c r="A8" s="80" t="s">
        <v>1702</v>
      </c>
      <c r="B8" s="80"/>
      <c r="C8" s="80"/>
      <c r="D8" s="80"/>
      <c r="E8" s="80"/>
      <c r="F8" s="80"/>
      <c r="G8" s="80"/>
      <c r="H8" s="80"/>
      <c r="I8" s="80"/>
      <c r="J8" s="80"/>
      <c r="K8" s="1339"/>
    </row>
    <row r="9" spans="1:11" ht="20.25" customHeight="1">
      <c r="A9" s="80" t="str">
        <f>"●"&amp;"  You are designating contributions made to your RRSP as a "&amp;yeartext&amp;" repayment under the Home Buyers' Plan (HBP) or the Lifelong"</f>
        <v>●  You are designating contributions made to your RRSP as a 2006 repayment under the Home Buyers' Plan (HBP) or the Lifelong</v>
      </c>
      <c r="B9" s="80"/>
      <c r="C9" s="80"/>
      <c r="D9" s="80"/>
      <c r="E9" s="80"/>
      <c r="F9" s="80"/>
      <c r="G9" s="80"/>
      <c r="H9" s="80"/>
      <c r="I9" s="80"/>
      <c r="J9" s="80"/>
      <c r="K9" s="1339"/>
    </row>
    <row r="10" spans="1:11" ht="15">
      <c r="A10" s="80" t="s">
        <v>366</v>
      </c>
      <c r="B10" s="80"/>
      <c r="C10" s="80"/>
      <c r="D10" s="80"/>
      <c r="E10" s="80"/>
      <c r="F10" s="80"/>
      <c r="G10" s="80"/>
      <c r="H10" s="80"/>
      <c r="I10" s="80"/>
      <c r="J10" s="80"/>
      <c r="K10" s="1339"/>
    </row>
    <row r="11" spans="1:11" ht="21" customHeight="1">
      <c r="A11" s="80" t="str">
        <f>"●"&amp;"  You withdrew funds from your RRSP in "&amp;yeartext&amp;" under the HBP or the LLP."</f>
        <v>●  You withdrew funds from your RRSP in 2006 under the HBP or the LLP.</v>
      </c>
      <c r="B11" s="80"/>
      <c r="C11" s="80"/>
      <c r="D11" s="80"/>
      <c r="E11" s="80"/>
      <c r="F11" s="80"/>
      <c r="G11" s="80"/>
      <c r="H11" s="80"/>
      <c r="I11" s="80"/>
      <c r="J11" s="80"/>
      <c r="K11" s="1339"/>
    </row>
    <row r="12" spans="1:11" ht="24.75" customHeight="1">
      <c r="A12" s="99" t="s">
        <v>42</v>
      </c>
      <c r="B12" s="80"/>
      <c r="C12" s="80"/>
      <c r="D12" s="80"/>
      <c r="E12" s="80"/>
      <c r="F12" s="80"/>
      <c r="G12" s="80"/>
      <c r="H12" s="80"/>
      <c r="I12" s="80"/>
      <c r="J12" s="80"/>
      <c r="K12" s="1339"/>
    </row>
    <row r="13" spans="1:11" ht="15.75">
      <c r="A13" s="99" t="s">
        <v>43</v>
      </c>
      <c r="B13" s="80"/>
      <c r="C13" s="80"/>
      <c r="D13" s="80"/>
      <c r="E13" s="108"/>
      <c r="F13" s="80"/>
      <c r="G13" s="80"/>
      <c r="H13" s="80"/>
      <c r="I13" s="80"/>
      <c r="J13" s="81" t="s">
        <v>367</v>
      </c>
      <c r="K13" s="1339"/>
    </row>
    <row r="14" spans="1:11" ht="15">
      <c r="A14" s="80" t="s">
        <v>368</v>
      </c>
      <c r="B14" s="80"/>
      <c r="C14" s="80"/>
      <c r="D14" s="80"/>
      <c r="E14" s="80"/>
      <c r="F14" s="80"/>
      <c r="G14" s="80"/>
      <c r="H14" s="80"/>
      <c r="I14" s="80"/>
      <c r="J14" s="80"/>
      <c r="K14" s="1339"/>
    </row>
    <row r="15" spans="1:11" ht="25.5" customHeight="1">
      <c r="A15" s="856" t="s">
        <v>1946</v>
      </c>
      <c r="B15" s="80"/>
      <c r="C15" s="80"/>
      <c r="D15" s="80"/>
      <c r="E15" s="80"/>
      <c r="F15" s="80"/>
      <c r="G15" s="80"/>
      <c r="H15" s="80"/>
      <c r="I15" s="80"/>
      <c r="J15" s="80"/>
      <c r="K15" s="1339"/>
    </row>
    <row r="16" spans="1:11" ht="15.75">
      <c r="A16" s="99" t="s">
        <v>1703</v>
      </c>
      <c r="B16" s="80"/>
      <c r="C16" s="80" t="str">
        <f>CHAR(34)&amp;yeartext&amp;" RRSP Deduction Limit Statement "&amp;CHAR(34)&amp;"  on"</f>
        <v>"2006 RRSP Deduction Limit Statement "  on</v>
      </c>
      <c r="D16" s="80"/>
      <c r="E16" s="80"/>
      <c r="F16" s="80"/>
      <c r="G16" s="80" t="s">
        <v>1704</v>
      </c>
      <c r="H16" s="80"/>
      <c r="I16" s="80"/>
      <c r="J16" s="80"/>
      <c r="K16" s="1339"/>
    </row>
    <row r="17" spans="1:11" ht="15.75">
      <c r="A17" s="147" t="str">
        <f>"of Assessment, Notice of Reassessment, or Form T1208, RRSP Information for "&amp;yeartext</f>
        <v>of Assessment, Notice of Reassessment, or Form T1208, RRSP Information for 2006</v>
      </c>
      <c r="B17" s="149"/>
      <c r="C17" s="149"/>
      <c r="D17" s="149"/>
      <c r="E17" s="149"/>
      <c r="F17" s="149"/>
      <c r="G17" s="149"/>
      <c r="H17" s="80"/>
      <c r="I17" s="108"/>
      <c r="J17" s="161">
        <v>1</v>
      </c>
      <c r="K17" s="1339"/>
    </row>
    <row r="18" spans="1:11" ht="15.75">
      <c r="A18" s="148" t="s">
        <v>1012</v>
      </c>
      <c r="B18" s="148"/>
      <c r="C18" s="148"/>
      <c r="D18" s="148"/>
      <c r="E18" s="148"/>
      <c r="F18" s="148"/>
      <c r="G18" s="148"/>
      <c r="H18" s="80"/>
      <c r="I18" s="80"/>
      <c r="J18" s="161"/>
      <c r="K18" s="1339"/>
    </row>
    <row r="19" spans="1:11" ht="15.75">
      <c r="A19" s="149" t="str">
        <f>"  March 2, "&amp;yeartext&amp;" to December 31, "&amp;yeartext&amp;" (attach all receipts)"</f>
        <v>  March 2, 2006 to December 31, 2006 (attach all receipts)</v>
      </c>
      <c r="B19" s="149"/>
      <c r="C19" s="149"/>
      <c r="D19" s="149"/>
      <c r="E19" s="149"/>
      <c r="F19" s="125"/>
      <c r="G19" s="108"/>
      <c r="H19" s="161">
        <v>2</v>
      </c>
      <c r="I19" s="80"/>
      <c r="J19" s="161"/>
      <c r="K19" s="1339"/>
    </row>
    <row r="20" spans="1:11" ht="16.5" thickBot="1">
      <c r="A20" s="149" t="str">
        <f>"  January 1, "&amp;nextyeartext&amp;", to March 1, "&amp;nextyeartext&amp;" (attach all receipts)"</f>
        <v>  January 1, 2007, to March 1, 2007 (attach all receipts)</v>
      </c>
      <c r="B20" s="149"/>
      <c r="C20" s="149"/>
      <c r="D20" s="149"/>
      <c r="E20" s="149"/>
      <c r="F20" s="125"/>
      <c r="G20" s="736"/>
      <c r="H20" s="161">
        <v>3</v>
      </c>
      <c r="I20" s="80"/>
      <c r="J20" s="161"/>
      <c r="K20" s="1339"/>
    </row>
    <row r="21" spans="1:11" ht="16.5" thickBot="1">
      <c r="A21" s="149"/>
      <c r="B21" s="149"/>
      <c r="C21" s="149"/>
      <c r="D21" s="149"/>
      <c r="E21" s="156" t="s">
        <v>1358</v>
      </c>
      <c r="F21" s="3">
        <v>245</v>
      </c>
      <c r="G21" s="388">
        <f>+G19+G20</f>
        <v>0</v>
      </c>
      <c r="H21" s="1186" t="s">
        <v>1600</v>
      </c>
      <c r="I21" s="737">
        <f>+G21</f>
        <v>0</v>
      </c>
      <c r="J21" s="161">
        <v>4</v>
      </c>
      <c r="K21" s="1339"/>
    </row>
    <row r="22" spans="1:11" ht="15.75">
      <c r="A22" s="77"/>
      <c r="B22" s="77"/>
      <c r="C22" s="77"/>
      <c r="D22" s="77"/>
      <c r="E22" s="77"/>
      <c r="F22" s="77"/>
      <c r="G22" s="93" t="s">
        <v>1705</v>
      </c>
      <c r="H22" s="80"/>
      <c r="I22" s="388">
        <f>+I17+I21</f>
        <v>0</v>
      </c>
      <c r="J22" s="161">
        <v>5</v>
      </c>
      <c r="K22" s="1339"/>
    </row>
    <row r="23" spans="1:11" ht="33" customHeight="1">
      <c r="A23" s="1355" t="s">
        <v>1945</v>
      </c>
      <c r="B23" s="1356"/>
      <c r="C23" s="1356"/>
      <c r="D23" s="1356"/>
      <c r="E23" s="1356"/>
      <c r="F23" s="1356"/>
      <c r="G23" s="1356"/>
      <c r="H23" s="80"/>
      <c r="I23" s="745"/>
      <c r="J23" s="161"/>
      <c r="K23" s="1339"/>
    </row>
    <row r="24" spans="1:11" ht="24.75" customHeight="1">
      <c r="A24" s="852" t="s">
        <v>1947</v>
      </c>
      <c r="B24" s="125"/>
      <c r="C24" s="125"/>
      <c r="D24" s="125"/>
      <c r="E24" s="125"/>
      <c r="F24" s="80"/>
      <c r="G24" s="80"/>
      <c r="H24" s="80"/>
      <c r="I24" s="80"/>
      <c r="J24" s="117"/>
      <c r="K24" s="1339"/>
    </row>
    <row r="25" spans="1:11" ht="15.75">
      <c r="A25" s="125" t="str">
        <f>"Contributions made to your RRSP from January 1, "&amp;yeartext&amp;", to March 1, "&amp;nextyeartext&amp;", that you are designating as your"</f>
        <v>Contributions made to your RRSP from January 1, 2006, to March 1, 2007, that you are designating as your</v>
      </c>
      <c r="B25" s="125"/>
      <c r="C25" s="125"/>
      <c r="D25" s="125"/>
      <c r="E25" s="125"/>
      <c r="F25" s="80"/>
      <c r="G25" s="80"/>
      <c r="H25" s="80"/>
      <c r="I25" s="80"/>
      <c r="J25" s="117"/>
      <c r="K25" s="1339"/>
    </row>
    <row r="26" spans="1:11" ht="15.75">
      <c r="A26" s="125" t="str">
        <f>"repayments under the HBP and LLP for "&amp;yeartext&amp;".  "</f>
        <v>repayments under the HBP and LLP for 2006.  </v>
      </c>
      <c r="B26" s="125"/>
      <c r="C26" s="125" t="s">
        <v>1713</v>
      </c>
      <c r="D26" s="125"/>
      <c r="E26" s="125"/>
      <c r="F26" s="80"/>
      <c r="G26" s="80"/>
      <c r="H26" s="80"/>
      <c r="I26" s="80"/>
      <c r="J26" s="117"/>
      <c r="K26" s="1339"/>
    </row>
    <row r="27" spans="1:11" ht="15.75">
      <c r="A27" s="125" t="str">
        <f>"repayment on your "&amp;lastyeartext&amp;" return, or that was refunded to you.  "</f>
        <v>repayment on your 2005 return, or that was refunded to you.  </v>
      </c>
      <c r="B27" s="125"/>
      <c r="C27" s="125"/>
      <c r="D27" s="125" t="s">
        <v>1714</v>
      </c>
      <c r="E27" s="125"/>
      <c r="F27" s="80"/>
      <c r="G27" s="80"/>
      <c r="H27" s="80"/>
      <c r="I27" s="80"/>
      <c r="J27" s="117"/>
      <c r="K27" s="1339"/>
    </row>
    <row r="28" spans="1:11" ht="16.5" customHeight="1">
      <c r="A28" s="851" t="s">
        <v>1948</v>
      </c>
      <c r="B28" s="125"/>
      <c r="C28" s="125"/>
      <c r="D28" s="125"/>
      <c r="E28" s="125"/>
      <c r="F28" s="80"/>
      <c r="G28" s="80"/>
      <c r="H28" s="80"/>
      <c r="I28" s="80"/>
      <c r="J28" s="117"/>
      <c r="K28" s="1339"/>
    </row>
    <row r="29" spans="1:11" ht="15.75">
      <c r="A29" s="100" t="s">
        <v>202</v>
      </c>
      <c r="B29" s="77"/>
      <c r="C29" s="77"/>
      <c r="D29" s="77"/>
      <c r="E29" s="77"/>
      <c r="F29" s="3">
        <v>246</v>
      </c>
      <c r="G29" s="108"/>
      <c r="H29" s="161">
        <v>6</v>
      </c>
      <c r="I29" s="80"/>
      <c r="J29" s="117"/>
      <c r="K29" s="1339"/>
    </row>
    <row r="30" spans="1:11" ht="16.5" thickBot="1">
      <c r="A30" s="98" t="s">
        <v>203</v>
      </c>
      <c r="B30" s="78"/>
      <c r="C30" s="78"/>
      <c r="D30" s="78"/>
      <c r="E30" s="78"/>
      <c r="F30" s="3">
        <v>262</v>
      </c>
      <c r="G30" s="736"/>
      <c r="H30" s="161">
        <v>7</v>
      </c>
      <c r="I30" s="80"/>
      <c r="J30" s="117"/>
      <c r="K30" s="1339"/>
    </row>
    <row r="31" spans="1:11" ht="16.5" thickBot="1">
      <c r="A31" s="78"/>
      <c r="B31" s="78"/>
      <c r="C31" s="78"/>
      <c r="D31" s="78"/>
      <c r="E31" s="92" t="s">
        <v>1110</v>
      </c>
      <c r="F31" s="80"/>
      <c r="G31" s="799">
        <f>G29+G30</f>
        <v>0</v>
      </c>
      <c r="H31" s="1186" t="s">
        <v>1600</v>
      </c>
      <c r="I31" s="737">
        <f>G31</f>
        <v>0</v>
      </c>
      <c r="J31" s="161">
        <v>8</v>
      </c>
      <c r="K31" s="1339"/>
    </row>
    <row r="32" spans="1:11" ht="6.75" customHeight="1">
      <c r="A32" s="125"/>
      <c r="B32" s="125"/>
      <c r="C32" s="125"/>
      <c r="D32" s="125"/>
      <c r="E32" s="105"/>
      <c r="F32" s="125"/>
      <c r="G32" s="80"/>
      <c r="H32" s="80"/>
      <c r="I32" s="80"/>
      <c r="J32" s="161"/>
      <c r="K32" s="1339"/>
    </row>
    <row r="33" spans="1:11" ht="18">
      <c r="A33" s="852" t="s">
        <v>1951</v>
      </c>
      <c r="B33" s="125"/>
      <c r="C33" s="125"/>
      <c r="D33" s="125"/>
      <c r="E33" s="105"/>
      <c r="F33" s="125"/>
      <c r="G33" s="80"/>
      <c r="H33" s="80"/>
      <c r="I33" s="80"/>
      <c r="J33" s="161"/>
      <c r="K33" s="1339"/>
    </row>
    <row r="34" spans="1:11" ht="15.75">
      <c r="A34" s="77" t="s">
        <v>1950</v>
      </c>
      <c r="B34" s="77"/>
      <c r="C34" s="77"/>
      <c r="D34" s="77"/>
      <c r="E34" s="77"/>
      <c r="F34" s="77"/>
      <c r="G34" s="93" t="s">
        <v>1949</v>
      </c>
      <c r="H34" s="80"/>
      <c r="I34" s="388">
        <f>I22-I31</f>
        <v>0</v>
      </c>
      <c r="J34" s="161">
        <v>9</v>
      </c>
      <c r="K34" s="1339"/>
    </row>
    <row r="35" spans="1:11" ht="15.75">
      <c r="A35" s="125" t="str">
        <f>"RRSP contributions you are deducting for "&amp;yeartext&amp;" (not to exceed the lesser of the amount on"</f>
        <v>RRSP contributions you are deducting for 2006 (not to exceed the lesser of the amount on</v>
      </c>
      <c r="B35" s="125"/>
      <c r="C35" s="125"/>
      <c r="D35" s="125"/>
      <c r="E35" s="125"/>
      <c r="F35" s="80"/>
      <c r="G35" s="81"/>
      <c r="H35" s="80"/>
      <c r="I35" s="80"/>
      <c r="J35" s="161"/>
      <c r="K35" s="1339"/>
    </row>
    <row r="36" spans="1:11" ht="15.75">
      <c r="A36" s="125" t="s">
        <v>1706</v>
      </c>
      <c r="B36" s="125"/>
      <c r="C36" s="125"/>
      <c r="D36" s="125" t="str">
        <f>yeartext&amp;" (amount A) of your"</f>
        <v>2006 (amount A) of your</v>
      </c>
      <c r="E36" s="125"/>
      <c r="F36" s="80"/>
      <c r="G36" s="80"/>
      <c r="H36" s="80"/>
      <c r="I36" s="80"/>
      <c r="J36" s="117"/>
      <c r="K36" s="1339"/>
    </row>
    <row r="37" spans="1:11" ht="15.75">
      <c r="A37" s="125" t="str">
        <f>yeartext&amp;" RRSP Deduction Limit Statement "</f>
        <v>2006 RRSP Deduction Limit Statement </v>
      </c>
      <c r="B37" s="125" t="s">
        <v>1707</v>
      </c>
      <c r="C37" s="125"/>
      <c r="D37" s="125"/>
      <c r="E37" s="125"/>
      <c r="F37" s="80"/>
      <c r="G37" s="80"/>
      <c r="H37" s="80"/>
      <c r="I37" s="80"/>
      <c r="J37" s="117"/>
      <c r="K37" s="1339"/>
    </row>
    <row r="38" spans="1:11" ht="15.75">
      <c r="A38" s="147" t="s">
        <v>1708</v>
      </c>
      <c r="B38" s="149" t="str">
        <f>"information for "&amp;yeartext&amp;")"</f>
        <v>information for 2006)</v>
      </c>
      <c r="C38" s="149"/>
      <c r="D38" s="149"/>
      <c r="E38" s="149"/>
      <c r="F38" s="80"/>
      <c r="G38" s="108">
        <f>I34</f>
        <v>0</v>
      </c>
      <c r="H38" s="161">
        <v>10</v>
      </c>
      <c r="I38" s="80"/>
      <c r="J38" s="117"/>
      <c r="K38" s="1339"/>
    </row>
    <row r="39" spans="1:11" ht="16.5" thickBot="1">
      <c r="A39" s="103" t="s">
        <v>1760</v>
      </c>
      <c r="B39" s="125"/>
      <c r="C39" s="125"/>
      <c r="D39" s="125"/>
      <c r="E39" s="125"/>
      <c r="F39" s="3">
        <v>240</v>
      </c>
      <c r="G39" s="736"/>
      <c r="H39" s="161">
        <v>11</v>
      </c>
      <c r="I39" s="80"/>
      <c r="J39" s="117"/>
      <c r="K39" s="1339"/>
    </row>
    <row r="40" spans="1:11" ht="15.75">
      <c r="A40" s="150"/>
      <c r="B40" s="150"/>
      <c r="C40" s="150"/>
      <c r="D40" s="150"/>
      <c r="E40" s="157" t="s">
        <v>1709</v>
      </c>
      <c r="F40" s="148"/>
      <c r="G40" s="388">
        <f>+G38+G39</f>
        <v>0</v>
      </c>
      <c r="H40" s="161">
        <v>12</v>
      </c>
      <c r="I40" s="80"/>
      <c r="J40" s="117"/>
      <c r="K40" s="1339"/>
    </row>
    <row r="41" spans="1:11" ht="15.75">
      <c r="A41" s="151" t="str">
        <f>yeartext&amp;" RRSP deduction:  "</f>
        <v>2006 RRSP deduction:  </v>
      </c>
      <c r="B41" s="148" t="s">
        <v>1710</v>
      </c>
      <c r="C41" s="148"/>
      <c r="D41" s="148"/>
      <c r="E41" s="158"/>
      <c r="F41" s="125"/>
      <c r="G41" s="80"/>
      <c r="H41" s="110"/>
      <c r="I41" s="80"/>
      <c r="J41" s="117"/>
      <c r="K41" s="1339"/>
    </row>
    <row r="42" spans="1:11" ht="15.75">
      <c r="A42" s="152"/>
      <c r="B42" s="853" t="s">
        <v>211</v>
      </c>
      <c r="C42" s="152"/>
      <c r="D42" s="149"/>
      <c r="E42" s="152"/>
      <c r="F42" s="149"/>
      <c r="G42" s="77"/>
      <c r="H42" s="162">
        <v>208</v>
      </c>
      <c r="I42" s="660">
        <f>+MINA(I34,G40)</f>
        <v>0</v>
      </c>
      <c r="J42" s="161">
        <v>13</v>
      </c>
      <c r="K42" s="1339"/>
    </row>
    <row r="43" spans="1:11" ht="26.25" customHeight="1">
      <c r="A43" s="854" t="s">
        <v>1761</v>
      </c>
      <c r="B43" s="148"/>
      <c r="C43" s="148"/>
      <c r="D43" s="148"/>
      <c r="E43" s="153"/>
      <c r="F43" s="148"/>
      <c r="G43" s="80"/>
      <c r="H43" s="80"/>
      <c r="I43" s="80"/>
      <c r="J43" s="161"/>
      <c r="K43" s="1339"/>
    </row>
    <row r="44" spans="1:11" ht="19.5" customHeight="1">
      <c r="A44" s="855" t="s">
        <v>1711</v>
      </c>
      <c r="B44" s="149"/>
      <c r="C44" s="149"/>
      <c r="D44" s="149"/>
      <c r="E44" s="149"/>
      <c r="F44" s="149"/>
      <c r="G44" s="156"/>
      <c r="H44" s="80"/>
      <c r="I44" s="388">
        <f>I34-I42</f>
        <v>0</v>
      </c>
      <c r="J44" s="161">
        <v>14</v>
      </c>
      <c r="K44" s="1339"/>
    </row>
    <row r="45" spans="1:11" ht="15">
      <c r="A45" s="80"/>
      <c r="B45" s="80"/>
      <c r="C45" s="80"/>
      <c r="D45" s="80"/>
      <c r="E45" s="80"/>
      <c r="F45" s="80"/>
      <c r="G45" s="81" t="str">
        <f>"We will show the amount of line 14 on your "&amp;yeartext</f>
        <v>We will show the amount of line 14 on your 2006</v>
      </c>
      <c r="H45" s="80"/>
      <c r="I45" s="816" t="s">
        <v>847</v>
      </c>
      <c r="J45" s="80"/>
      <c r="K45" s="1339"/>
    </row>
    <row r="46" spans="1:11" ht="12.75" customHeight="1">
      <c r="A46" s="80"/>
      <c r="B46" s="80"/>
      <c r="C46" s="80"/>
      <c r="D46" s="80"/>
      <c r="E46" s="80"/>
      <c r="F46" s="80"/>
      <c r="G46" s="80"/>
      <c r="H46" s="80"/>
      <c r="I46" s="81"/>
      <c r="J46" s="80"/>
      <c r="K46" s="1339"/>
    </row>
    <row r="47" spans="1:11" ht="15.75">
      <c r="A47" s="80"/>
      <c r="B47" s="80"/>
      <c r="C47" s="80"/>
      <c r="D47" s="80"/>
      <c r="E47" s="81"/>
      <c r="F47" s="80"/>
      <c r="G47" s="81"/>
      <c r="H47" s="161"/>
      <c r="I47" s="80"/>
      <c r="J47" s="80"/>
      <c r="K47" s="1339"/>
    </row>
    <row r="48" spans="1:11" ht="18">
      <c r="A48" s="122" t="str">
        <f>"PART E - "&amp;yeartext&amp;" withdrawals under the HBP and the LLP"</f>
        <v>PART E - 2006 withdrawals under the HBP and the LLP</v>
      </c>
      <c r="B48" s="84"/>
      <c r="C48" s="84"/>
      <c r="D48" s="84"/>
      <c r="E48" s="106"/>
      <c r="F48" s="84"/>
      <c r="G48" s="106"/>
      <c r="H48" s="163"/>
      <c r="I48" s="143"/>
      <c r="J48" s="80"/>
      <c r="K48" s="1339"/>
    </row>
    <row r="49" spans="1:11" ht="6" customHeight="1">
      <c r="A49" s="746"/>
      <c r="B49" s="125"/>
      <c r="C49" s="125"/>
      <c r="D49" s="125"/>
      <c r="E49" s="105"/>
      <c r="F49" s="125"/>
      <c r="G49" s="105"/>
      <c r="H49" s="164"/>
      <c r="I49" s="144"/>
      <c r="J49" s="80"/>
      <c r="K49" s="1339"/>
    </row>
    <row r="50" spans="1:11" ht="15.75">
      <c r="A50" s="127" t="str">
        <f>"HBP: Enter the amount from box 27 of all your "&amp;yeartext&amp;" T4RSP slips"</f>
        <v>HBP: Enter the amount from box 27 of all your 2006 T4RSP slips</v>
      </c>
      <c r="B50" s="77"/>
      <c r="C50" s="77"/>
      <c r="D50" s="77"/>
      <c r="E50" s="93"/>
      <c r="F50" s="67">
        <v>247</v>
      </c>
      <c r="G50" s="388">
        <f>MISC!L72</f>
        <v>0</v>
      </c>
      <c r="H50" s="164">
        <v>15</v>
      </c>
      <c r="I50" s="144"/>
      <c r="J50" s="80"/>
      <c r="K50" s="1339"/>
    </row>
    <row r="51" spans="1:11" ht="15.75">
      <c r="A51" s="124" t="s">
        <v>1094</v>
      </c>
      <c r="B51" s="125"/>
      <c r="C51" s="125"/>
      <c r="D51" s="125"/>
      <c r="E51" s="105"/>
      <c r="F51" s="125"/>
      <c r="G51" s="105"/>
      <c r="H51" s="164"/>
      <c r="I51" s="144"/>
      <c r="J51" s="80"/>
      <c r="K51" s="1339"/>
    </row>
    <row r="52" spans="1:11" ht="20.25">
      <c r="A52" s="127" t="s">
        <v>893</v>
      </c>
      <c r="B52" s="77"/>
      <c r="C52" s="77"/>
      <c r="D52" s="77"/>
      <c r="E52" s="93"/>
      <c r="F52" s="67">
        <v>259</v>
      </c>
      <c r="G52" s="601" t="s">
        <v>288</v>
      </c>
      <c r="H52" s="164">
        <v>16</v>
      </c>
      <c r="I52" s="144"/>
      <c r="J52" s="80"/>
      <c r="K52" s="1339"/>
    </row>
    <row r="53" spans="1:11" ht="9.75" customHeight="1">
      <c r="A53" s="746"/>
      <c r="B53" s="125"/>
      <c r="C53" s="125"/>
      <c r="D53" s="125"/>
      <c r="E53" s="105"/>
      <c r="F53" s="125"/>
      <c r="G53" s="105"/>
      <c r="H53" s="164"/>
      <c r="I53" s="144"/>
      <c r="J53" s="80"/>
      <c r="K53" s="1339"/>
    </row>
    <row r="54" spans="1:11" ht="15.75">
      <c r="A54" s="155" t="str">
        <f>"LLP: Enter the amount from box 25 of all your "&amp;yeartext&amp;" T4RSP slips"</f>
        <v>LLP: Enter the amount from box 25 of all your 2006 T4RSP slips</v>
      </c>
      <c r="B54" s="149"/>
      <c r="C54" s="149"/>
      <c r="D54" s="149"/>
      <c r="E54" s="149"/>
      <c r="F54" s="67">
        <v>263</v>
      </c>
      <c r="G54" s="388">
        <f>MISC!L73</f>
        <v>0</v>
      </c>
      <c r="H54" s="164">
        <v>17</v>
      </c>
      <c r="I54" s="144"/>
      <c r="J54" s="110"/>
      <c r="K54" s="1339"/>
    </row>
    <row r="55" spans="1:11" ht="15.75">
      <c r="A55" s="124" t="s">
        <v>1762</v>
      </c>
      <c r="B55" s="125"/>
      <c r="C55" s="125"/>
      <c r="D55" s="125"/>
      <c r="E55" s="125"/>
      <c r="F55" s="125"/>
      <c r="G55" s="105"/>
      <c r="H55" s="125"/>
      <c r="I55" s="144"/>
      <c r="J55" s="110"/>
      <c r="K55" s="1339"/>
    </row>
    <row r="56" spans="1:11" ht="20.25">
      <c r="A56" s="155" t="s">
        <v>681</v>
      </c>
      <c r="B56" s="149"/>
      <c r="C56" s="149"/>
      <c r="D56" s="149"/>
      <c r="E56" s="149"/>
      <c r="F56" s="67">
        <v>264</v>
      </c>
      <c r="G56" s="601" t="s">
        <v>288</v>
      </c>
      <c r="H56" s="164">
        <v>18</v>
      </c>
      <c r="I56" s="144"/>
      <c r="J56" s="80"/>
      <c r="K56" s="1339"/>
    </row>
    <row r="57" spans="1:11" ht="15">
      <c r="A57" s="127"/>
      <c r="B57" s="77"/>
      <c r="C57" s="77"/>
      <c r="D57" s="77"/>
      <c r="E57" s="77"/>
      <c r="F57" s="77"/>
      <c r="G57" s="77"/>
      <c r="H57" s="77"/>
      <c r="I57" s="146"/>
      <c r="J57" s="80"/>
      <c r="K57" s="1339"/>
    </row>
    <row r="58" spans="1:11" ht="15">
      <c r="A58" s="80" t="s">
        <v>1821</v>
      </c>
      <c r="B58" s="80"/>
      <c r="C58" s="80"/>
      <c r="D58" s="80"/>
      <c r="E58" s="80"/>
      <c r="F58" s="80"/>
      <c r="G58" s="80"/>
      <c r="H58" s="80"/>
      <c r="I58" s="119"/>
      <c r="J58" s="80"/>
      <c r="K58" s="1339"/>
    </row>
  </sheetData>
  <sheetProtection password="EC35" sheet="1" objects="1" scenarios="1"/>
  <mergeCells count="2">
    <mergeCell ref="A23:G23"/>
    <mergeCell ref="K1:K58"/>
  </mergeCells>
  <dataValidations count="1">
    <dataValidation type="list" showInputMessage="1" showErrorMessage="1" sqref="G56 G52">
      <formula1>"X,','"</formula1>
    </dataValidation>
  </dataValidations>
  <hyperlinks>
    <hyperlink ref="K1:K58" location="'GO TO'!B16" display=" "/>
  </hyperlink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8" max="255" man="1"/>
  </rowBreaks>
  <ignoredErrors>
    <ignoredError sqref="G38" unlockedFormula="1"/>
  </ignoredErrors>
  <legacyDrawing r:id="rId2"/>
</worksheet>
</file>

<file path=xl/worksheets/sheet21.xml><?xml version="1.0" encoding="utf-8"?>
<worksheet xmlns="http://schemas.openxmlformats.org/spreadsheetml/2006/main" xmlns:r="http://schemas.openxmlformats.org/officeDocument/2006/relationships">
  <sheetPr codeName="Sheet17" transitionEvaluation="1">
    <pageSetUpPr fitToPage="1"/>
  </sheetPr>
  <dimension ref="A1:K32"/>
  <sheetViews>
    <sheetView showGridLines="0" zoomScale="75" zoomScaleNormal="75" workbookViewId="0" topLeftCell="A1">
      <selection activeCell="A2" sqref="A2"/>
    </sheetView>
  </sheetViews>
  <sheetFormatPr defaultColWidth="9.77734375" defaultRowHeight="15"/>
  <cols>
    <col min="1" max="1" width="26.77734375" style="619" customWidth="1"/>
    <col min="2" max="2" width="5.77734375" style="619" customWidth="1"/>
    <col min="3" max="3" width="12.77734375" style="619" customWidth="1"/>
    <col min="4" max="4" width="5.77734375" style="619" customWidth="1"/>
    <col min="5" max="5" width="12.77734375" style="619" customWidth="1"/>
    <col min="6" max="6" width="5.77734375" style="619" customWidth="1"/>
    <col min="7" max="7" width="12.77734375" style="619" customWidth="1"/>
    <col min="8" max="8" width="5.3359375" style="619" customWidth="1"/>
    <col min="9" max="9" width="12.77734375" style="619" customWidth="1"/>
    <col min="10" max="10" width="5.77734375" style="619" customWidth="1"/>
    <col min="11" max="16384" width="9.77734375" style="619" customWidth="1"/>
  </cols>
  <sheetData>
    <row r="1" spans="1:11" ht="23.25">
      <c r="A1" s="76" t="str">
        <f>"T1-"&amp;yeartext</f>
        <v>T1-2006</v>
      </c>
      <c r="B1" s="80"/>
      <c r="C1" s="224"/>
      <c r="D1" s="1185" t="s">
        <v>1244</v>
      </c>
      <c r="E1" s="80"/>
      <c r="F1" s="80"/>
      <c r="G1" s="80"/>
      <c r="H1" s="80"/>
      <c r="I1" s="80"/>
      <c r="J1" s="1172" t="s">
        <v>1848</v>
      </c>
      <c r="K1" s="1339" t="s">
        <v>1793</v>
      </c>
    </row>
    <row r="2" spans="1:11" ht="20.25">
      <c r="A2" s="80"/>
      <c r="B2" s="80"/>
      <c r="C2" s="224"/>
      <c r="D2" s="1185" t="s">
        <v>1849</v>
      </c>
      <c r="E2" s="80"/>
      <c r="F2" s="80"/>
      <c r="G2" s="80"/>
      <c r="H2" s="80"/>
      <c r="I2" s="80"/>
      <c r="J2" s="80"/>
      <c r="K2" s="1339"/>
    </row>
    <row r="3" spans="1:11" ht="15">
      <c r="A3" s="80"/>
      <c r="B3" s="80"/>
      <c r="C3" s="80"/>
      <c r="D3" s="80"/>
      <c r="E3" s="80"/>
      <c r="F3" s="80"/>
      <c r="G3" s="80"/>
      <c r="H3" s="80"/>
      <c r="I3" s="80"/>
      <c r="J3" s="80"/>
      <c r="K3" s="1339"/>
    </row>
    <row r="4" spans="1:11" ht="15">
      <c r="A4" s="80" t="s">
        <v>1850</v>
      </c>
      <c r="B4" s="80"/>
      <c r="C4" s="80"/>
      <c r="D4" s="80"/>
      <c r="E4" s="80"/>
      <c r="F4" s="80"/>
      <c r="G4" s="80"/>
      <c r="H4" s="80"/>
      <c r="I4" s="80"/>
      <c r="J4" s="80"/>
      <c r="K4" s="1339"/>
    </row>
    <row r="5" spans="1:11" ht="15">
      <c r="A5" s="80" t="s">
        <v>1715</v>
      </c>
      <c r="B5" s="80"/>
      <c r="C5" s="80"/>
      <c r="D5" s="80"/>
      <c r="E5" s="80"/>
      <c r="F5" s="80"/>
      <c r="G5" s="80"/>
      <c r="H5" s="80"/>
      <c r="I5" s="80"/>
      <c r="J5" s="80"/>
      <c r="K5" s="1339"/>
    </row>
    <row r="6" spans="1:11" ht="15">
      <c r="A6" s="80" t="s">
        <v>1716</v>
      </c>
      <c r="B6" s="80"/>
      <c r="C6" s="80"/>
      <c r="D6" s="80"/>
      <c r="E6" s="80"/>
      <c r="F6" s="80"/>
      <c r="G6" s="80"/>
      <c r="H6" s="80"/>
      <c r="I6" s="80"/>
      <c r="J6" s="80"/>
      <c r="K6" s="1339"/>
    </row>
    <row r="7" spans="1:11" ht="15">
      <c r="A7" s="80" t="s">
        <v>1717</v>
      </c>
      <c r="B7" s="80"/>
      <c r="C7" s="80"/>
      <c r="D7" s="80"/>
      <c r="E7" s="80"/>
      <c r="F7" s="80"/>
      <c r="G7" s="80"/>
      <c r="H7" s="80"/>
      <c r="I7" s="80"/>
      <c r="J7" s="80"/>
      <c r="K7" s="1339"/>
    </row>
    <row r="8" spans="1:11" ht="15">
      <c r="A8" s="80"/>
      <c r="B8" s="80"/>
      <c r="C8" s="80"/>
      <c r="D8" s="80"/>
      <c r="E8" s="80"/>
      <c r="F8" s="80"/>
      <c r="G8" s="80"/>
      <c r="H8" s="80"/>
      <c r="I8" s="80"/>
      <c r="J8" s="80"/>
      <c r="K8" s="1339"/>
    </row>
    <row r="9" spans="1:11" ht="15.75">
      <c r="A9" s="99" t="s">
        <v>212</v>
      </c>
      <c r="B9" s="80"/>
      <c r="C9" s="80"/>
      <c r="D9" s="80"/>
      <c r="E9" s="80"/>
      <c r="F9" s="80"/>
      <c r="G9" s="80"/>
      <c r="H9" s="80"/>
      <c r="I9" s="80"/>
      <c r="J9" s="80"/>
      <c r="K9" s="1339"/>
    </row>
    <row r="10" spans="1:11" ht="15">
      <c r="A10" s="80"/>
      <c r="B10" s="80"/>
      <c r="C10" s="80"/>
      <c r="D10" s="80"/>
      <c r="E10" s="80"/>
      <c r="F10" s="80"/>
      <c r="G10" s="80"/>
      <c r="H10" s="80"/>
      <c r="I10" s="80"/>
      <c r="J10" s="80"/>
      <c r="K10" s="1339"/>
    </row>
    <row r="11" spans="1:11" ht="15.75">
      <c r="A11" s="149" t="s">
        <v>2265</v>
      </c>
      <c r="B11" s="149"/>
      <c r="C11" s="149"/>
      <c r="D11" s="149"/>
      <c r="E11" s="149"/>
      <c r="F11" s="149"/>
      <c r="G11" s="149"/>
      <c r="H11" s="80"/>
      <c r="I11" s="967">
        <f>IF(age&lt;70,'T1 GEN-2-3-4'!I25+SUM('T1 GEN-2-3-4'!I32:I36),)</f>
        <v>0</v>
      </c>
      <c r="J11" s="161">
        <v>1</v>
      </c>
      <c r="K11" s="1339"/>
    </row>
    <row r="12" spans="1:11" ht="15.75">
      <c r="A12" s="80" t="s">
        <v>1822</v>
      </c>
      <c r="B12" s="80"/>
      <c r="C12" s="80"/>
      <c r="D12" s="80"/>
      <c r="E12" s="80"/>
      <c r="F12" s="80"/>
      <c r="G12" s="80"/>
      <c r="H12" s="80"/>
      <c r="I12" s="80"/>
      <c r="J12" s="117"/>
      <c r="K12" s="1339"/>
    </row>
    <row r="13" spans="1:11" ht="16.5" thickBot="1">
      <c r="A13" s="149" t="s">
        <v>408</v>
      </c>
      <c r="B13" s="149"/>
      <c r="C13" s="149"/>
      <c r="D13" s="149"/>
      <c r="E13" s="149"/>
      <c r="F13" s="149"/>
      <c r="G13" s="149"/>
      <c r="H13" s="4">
        <v>373</v>
      </c>
      <c r="I13" s="739"/>
      <c r="J13" s="161">
        <v>2</v>
      </c>
      <c r="K13" s="1339"/>
    </row>
    <row r="14" spans="1:11" ht="15.75">
      <c r="A14" s="156"/>
      <c r="B14" s="149"/>
      <c r="C14" s="149"/>
      <c r="D14" s="149"/>
      <c r="E14" s="156"/>
      <c r="F14" s="156"/>
      <c r="G14" s="156" t="s">
        <v>1718</v>
      </c>
      <c r="H14" s="80"/>
      <c r="I14" s="388">
        <f>MAXA(0,I11+I13)</f>
        <v>0</v>
      </c>
      <c r="J14" s="161">
        <v>3</v>
      </c>
      <c r="K14" s="1339"/>
    </row>
    <row r="15" spans="1:11" ht="15.75">
      <c r="A15" s="80" t="s">
        <v>822</v>
      </c>
      <c r="B15" s="80"/>
      <c r="C15" s="80"/>
      <c r="D15" s="80"/>
      <c r="E15" s="80"/>
      <c r="F15" s="80"/>
      <c r="G15" s="80"/>
      <c r="H15" s="105"/>
      <c r="I15" s="80"/>
      <c r="J15" s="161"/>
      <c r="K15" s="1339"/>
    </row>
    <row r="16" spans="1:11" ht="16.5" thickBot="1">
      <c r="A16" s="149" t="s">
        <v>1823</v>
      </c>
      <c r="B16" s="149"/>
      <c r="C16" s="149"/>
      <c r="D16" s="149"/>
      <c r="E16" s="149"/>
      <c r="F16" s="156"/>
      <c r="G16" s="156"/>
      <c r="H16" s="80"/>
      <c r="I16" s="737">
        <f>MISC!L74</f>
        <v>0</v>
      </c>
      <c r="J16" s="161">
        <v>4</v>
      </c>
      <c r="K16" s="1339"/>
    </row>
    <row r="17" spans="1:11" ht="15.75">
      <c r="A17" s="149"/>
      <c r="B17" s="149"/>
      <c r="C17" s="149"/>
      <c r="D17" s="149"/>
      <c r="E17" s="149"/>
      <c r="F17" s="156"/>
      <c r="G17" s="156" t="s">
        <v>47</v>
      </c>
      <c r="H17" s="80"/>
      <c r="I17" s="388">
        <f>I14+I16</f>
        <v>0</v>
      </c>
      <c r="J17" s="161">
        <v>5</v>
      </c>
      <c r="K17" s="1339"/>
    </row>
    <row r="18" spans="1:11" ht="16.5" thickBot="1">
      <c r="A18" s="149" t="s">
        <v>98</v>
      </c>
      <c r="B18" s="149"/>
      <c r="C18" s="149"/>
      <c r="D18" s="149"/>
      <c r="E18" s="149"/>
      <c r="F18" s="156"/>
      <c r="G18" s="149" t="s">
        <v>1640</v>
      </c>
      <c r="H18" s="80"/>
      <c r="I18" s="734">
        <v>3500</v>
      </c>
      <c r="J18" s="161">
        <v>6</v>
      </c>
      <c r="K18" s="1339"/>
    </row>
    <row r="19" spans="1:11" ht="15.75">
      <c r="A19" s="80"/>
      <c r="B19" s="80"/>
      <c r="C19" s="80"/>
      <c r="D19" s="80"/>
      <c r="E19" s="80"/>
      <c r="F19" s="80"/>
      <c r="G19" s="81" t="s">
        <v>1187</v>
      </c>
      <c r="H19" s="80"/>
      <c r="I19" s="80"/>
      <c r="J19" s="117"/>
      <c r="K19" s="1339"/>
    </row>
    <row r="20" spans="1:11" ht="15.75">
      <c r="A20" s="149"/>
      <c r="B20" s="149"/>
      <c r="C20" s="149"/>
      <c r="D20" s="149"/>
      <c r="E20" s="149"/>
      <c r="F20" s="156"/>
      <c r="G20" s="156" t="s">
        <v>1719</v>
      </c>
      <c r="H20" s="80"/>
      <c r="I20" s="388">
        <f>IF(I17-I18&lt;0,0,MINA(38600,I17-I18))</f>
        <v>0</v>
      </c>
      <c r="J20" s="161">
        <v>7</v>
      </c>
      <c r="K20" s="1339"/>
    </row>
    <row r="21" spans="1:11" ht="15">
      <c r="A21" s="80"/>
      <c r="B21" s="80"/>
      <c r="C21" s="80"/>
      <c r="D21" s="80"/>
      <c r="E21" s="80"/>
      <c r="F21" s="80"/>
      <c r="G21" s="80"/>
      <c r="H21" s="80"/>
      <c r="I21" s="80"/>
      <c r="J21" s="107"/>
      <c r="K21" s="1339"/>
    </row>
    <row r="22" spans="1:11" ht="15.75">
      <c r="A22" s="149"/>
      <c r="B22" s="149"/>
      <c r="C22" s="149"/>
      <c r="D22" s="149"/>
      <c r="E22" s="149"/>
      <c r="F22" s="149"/>
      <c r="G22" s="156" t="s">
        <v>409</v>
      </c>
      <c r="H22" s="80"/>
      <c r="I22" s="388">
        <f>I20*0.099</f>
        <v>0</v>
      </c>
      <c r="J22" s="161">
        <v>8</v>
      </c>
      <c r="K22" s="1339"/>
    </row>
    <row r="23" spans="1:11" ht="15.75">
      <c r="A23" s="80" t="s">
        <v>1188</v>
      </c>
      <c r="B23" s="80"/>
      <c r="C23" s="80"/>
      <c r="D23" s="80"/>
      <c r="E23" s="80"/>
      <c r="F23" s="80"/>
      <c r="G23" s="80"/>
      <c r="H23" s="80"/>
      <c r="I23" s="80"/>
      <c r="J23" s="117"/>
      <c r="K23" s="1339"/>
    </row>
    <row r="24" spans="1:11" ht="15.75">
      <c r="A24" s="149" t="s">
        <v>1189</v>
      </c>
      <c r="B24" s="149"/>
      <c r="C24" s="149"/>
      <c r="D24" s="125"/>
      <c r="E24" s="388">
        <f>MISC!L75</f>
        <v>0</v>
      </c>
      <c r="F24" s="149"/>
      <c r="G24" s="168" t="s">
        <v>1190</v>
      </c>
      <c r="H24" s="80"/>
      <c r="I24" s="388">
        <f>2*E24</f>
        <v>0</v>
      </c>
      <c r="J24" s="161">
        <v>9</v>
      </c>
      <c r="K24" s="1339"/>
    </row>
    <row r="25" spans="1:11" ht="15.75">
      <c r="A25" s="99" t="s">
        <v>834</v>
      </c>
      <c r="B25" s="80"/>
      <c r="C25" s="80"/>
      <c r="D25" s="80"/>
      <c r="E25" s="80"/>
      <c r="F25" s="80"/>
      <c r="G25" s="80"/>
      <c r="H25" s="80"/>
      <c r="I25" s="80"/>
      <c r="J25" s="117"/>
      <c r="K25" s="1339"/>
    </row>
    <row r="26" spans="1:11" ht="15.75">
      <c r="A26" s="77" t="s">
        <v>835</v>
      </c>
      <c r="B26" s="77"/>
      <c r="C26" s="77"/>
      <c r="D26" s="77"/>
      <c r="E26" s="77"/>
      <c r="F26" s="77"/>
      <c r="G26" s="77"/>
      <c r="H26" s="80"/>
      <c r="I26" s="660">
        <f>IF(I14&gt;0,MAXA(0,I22-I24),0)</f>
        <v>0</v>
      </c>
      <c r="J26" s="161">
        <v>10</v>
      </c>
      <c r="K26" s="1339"/>
    </row>
    <row r="27" spans="1:11" ht="15.75">
      <c r="A27" s="99" t="s">
        <v>207</v>
      </c>
      <c r="B27" s="80"/>
      <c r="C27" s="80"/>
      <c r="D27" s="80"/>
      <c r="E27" s="80"/>
      <c r="F27" s="80"/>
      <c r="G27" s="80"/>
      <c r="H27" s="80"/>
      <c r="I27" s="80"/>
      <c r="J27" s="107"/>
      <c r="K27" s="1339"/>
    </row>
    <row r="28" spans="1:11" ht="15.75">
      <c r="A28" s="77" t="s">
        <v>1720</v>
      </c>
      <c r="B28" s="77"/>
      <c r="C28" s="77"/>
      <c r="D28" s="80"/>
      <c r="E28" s="388">
        <f>I26</f>
        <v>0</v>
      </c>
      <c r="F28" s="77"/>
      <c r="G28" s="182" t="s">
        <v>894</v>
      </c>
      <c r="H28" s="80"/>
      <c r="I28" s="660">
        <f>0.5*I26</f>
        <v>0</v>
      </c>
      <c r="J28" s="161">
        <v>11</v>
      </c>
      <c r="K28" s="1339"/>
    </row>
    <row r="29" spans="1:11" ht="15">
      <c r="A29" s="125" t="s">
        <v>1721</v>
      </c>
      <c r="B29" s="125"/>
      <c r="C29" s="125"/>
      <c r="D29" s="125"/>
      <c r="E29" s="125"/>
      <c r="F29" s="125"/>
      <c r="G29" s="125"/>
      <c r="H29" s="80"/>
      <c r="I29" s="80"/>
      <c r="J29" s="107"/>
      <c r="K29" s="1339"/>
    </row>
    <row r="30" spans="1:11" ht="15">
      <c r="A30" s="80"/>
      <c r="B30" s="80"/>
      <c r="C30" s="80"/>
      <c r="D30" s="80"/>
      <c r="E30" s="80"/>
      <c r="F30" s="80"/>
      <c r="G30" s="80"/>
      <c r="H30" s="80"/>
      <c r="I30" s="80"/>
      <c r="J30" s="107"/>
      <c r="K30" s="1339"/>
    </row>
    <row r="31" spans="1:11" ht="15">
      <c r="A31" s="223" t="s">
        <v>1639</v>
      </c>
      <c r="B31" s="80"/>
      <c r="C31" s="80"/>
      <c r="D31" s="80"/>
      <c r="E31" s="80"/>
      <c r="F31" s="80"/>
      <c r="G31" s="80"/>
      <c r="H31" s="80"/>
      <c r="I31" s="119"/>
      <c r="J31" s="107"/>
      <c r="K31" s="1339"/>
    </row>
    <row r="32" spans="1:11" ht="15">
      <c r="A32" s="80"/>
      <c r="B32" s="80"/>
      <c r="C32" s="80"/>
      <c r="D32" s="80"/>
      <c r="E32" s="80"/>
      <c r="F32" s="80"/>
      <c r="G32" s="80"/>
      <c r="H32" s="80"/>
      <c r="I32" s="80"/>
      <c r="J32" s="107" t="s">
        <v>1285</v>
      </c>
      <c r="K32" s="1339"/>
    </row>
  </sheetData>
  <sheetProtection password="EC35" sheet="1" objects="1" scenarios="1"/>
  <mergeCells count="1">
    <mergeCell ref="K1:K32"/>
  </mergeCells>
  <hyperlinks>
    <hyperlink ref="K1:K32" location="'GO TO'!B17" display=" "/>
  </hyperlink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1"/>
  <ignoredErrors>
    <ignoredError sqref="I11" unlockedFormula="1"/>
  </ignoredErrors>
</worksheet>
</file>

<file path=xl/worksheets/sheet22.xml><?xml version="1.0" encoding="utf-8"?>
<worksheet xmlns="http://schemas.openxmlformats.org/spreadsheetml/2006/main" xmlns:r="http://schemas.openxmlformats.org/officeDocument/2006/relationships">
  <sheetPr codeName="Sheet18" transitionEvaluation="1">
    <pageSetUpPr fitToPage="1"/>
  </sheetPr>
  <dimension ref="A1:K31"/>
  <sheetViews>
    <sheetView showGridLines="0" zoomScale="75" zoomScaleNormal="75" workbookViewId="0" topLeftCell="A1">
      <selection activeCell="A2" sqref="A2"/>
    </sheetView>
  </sheetViews>
  <sheetFormatPr defaultColWidth="9.77734375" defaultRowHeight="15"/>
  <cols>
    <col min="1" max="1" width="31.99609375" style="619" customWidth="1"/>
    <col min="2" max="2" width="6.77734375" style="619" customWidth="1"/>
    <col min="3" max="3" width="13.77734375" style="619" customWidth="1"/>
    <col min="4" max="4" width="5.4453125" style="619" customWidth="1"/>
    <col min="5" max="5" width="13.77734375" style="619" customWidth="1"/>
    <col min="6" max="6" width="5.77734375" style="619" customWidth="1"/>
    <col min="7" max="7" width="13.77734375" style="619" customWidth="1"/>
    <col min="8" max="8" width="4.77734375" style="619" customWidth="1"/>
    <col min="9" max="9" width="13.77734375" style="619" customWidth="1"/>
    <col min="10" max="10" width="6.77734375" style="619" customWidth="1"/>
    <col min="11" max="11" width="10.3359375" style="619" customWidth="1"/>
    <col min="12" max="14" width="13.77734375" style="619" customWidth="1"/>
    <col min="15" max="16384" width="9.77734375" style="619" customWidth="1"/>
  </cols>
  <sheetData>
    <row r="1" spans="1:11" ht="23.25">
      <c r="A1" s="141" t="str">
        <f>"T1-"&amp;yeartext</f>
        <v>T1-2006</v>
      </c>
      <c r="B1" s="80"/>
      <c r="C1" s="1205" t="s">
        <v>1191</v>
      </c>
      <c r="D1" s="80"/>
      <c r="E1" s="80"/>
      <c r="F1" s="80"/>
      <c r="G1" s="80"/>
      <c r="H1" s="80"/>
      <c r="I1" s="80"/>
      <c r="J1" s="1172" t="s">
        <v>99</v>
      </c>
      <c r="K1" s="1339" t="s">
        <v>1793</v>
      </c>
    </row>
    <row r="2" spans="1:11" ht="15">
      <c r="A2" s="80"/>
      <c r="B2" s="80"/>
      <c r="C2" s="80"/>
      <c r="D2" s="80"/>
      <c r="E2" s="80"/>
      <c r="F2" s="80"/>
      <c r="G2" s="80"/>
      <c r="H2" s="80"/>
      <c r="I2" s="80"/>
      <c r="J2" s="80"/>
      <c r="K2" s="1339"/>
    </row>
    <row r="3" spans="1:11" ht="15.75">
      <c r="A3" s="99" t="s">
        <v>2205</v>
      </c>
      <c r="B3" s="80"/>
      <c r="C3" s="80"/>
      <c r="D3" s="80"/>
      <c r="E3" s="80"/>
      <c r="F3" s="80"/>
      <c r="G3" s="80"/>
      <c r="H3" s="80"/>
      <c r="I3" s="80"/>
      <c r="J3" s="80"/>
      <c r="K3" s="1339"/>
    </row>
    <row r="4" spans="1:11" ht="15">
      <c r="A4" s="80" t="s">
        <v>1300</v>
      </c>
      <c r="B4" s="80"/>
      <c r="C4" s="80"/>
      <c r="D4" s="80"/>
      <c r="E4" s="80"/>
      <c r="F4" s="80"/>
      <c r="G4" s="80"/>
      <c r="H4" s="80"/>
      <c r="I4" s="80"/>
      <c r="J4" s="80"/>
      <c r="K4" s="1339"/>
    </row>
    <row r="5" spans="1:11" ht="15.75">
      <c r="A5" s="297"/>
      <c r="B5" s="80"/>
      <c r="C5" s="80"/>
      <c r="D5" s="80"/>
      <c r="E5" s="80"/>
      <c r="F5" s="117"/>
      <c r="G5" s="80"/>
      <c r="H5" s="80"/>
      <c r="I5" s="80"/>
      <c r="J5" s="80"/>
      <c r="K5" s="1339"/>
    </row>
    <row r="6" spans="1:11" ht="20.25" customHeight="1">
      <c r="A6" s="77" t="s">
        <v>2206</v>
      </c>
      <c r="B6" s="77"/>
      <c r="C6" s="77"/>
      <c r="D6" s="77"/>
      <c r="E6" s="77"/>
      <c r="F6" s="77"/>
      <c r="G6" s="965">
        <f>MISC!L76</f>
        <v>0</v>
      </c>
      <c r="H6" s="161">
        <v>1</v>
      </c>
      <c r="I6" s="80"/>
      <c r="J6" s="80"/>
      <c r="K6" s="1339"/>
    </row>
    <row r="7" spans="1:11" ht="15">
      <c r="A7" s="84"/>
      <c r="B7" s="84"/>
      <c r="C7" s="84"/>
      <c r="D7" s="84"/>
      <c r="E7" s="84"/>
      <c r="F7" s="84"/>
      <c r="G7" s="84"/>
      <c r="H7" s="80"/>
      <c r="I7" s="80"/>
      <c r="J7" s="80"/>
      <c r="K7" s="1339"/>
    </row>
    <row r="8" spans="1:11" ht="15.75">
      <c r="A8" s="77" t="s">
        <v>278</v>
      </c>
      <c r="B8" s="77"/>
      <c r="C8" s="77"/>
      <c r="D8" s="77"/>
      <c r="E8" s="388">
        <f>'T1 GEN-2-3-4'!K87</f>
        <v>0</v>
      </c>
      <c r="F8" s="77"/>
      <c r="G8" s="182" t="s">
        <v>108</v>
      </c>
      <c r="H8" s="80"/>
      <c r="I8" s="388">
        <f>E8*0.75</f>
        <v>0</v>
      </c>
      <c r="J8" s="161">
        <v>2</v>
      </c>
      <c r="K8" s="1339"/>
    </row>
    <row r="9" spans="1:11" ht="30" customHeight="1">
      <c r="A9" s="103" t="s">
        <v>100</v>
      </c>
      <c r="B9" s="125"/>
      <c r="C9" s="125"/>
      <c r="D9" s="125"/>
      <c r="E9" s="125"/>
      <c r="F9" s="125"/>
      <c r="G9" s="125"/>
      <c r="H9" s="80"/>
      <c r="I9" s="80"/>
      <c r="J9" s="80"/>
      <c r="K9" s="1339"/>
    </row>
    <row r="10" spans="1:11" ht="15.75">
      <c r="A10" s="103" t="s">
        <v>603</v>
      </c>
      <c r="B10" s="125"/>
      <c r="C10" s="125"/>
      <c r="D10" s="125"/>
      <c r="E10" s="125"/>
      <c r="F10" s="125"/>
      <c r="G10" s="125"/>
      <c r="H10" s="125"/>
      <c r="I10" s="80"/>
      <c r="J10" s="80"/>
      <c r="K10" s="1339"/>
    </row>
    <row r="11" spans="1:11" ht="9.75" customHeight="1">
      <c r="A11" s="125"/>
      <c r="B11" s="125"/>
      <c r="C11" s="125"/>
      <c r="D11" s="125"/>
      <c r="E11" s="125"/>
      <c r="F11" s="125"/>
      <c r="G11" s="125"/>
      <c r="H11" s="125"/>
      <c r="I11" s="80"/>
      <c r="J11" s="80"/>
      <c r="K11" s="1339"/>
    </row>
    <row r="12" spans="1:11" ht="15">
      <c r="A12" s="125" t="s">
        <v>109</v>
      </c>
      <c r="B12" s="125"/>
      <c r="C12" s="125"/>
      <c r="D12" s="225"/>
      <c r="E12" s="125"/>
      <c r="F12" s="125"/>
      <c r="G12" s="125"/>
      <c r="H12" s="125"/>
      <c r="I12" s="80"/>
      <c r="J12" s="80"/>
      <c r="K12" s="1339"/>
    </row>
    <row r="13" spans="1:11" ht="15.75">
      <c r="A13" s="77" t="s">
        <v>2216</v>
      </c>
      <c r="B13" s="77"/>
      <c r="C13" s="77"/>
      <c r="D13" s="68">
        <v>337</v>
      </c>
      <c r="E13" s="388">
        <f>MISC!L77</f>
        <v>0</v>
      </c>
      <c r="F13" s="164">
        <v>3</v>
      </c>
      <c r="G13" s="125"/>
      <c r="H13" s="80"/>
      <c r="I13" s="80"/>
      <c r="J13" s="80"/>
      <c r="K13" s="1339"/>
    </row>
    <row r="14" spans="1:11" ht="18" customHeight="1">
      <c r="A14" s="125" t="s">
        <v>2015</v>
      </c>
      <c r="B14" s="125"/>
      <c r="C14" s="125"/>
      <c r="D14" s="125"/>
      <c r="E14" s="125"/>
      <c r="F14" s="128"/>
      <c r="G14" s="125"/>
      <c r="H14" s="80"/>
      <c r="I14" s="80"/>
      <c r="J14" s="80"/>
      <c r="K14" s="1339"/>
    </row>
    <row r="15" spans="1:11" ht="16.5" thickBot="1">
      <c r="A15" s="77" t="s">
        <v>604</v>
      </c>
      <c r="B15" s="77"/>
      <c r="C15" s="77"/>
      <c r="D15" s="68">
        <v>339</v>
      </c>
      <c r="E15" s="737">
        <f>MISC!L78</f>
        <v>0</v>
      </c>
      <c r="F15" s="164">
        <v>4</v>
      </c>
      <c r="G15" s="125"/>
      <c r="H15" s="80"/>
      <c r="I15" s="80"/>
      <c r="J15" s="80"/>
      <c r="K15" s="1339"/>
    </row>
    <row r="16" spans="1:11" ht="16.5" thickBot="1">
      <c r="A16" s="78"/>
      <c r="B16" s="78"/>
      <c r="C16" s="92" t="s">
        <v>110</v>
      </c>
      <c r="D16" s="78"/>
      <c r="E16" s="388">
        <f>E13+E15</f>
        <v>0</v>
      </c>
      <c r="F16" s="77"/>
      <c r="G16" s="182" t="s">
        <v>111</v>
      </c>
      <c r="H16" s="80"/>
      <c r="I16" s="737">
        <f>0.25*E16</f>
        <v>0</v>
      </c>
      <c r="J16" s="161">
        <v>5</v>
      </c>
      <c r="K16" s="1339"/>
    </row>
    <row r="17" spans="1:11" ht="15.75">
      <c r="A17" s="84"/>
      <c r="B17" s="84"/>
      <c r="C17" s="84"/>
      <c r="D17" s="84"/>
      <c r="E17" s="84"/>
      <c r="F17" s="84"/>
      <c r="G17" s="106" t="s">
        <v>605</v>
      </c>
      <c r="H17" s="80"/>
      <c r="I17" s="80"/>
      <c r="J17" s="161"/>
      <c r="K17" s="1339"/>
    </row>
    <row r="18" spans="1:11" ht="15.75">
      <c r="A18" s="77"/>
      <c r="B18" s="77"/>
      <c r="C18" s="77"/>
      <c r="D18" s="77"/>
      <c r="E18" s="77"/>
      <c r="F18" s="77"/>
      <c r="G18" s="93" t="s">
        <v>500</v>
      </c>
      <c r="H18" s="80"/>
      <c r="I18" s="388">
        <f>MINA(I8+I16,E8)</f>
        <v>0</v>
      </c>
      <c r="J18" s="161">
        <v>6</v>
      </c>
      <c r="K18" s="1339"/>
    </row>
    <row r="19" spans="1:11" ht="14.25" customHeight="1">
      <c r="A19" s="84"/>
      <c r="B19" s="84"/>
      <c r="C19" s="84"/>
      <c r="D19" s="84"/>
      <c r="E19" s="84"/>
      <c r="F19" s="84"/>
      <c r="G19" s="106"/>
      <c r="H19" s="80"/>
      <c r="I19" s="80"/>
      <c r="J19" s="161"/>
      <c r="K19" s="1339"/>
    </row>
    <row r="20" spans="1:11" ht="17.25" customHeight="1">
      <c r="A20" s="125" t="s">
        <v>25</v>
      </c>
      <c r="B20" s="125"/>
      <c r="C20" s="125"/>
      <c r="D20" s="125"/>
      <c r="E20" s="125"/>
      <c r="F20" s="125"/>
      <c r="G20" s="125"/>
      <c r="H20" s="80"/>
      <c r="I20" s="80"/>
      <c r="J20" s="80"/>
      <c r="K20" s="1339"/>
    </row>
    <row r="21" spans="1:11" ht="15.75">
      <c r="A21" s="77" t="s">
        <v>2010</v>
      </c>
      <c r="B21" s="77"/>
      <c r="C21" s="77"/>
      <c r="D21" s="68">
        <v>340</v>
      </c>
      <c r="E21" s="388">
        <f>MINA(G6,I18)</f>
        <v>0</v>
      </c>
      <c r="F21" s="125"/>
      <c r="G21" s="125"/>
      <c r="H21" s="80"/>
      <c r="I21" s="80"/>
      <c r="J21" s="80"/>
      <c r="K21" s="1339"/>
    </row>
    <row r="22" spans="1:11" ht="15">
      <c r="A22" s="84" t="s">
        <v>917</v>
      </c>
      <c r="B22" s="84"/>
      <c r="C22" s="84"/>
      <c r="D22" s="84"/>
      <c r="E22" s="84"/>
      <c r="F22" s="125"/>
      <c r="G22" s="125"/>
      <c r="H22" s="80"/>
      <c r="I22" s="80"/>
      <c r="J22" s="80"/>
      <c r="K22" s="1339"/>
    </row>
    <row r="23" spans="1:11" ht="15.75">
      <c r="A23" s="77" t="s">
        <v>856</v>
      </c>
      <c r="B23" s="77"/>
      <c r="C23" s="77"/>
      <c r="D23" s="68">
        <v>342</v>
      </c>
      <c r="E23" s="388">
        <f>MISC!L79</f>
        <v>0</v>
      </c>
      <c r="F23" s="125"/>
      <c r="G23" s="125"/>
      <c r="H23" s="80"/>
      <c r="I23" s="80"/>
      <c r="J23" s="80"/>
      <c r="K23" s="1339"/>
    </row>
    <row r="24" spans="1:11" ht="15.75">
      <c r="A24" s="78"/>
      <c r="B24" s="78"/>
      <c r="C24" s="92" t="s">
        <v>26</v>
      </c>
      <c r="D24" s="226">
        <v>344</v>
      </c>
      <c r="E24" s="404">
        <f>E21+E23</f>
        <v>0</v>
      </c>
      <c r="F24" s="125"/>
      <c r="G24" s="125"/>
      <c r="H24" s="80"/>
      <c r="I24" s="80"/>
      <c r="J24" s="80"/>
      <c r="K24" s="1339"/>
    </row>
    <row r="25" spans="1:11" ht="15.75">
      <c r="A25" s="78" t="s">
        <v>1095</v>
      </c>
      <c r="B25" s="78"/>
      <c r="C25" s="78"/>
      <c r="D25" s="226">
        <v>345</v>
      </c>
      <c r="E25" s="404">
        <f>MINA(200,E24)</f>
        <v>0</v>
      </c>
      <c r="F25" s="77"/>
      <c r="G25" s="182" t="s">
        <v>606</v>
      </c>
      <c r="H25" s="1">
        <v>346</v>
      </c>
      <c r="I25" s="388">
        <f>0.1525*E25</f>
        <v>0</v>
      </c>
      <c r="J25" s="161">
        <v>7</v>
      </c>
      <c r="K25" s="1339"/>
    </row>
    <row r="26" spans="1:11" ht="15.75">
      <c r="A26" s="78"/>
      <c r="B26" s="78"/>
      <c r="C26" s="92" t="s">
        <v>1393</v>
      </c>
      <c r="D26" s="226">
        <v>347</v>
      </c>
      <c r="E26" s="404">
        <f>E24-E25</f>
        <v>0</v>
      </c>
      <c r="F26" s="78"/>
      <c r="G26" s="227" t="s">
        <v>1394</v>
      </c>
      <c r="H26" s="1">
        <v>348</v>
      </c>
      <c r="I26" s="404">
        <f>0.29*E26</f>
        <v>0</v>
      </c>
      <c r="J26" s="161">
        <v>8</v>
      </c>
      <c r="K26" s="1339"/>
    </row>
    <row r="27" spans="1:11" ht="15.75">
      <c r="A27" s="106"/>
      <c r="B27" s="84"/>
      <c r="C27" s="84"/>
      <c r="D27" s="84"/>
      <c r="E27" s="84"/>
      <c r="F27" s="183" t="s">
        <v>1395</v>
      </c>
      <c r="G27" s="228" t="s">
        <v>1396</v>
      </c>
      <c r="H27" s="80"/>
      <c r="I27" s="80"/>
      <c r="J27" s="117"/>
      <c r="K27" s="1339"/>
    </row>
    <row r="28" spans="1:11" ht="15.75">
      <c r="A28" s="77"/>
      <c r="B28" s="77"/>
      <c r="C28" s="77"/>
      <c r="D28" s="77"/>
      <c r="E28" s="77"/>
      <c r="F28" s="77"/>
      <c r="G28" s="93" t="s">
        <v>951</v>
      </c>
      <c r="H28" s="80"/>
      <c r="I28" s="660">
        <f>I25+I26</f>
        <v>0</v>
      </c>
      <c r="J28" s="161">
        <v>9</v>
      </c>
      <c r="K28" s="1339"/>
    </row>
    <row r="29" spans="1:11" ht="15">
      <c r="A29" s="80"/>
      <c r="B29" s="80"/>
      <c r="C29" s="80"/>
      <c r="D29" s="80"/>
      <c r="E29" s="80"/>
      <c r="F29" s="80"/>
      <c r="G29" s="80"/>
      <c r="H29" s="80"/>
      <c r="I29" s="80"/>
      <c r="J29" s="80"/>
      <c r="K29" s="1339"/>
    </row>
    <row r="30" spans="1:11" ht="15">
      <c r="A30" s="80"/>
      <c r="B30" s="80"/>
      <c r="C30" s="80"/>
      <c r="D30" s="80"/>
      <c r="E30" s="80"/>
      <c r="F30" s="80"/>
      <c r="G30" s="80"/>
      <c r="H30" s="80"/>
      <c r="I30" s="119"/>
      <c r="J30" s="80"/>
      <c r="K30" s="1339"/>
    </row>
    <row r="31" spans="1:11" ht="15">
      <c r="A31" s="80" t="s">
        <v>1397</v>
      </c>
      <c r="B31" s="80"/>
      <c r="C31" s="80"/>
      <c r="D31" s="80"/>
      <c r="E31" s="80"/>
      <c r="F31" s="80"/>
      <c r="G31" s="80"/>
      <c r="H31" s="80"/>
      <c r="I31" s="80"/>
      <c r="J31" s="80" t="s">
        <v>1192</v>
      </c>
      <c r="K31" s="1339"/>
    </row>
  </sheetData>
  <sheetProtection password="EC35" sheet="1" objects="1" scenarios="1"/>
  <mergeCells count="1">
    <mergeCell ref="K1:K31"/>
  </mergeCells>
  <hyperlinks>
    <hyperlink ref="K1:K31" location="'GO TO'!B18" display=" "/>
    <hyperlink ref="G6" location="MISC!E71" display="MISC!E71"/>
  </hyperlink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3.xml><?xml version="1.0" encoding="utf-8"?>
<worksheet xmlns="http://schemas.openxmlformats.org/spreadsheetml/2006/main" xmlns:r="http://schemas.openxmlformats.org/officeDocument/2006/relationships">
  <sheetPr codeName="Sheet19" transitionEvaluation="1">
    <pageSetUpPr fitToPage="1"/>
  </sheetPr>
  <dimension ref="A1:M62"/>
  <sheetViews>
    <sheetView showGridLines="0" zoomScale="75" zoomScaleNormal="75" workbookViewId="0" topLeftCell="A1">
      <selection activeCell="A2" sqref="A2"/>
    </sheetView>
  </sheetViews>
  <sheetFormatPr defaultColWidth="9.77734375" defaultRowHeight="15"/>
  <cols>
    <col min="1" max="1" width="15.77734375" style="619" customWidth="1"/>
    <col min="2" max="2" width="25.77734375" style="619" customWidth="1"/>
    <col min="3" max="3" width="4.77734375" style="619" customWidth="1"/>
    <col min="4" max="4" width="12.77734375" style="619" customWidth="1"/>
    <col min="5" max="5" width="4.77734375" style="619" customWidth="1"/>
    <col min="6" max="6" width="12.77734375" style="619" customWidth="1"/>
    <col min="7" max="7" width="3.77734375" style="619" customWidth="1"/>
    <col min="8" max="8" width="4.77734375" style="619" customWidth="1"/>
    <col min="9" max="9" width="12.77734375" style="619" customWidth="1"/>
    <col min="10" max="10" width="4.77734375" style="619" customWidth="1"/>
    <col min="11" max="11" width="12.77734375" style="619" customWidth="1"/>
    <col min="12" max="12" width="4.77734375" style="619" customWidth="1"/>
    <col min="13" max="13" width="8.10546875" style="619" customWidth="1"/>
    <col min="14" max="16384" width="9.77734375" style="619" customWidth="1"/>
  </cols>
  <sheetData>
    <row r="1" spans="1:13" ht="23.25">
      <c r="A1" s="141" t="str">
        <f>"T1-"&amp;yeartext</f>
        <v>T1-2006</v>
      </c>
      <c r="B1" s="141"/>
      <c r="C1" s="824"/>
      <c r="D1" s="1187" t="s">
        <v>1247</v>
      </c>
      <c r="E1" s="224"/>
      <c r="F1" s="224"/>
      <c r="G1" s="224"/>
      <c r="H1" s="229"/>
      <c r="I1" s="229"/>
      <c r="J1" s="229"/>
      <c r="K1" s="229"/>
      <c r="L1" s="1172" t="s">
        <v>2014</v>
      </c>
      <c r="M1" s="1339" t="s">
        <v>1793</v>
      </c>
    </row>
    <row r="2" spans="1:13" ht="20.25" customHeight="1">
      <c r="A2" s="80"/>
      <c r="B2" s="80"/>
      <c r="C2" s="107"/>
      <c r="D2" s="1211" t="s">
        <v>1738</v>
      </c>
      <c r="E2" s="80"/>
      <c r="F2" s="80"/>
      <c r="G2" s="80"/>
      <c r="H2" s="80"/>
      <c r="I2" s="80"/>
      <c r="J2" s="80"/>
      <c r="K2" s="80"/>
      <c r="L2" s="80"/>
      <c r="M2" s="1339"/>
    </row>
    <row r="3" spans="1:13" ht="16.5">
      <c r="A3" s="826" t="s">
        <v>1248</v>
      </c>
      <c r="B3" s="826"/>
      <c r="C3" s="877"/>
      <c r="D3" s="877"/>
      <c r="E3" s="877"/>
      <c r="F3" s="877"/>
      <c r="G3" s="877"/>
      <c r="H3" s="877"/>
      <c r="I3" s="877"/>
      <c r="J3" s="877"/>
      <c r="K3" s="877"/>
      <c r="L3" s="877"/>
      <c r="M3" s="1339"/>
    </row>
    <row r="4" spans="1:13" ht="16.5">
      <c r="A4" s="877" t="s">
        <v>1249</v>
      </c>
      <c r="B4" s="877"/>
      <c r="C4" s="877"/>
      <c r="D4" s="877"/>
      <c r="E4" s="877"/>
      <c r="F4" s="877"/>
      <c r="G4" s="877"/>
      <c r="H4" s="877"/>
      <c r="I4" s="877"/>
      <c r="J4" s="877"/>
      <c r="K4" s="877"/>
      <c r="L4" s="877"/>
      <c r="M4" s="1339"/>
    </row>
    <row r="5" spans="1:13" ht="16.5">
      <c r="A5" s="877" t="s">
        <v>1250</v>
      </c>
      <c r="B5" s="877"/>
      <c r="C5" s="877"/>
      <c r="D5" s="877"/>
      <c r="E5" s="877"/>
      <c r="F5" s="877"/>
      <c r="G5" s="877"/>
      <c r="H5" s="877"/>
      <c r="I5" s="877"/>
      <c r="J5" s="877"/>
      <c r="K5" s="877"/>
      <c r="L5" s="877"/>
      <c r="M5" s="1339"/>
    </row>
    <row r="6" spans="1:13" ht="16.5">
      <c r="A6" s="877" t="s">
        <v>1251</v>
      </c>
      <c r="B6" s="877"/>
      <c r="C6" s="877"/>
      <c r="D6" s="877"/>
      <c r="E6" s="877"/>
      <c r="F6" s="877"/>
      <c r="G6" s="877"/>
      <c r="H6" s="877"/>
      <c r="I6" s="877"/>
      <c r="J6" s="877"/>
      <c r="K6" s="877"/>
      <c r="L6" s="877"/>
      <c r="M6" s="1339"/>
    </row>
    <row r="7" spans="1:13" ht="26.25" customHeight="1">
      <c r="A7" s="89" t="str">
        <f>"Tuition, education, and textbook amounts claimed by the student  for "&amp;yeartext</f>
        <v>Tuition, education, and textbook amounts claimed by the student  for 2006</v>
      </c>
      <c r="B7" s="826"/>
      <c r="C7" s="877"/>
      <c r="D7" s="877"/>
      <c r="E7" s="877"/>
      <c r="F7" s="877"/>
      <c r="G7" s="877"/>
      <c r="H7" s="877"/>
      <c r="I7" s="877"/>
      <c r="J7" s="877"/>
      <c r="K7" s="877"/>
      <c r="L7" s="877"/>
      <c r="M7" s="1339"/>
    </row>
    <row r="8" spans="1:13" ht="16.5">
      <c r="A8" s="865" t="str">
        <f>"Unused tuition and education amounts from your "&amp;lastyeartext</f>
        <v>Unused tuition and education amounts from your 2005</v>
      </c>
      <c r="B8" s="865"/>
      <c r="C8" s="865"/>
      <c r="D8" s="1225"/>
      <c r="E8" s="865"/>
      <c r="F8" s="1226" t="s">
        <v>1664</v>
      </c>
      <c r="G8" s="865"/>
      <c r="H8" s="865"/>
      <c r="I8" s="1225"/>
      <c r="J8" s="877"/>
      <c r="K8" s="878"/>
      <c r="L8" s="879">
        <v>1</v>
      </c>
      <c r="M8" s="1339"/>
    </row>
    <row r="9" spans="1:13" ht="16.5">
      <c r="A9" s="865" t="str">
        <f>"Eligible tuition fees paid for "&amp;yeartext</f>
        <v>Eligible tuition fees paid for 2006</v>
      </c>
      <c r="B9" s="865"/>
      <c r="C9" s="865"/>
      <c r="D9" s="865"/>
      <c r="E9" s="865"/>
      <c r="F9" s="865"/>
      <c r="G9" s="861"/>
      <c r="H9" s="880">
        <v>320</v>
      </c>
      <c r="I9" s="878"/>
      <c r="J9" s="879">
        <v>2</v>
      </c>
      <c r="K9" s="877"/>
      <c r="L9" s="877"/>
      <c r="M9" s="1339"/>
    </row>
    <row r="10" spans="1:13" ht="16.5">
      <c r="A10" s="863" t="str">
        <f>"Education and textbook amounts for "&amp;yeartext</f>
        <v>Education and textbook amounts for 2006</v>
      </c>
      <c r="B10" s="861"/>
      <c r="C10" s="861"/>
      <c r="D10" s="861"/>
      <c r="E10" s="861"/>
      <c r="F10" s="861"/>
      <c r="G10" s="861"/>
      <c r="H10" s="877"/>
      <c r="I10" s="877"/>
      <c r="J10" s="879"/>
      <c r="K10" s="877"/>
      <c r="L10" s="877"/>
      <c r="M10" s="1339"/>
    </row>
    <row r="11" spans="1:13" ht="20.25" customHeight="1">
      <c r="A11" s="863" t="s">
        <v>1253</v>
      </c>
      <c r="B11" s="861"/>
      <c r="C11" s="861"/>
      <c r="D11" s="861"/>
      <c r="E11" s="861"/>
      <c r="F11" s="861"/>
      <c r="G11" s="861"/>
      <c r="H11" s="877"/>
      <c r="I11" s="877"/>
      <c r="J11" s="879"/>
      <c r="K11" s="877"/>
      <c r="L11" s="877"/>
      <c r="M11" s="1339"/>
    </row>
    <row r="12" spans="1:13" ht="16.5">
      <c r="A12" s="861" t="s">
        <v>1270</v>
      </c>
      <c r="B12" s="861"/>
      <c r="C12" s="861"/>
      <c r="D12" s="861"/>
      <c r="E12" s="861"/>
      <c r="F12" s="861"/>
      <c r="G12" s="861"/>
      <c r="H12" s="877"/>
      <c r="I12" s="877"/>
      <c r="J12" s="879"/>
      <c r="K12" s="877"/>
      <c r="L12" s="877"/>
      <c r="M12" s="1339"/>
    </row>
    <row r="13" spans="1:13" ht="16.5">
      <c r="A13" s="863" t="s">
        <v>1252</v>
      </c>
      <c r="B13" s="861"/>
      <c r="C13" s="861"/>
      <c r="D13" s="861"/>
      <c r="E13" s="861"/>
      <c r="F13" s="861"/>
      <c r="G13" s="861"/>
      <c r="H13" s="877"/>
      <c r="I13" s="877"/>
      <c r="J13" s="879"/>
      <c r="K13" s="877"/>
      <c r="L13" s="877"/>
      <c r="M13" s="1339"/>
    </row>
    <row r="14" spans="1:13" s="993" customFormat="1" ht="16.5">
      <c r="A14" s="863" t="s">
        <v>1254</v>
      </c>
      <c r="B14" s="863"/>
      <c r="C14" s="1212"/>
      <c r="D14" s="1213"/>
      <c r="E14" s="861"/>
      <c r="F14" s="861"/>
      <c r="G14" s="861"/>
      <c r="H14" s="861"/>
      <c r="I14" s="861"/>
      <c r="J14" s="861"/>
      <c r="K14" s="861"/>
      <c r="L14" s="861"/>
      <c r="M14" s="1339"/>
    </row>
    <row r="15" spans="1:13" ht="16.5">
      <c r="A15" s="865" t="s">
        <v>1262</v>
      </c>
      <c r="B15" s="1218"/>
      <c r="C15" s="912"/>
      <c r="D15" s="1215" t="s">
        <v>938</v>
      </c>
      <c r="E15" s="877"/>
      <c r="F15" s="871">
        <f>120*MINA(C15+0,12)</f>
        <v>0</v>
      </c>
      <c r="G15" s="1217">
        <v>3</v>
      </c>
      <c r="H15" s="1217"/>
      <c r="I15" s="877"/>
      <c r="J15" s="877"/>
      <c r="K15" s="877"/>
      <c r="L15" s="877"/>
      <c r="M15" s="1339"/>
    </row>
    <row r="16" spans="1:13" ht="16.5">
      <c r="A16" s="1214" t="s">
        <v>1255</v>
      </c>
      <c r="B16" s="863"/>
      <c r="C16" s="1213"/>
      <c r="D16" s="1216"/>
      <c r="E16" s="877"/>
      <c r="F16" s="1219"/>
      <c r="G16" s="1217"/>
      <c r="H16" s="1217"/>
      <c r="I16" s="877"/>
      <c r="J16" s="877"/>
      <c r="K16" s="877"/>
      <c r="L16" s="877"/>
      <c r="M16" s="1339"/>
    </row>
    <row r="17" spans="1:13" ht="16.5">
      <c r="A17" s="865" t="s">
        <v>1261</v>
      </c>
      <c r="B17" s="1218"/>
      <c r="C17" s="912"/>
      <c r="D17" s="1215" t="s">
        <v>1256</v>
      </c>
      <c r="E17" s="877"/>
      <c r="F17" s="871">
        <f>20*MINA(C17+0,12)</f>
        <v>0</v>
      </c>
      <c r="G17" s="1217">
        <v>4</v>
      </c>
      <c r="H17" s="1217"/>
      <c r="I17" s="877"/>
      <c r="J17" s="877"/>
      <c r="K17" s="877"/>
      <c r="L17" s="877"/>
      <c r="M17" s="1339"/>
    </row>
    <row r="18" spans="1:13" ht="16.5">
      <c r="A18" s="883"/>
      <c r="B18" s="883"/>
      <c r="C18" s="883"/>
      <c r="D18" s="1221" t="s">
        <v>1257</v>
      </c>
      <c r="E18" s="877"/>
      <c r="F18" s="871">
        <f>F15+F17</f>
        <v>0</v>
      </c>
      <c r="G18" s="1220" t="s">
        <v>1600</v>
      </c>
      <c r="H18" s="867">
        <v>321</v>
      </c>
      <c r="I18" s="871">
        <f>F18</f>
        <v>0</v>
      </c>
      <c r="J18" s="1217">
        <v>5</v>
      </c>
      <c r="K18" s="877"/>
      <c r="L18" s="877"/>
      <c r="M18" s="1339"/>
    </row>
    <row r="19" spans="1:13" ht="16.5">
      <c r="A19" s="826" t="s">
        <v>1259</v>
      </c>
      <c r="B19" s="877"/>
      <c r="C19" s="877"/>
      <c r="D19" s="877"/>
      <c r="E19" s="877"/>
      <c r="F19" s="877"/>
      <c r="G19" s="877"/>
      <c r="H19" s="877"/>
      <c r="I19" s="877"/>
      <c r="J19" s="877"/>
      <c r="K19" s="877"/>
      <c r="L19" s="877"/>
      <c r="M19" s="1339"/>
    </row>
    <row r="20" spans="1:13" ht="16.5">
      <c r="A20" s="877" t="s">
        <v>1258</v>
      </c>
      <c r="B20" s="877"/>
      <c r="C20" s="877"/>
      <c r="D20" s="877"/>
      <c r="E20" s="877"/>
      <c r="F20" s="877"/>
      <c r="G20" s="877"/>
      <c r="H20" s="877"/>
      <c r="I20" s="877"/>
      <c r="J20" s="877"/>
      <c r="K20" s="877"/>
      <c r="L20" s="877"/>
      <c r="M20" s="1339"/>
    </row>
    <row r="21" spans="1:13" ht="16.5">
      <c r="A21" s="826" t="s">
        <v>1252</v>
      </c>
      <c r="B21" s="877"/>
      <c r="C21" s="877"/>
      <c r="D21" s="877"/>
      <c r="E21" s="877"/>
      <c r="F21" s="877"/>
      <c r="G21" s="877"/>
      <c r="H21" s="877"/>
      <c r="I21" s="877"/>
      <c r="J21" s="877"/>
      <c r="K21" s="877"/>
      <c r="L21" s="877"/>
      <c r="M21" s="1339"/>
    </row>
    <row r="22" spans="1:13" ht="16.5">
      <c r="A22" s="863" t="s">
        <v>1254</v>
      </c>
      <c r="B22" s="863"/>
      <c r="C22" s="1212"/>
      <c r="D22" s="1213"/>
      <c r="E22" s="861"/>
      <c r="F22" s="861"/>
      <c r="G22" s="861"/>
      <c r="H22" s="861"/>
      <c r="I22" s="861"/>
      <c r="J22" s="861"/>
      <c r="K22" s="877"/>
      <c r="L22" s="877"/>
      <c r="M22" s="1339"/>
    </row>
    <row r="23" spans="1:13" ht="16.5">
      <c r="A23" s="865" t="s">
        <v>1260</v>
      </c>
      <c r="B23" s="1218"/>
      <c r="C23" s="912"/>
      <c r="D23" s="1215" t="s">
        <v>939</v>
      </c>
      <c r="E23" s="877"/>
      <c r="F23" s="871">
        <f>400*MINA(C23+0,12)</f>
        <v>0</v>
      </c>
      <c r="G23" s="1217">
        <v>6</v>
      </c>
      <c r="H23" s="1217"/>
      <c r="I23" s="877"/>
      <c r="J23" s="877"/>
      <c r="K23" s="877"/>
      <c r="L23" s="877"/>
      <c r="M23" s="1339"/>
    </row>
    <row r="24" spans="1:13" ht="16.5">
      <c r="A24" s="1214" t="s">
        <v>1255</v>
      </c>
      <c r="B24" s="863"/>
      <c r="C24" s="1213"/>
      <c r="D24" s="1216"/>
      <c r="E24" s="877"/>
      <c r="F24" s="1219"/>
      <c r="G24" s="1217"/>
      <c r="H24" s="1217"/>
      <c r="I24" s="877"/>
      <c r="J24" s="877"/>
      <c r="K24" s="877"/>
      <c r="L24" s="877"/>
      <c r="M24" s="1339"/>
    </row>
    <row r="25" spans="1:13" ht="16.5">
      <c r="A25" s="865" t="s">
        <v>1260</v>
      </c>
      <c r="B25" s="1218"/>
      <c r="C25" s="912"/>
      <c r="D25" s="1215" t="s">
        <v>1263</v>
      </c>
      <c r="E25" s="877"/>
      <c r="F25" s="871">
        <f>65*MINA(C25+0,12)</f>
        <v>0</v>
      </c>
      <c r="G25" s="1217">
        <v>7</v>
      </c>
      <c r="H25" s="1217"/>
      <c r="I25" s="877"/>
      <c r="J25" s="877"/>
      <c r="K25" s="877"/>
      <c r="L25" s="877"/>
      <c r="M25" s="1339"/>
    </row>
    <row r="26" spans="1:13" ht="16.5">
      <c r="A26" s="883"/>
      <c r="B26" s="883"/>
      <c r="C26" s="883"/>
      <c r="D26" s="1221" t="s">
        <v>1665</v>
      </c>
      <c r="E26" s="877"/>
      <c r="F26" s="871">
        <f>F23+F25</f>
        <v>0</v>
      </c>
      <c r="G26" s="1220" t="s">
        <v>1600</v>
      </c>
      <c r="H26" s="867">
        <v>322</v>
      </c>
      <c r="I26" s="871">
        <f>F26</f>
        <v>0</v>
      </c>
      <c r="J26" s="1217">
        <v>8</v>
      </c>
      <c r="K26" s="877"/>
      <c r="L26" s="877"/>
      <c r="M26" s="1339"/>
    </row>
    <row r="27" spans="1:13" ht="16.5">
      <c r="A27" s="877"/>
      <c r="B27" s="877"/>
      <c r="C27" s="877"/>
      <c r="D27" s="877"/>
      <c r="E27" s="877"/>
      <c r="F27" s="1222" t="str">
        <f>"Total "&amp;yeartext&amp;" tuition, education, and textbook amounts:"</f>
        <v>Total 2006 tuition, education, and textbook amounts:</v>
      </c>
      <c r="G27" s="877"/>
      <c r="H27" s="877"/>
      <c r="I27" s="877"/>
      <c r="J27" s="877"/>
      <c r="K27" s="877"/>
      <c r="L27" s="877"/>
      <c r="M27" s="1339"/>
    </row>
    <row r="28" spans="1:13" ht="17.25" thickBot="1">
      <c r="A28" s="865"/>
      <c r="B28" s="865"/>
      <c r="C28" s="865"/>
      <c r="D28" s="865"/>
      <c r="E28" s="865"/>
      <c r="F28" s="866" t="s">
        <v>1264</v>
      </c>
      <c r="G28" s="862"/>
      <c r="H28" s="877"/>
      <c r="I28" s="871">
        <f>I9+I18+I26</f>
        <v>0</v>
      </c>
      <c r="J28" s="1223" t="s">
        <v>1600</v>
      </c>
      <c r="K28" s="882">
        <f>I28</f>
        <v>0</v>
      </c>
      <c r="L28" s="879">
        <v>9</v>
      </c>
      <c r="M28" s="1339"/>
    </row>
    <row r="29" spans="1:13" ht="16.5">
      <c r="A29" s="865"/>
      <c r="B29" s="865"/>
      <c r="C29" s="865"/>
      <c r="D29" s="865"/>
      <c r="E29" s="865"/>
      <c r="F29" s="865"/>
      <c r="G29" s="865"/>
      <c r="H29" s="865"/>
      <c r="I29" s="866" t="s">
        <v>1265</v>
      </c>
      <c r="J29" s="877"/>
      <c r="K29" s="871">
        <f>K8+K28</f>
        <v>0</v>
      </c>
      <c r="L29" s="879">
        <v>10</v>
      </c>
      <c r="M29" s="1339"/>
    </row>
    <row r="30" spans="1:13" ht="16.5">
      <c r="A30" s="865" t="s">
        <v>2281</v>
      </c>
      <c r="B30" s="865"/>
      <c r="C30" s="865"/>
      <c r="D30" s="865"/>
      <c r="E30" s="883"/>
      <c r="F30" s="884"/>
      <c r="G30" s="1224"/>
      <c r="H30" s="885"/>
      <c r="I30" s="871">
        <f>'T1 GEN-2-3-4'!K101</f>
        <v>0</v>
      </c>
      <c r="J30" s="879">
        <v>11</v>
      </c>
      <c r="K30" s="877"/>
      <c r="L30" s="877"/>
      <c r="M30" s="1339"/>
    </row>
    <row r="31" spans="1:13" ht="17.25" thickBot="1">
      <c r="A31" s="865" t="s">
        <v>1266</v>
      </c>
      <c r="B31" s="865"/>
      <c r="C31" s="865"/>
      <c r="D31" s="865"/>
      <c r="E31" s="886"/>
      <c r="F31" s="887"/>
      <c r="G31" s="1224"/>
      <c r="H31" s="885"/>
      <c r="I31" s="905">
        <f>SUM(Sch1!H23:H41)</f>
        <v>8839</v>
      </c>
      <c r="J31" s="879">
        <v>12</v>
      </c>
      <c r="K31" s="877"/>
      <c r="L31" s="877"/>
      <c r="M31" s="1339"/>
    </row>
    <row r="32" spans="1:13" ht="16.5">
      <c r="A32" s="866"/>
      <c r="B32" s="866"/>
      <c r="C32" s="865"/>
      <c r="D32" s="865"/>
      <c r="E32" s="886"/>
      <c r="F32" s="887"/>
      <c r="G32" s="888" t="s">
        <v>1267</v>
      </c>
      <c r="H32" s="885"/>
      <c r="I32" s="871">
        <f>MAXA(0,I30-I31)</f>
        <v>0</v>
      </c>
      <c r="J32" s="879">
        <v>13</v>
      </c>
      <c r="K32" s="877"/>
      <c r="L32" s="877"/>
      <c r="M32" s="1339"/>
    </row>
    <row r="33" spans="1:13" ht="16.5">
      <c r="A33" s="877" t="str">
        <f>"Unused tuition and education amounts claimed for "&amp;yeartext&amp;":"</f>
        <v>Unused tuition and education amounts claimed for 2006:</v>
      </c>
      <c r="B33" s="877"/>
      <c r="C33" s="877"/>
      <c r="D33" s="877"/>
      <c r="E33" s="861"/>
      <c r="F33" s="885"/>
      <c r="G33" s="885"/>
      <c r="H33" s="885"/>
      <c r="I33" s="877"/>
      <c r="J33" s="877"/>
      <c r="K33" s="877"/>
      <c r="L33" s="877"/>
      <c r="M33" s="1339"/>
    </row>
    <row r="34" spans="1:13" ht="17.25" thickBot="1">
      <c r="A34" s="865" t="s">
        <v>1268</v>
      </c>
      <c r="B34" s="865"/>
      <c r="C34" s="865"/>
      <c r="D34" s="865"/>
      <c r="E34" s="861"/>
      <c r="F34" s="885"/>
      <c r="G34" s="885"/>
      <c r="H34" s="885"/>
      <c r="I34" s="882">
        <f>MINA(K8+0,I32)</f>
        <v>0</v>
      </c>
      <c r="J34" s="1223" t="s">
        <v>1600</v>
      </c>
      <c r="K34" s="871">
        <f>I34</f>
        <v>0</v>
      </c>
      <c r="L34" s="879">
        <v>14</v>
      </c>
      <c r="M34" s="1339"/>
    </row>
    <row r="35" spans="1:13" ht="16.5">
      <c r="A35" s="865"/>
      <c r="B35" s="865"/>
      <c r="C35" s="865"/>
      <c r="D35" s="865"/>
      <c r="E35" s="886"/>
      <c r="F35" s="887"/>
      <c r="G35" s="889" t="s">
        <v>1271</v>
      </c>
      <c r="H35" s="885"/>
      <c r="I35" s="871">
        <f>I32-K34</f>
        <v>0</v>
      </c>
      <c r="J35" s="879">
        <v>15</v>
      </c>
      <c r="K35" s="877"/>
      <c r="L35" s="877"/>
      <c r="M35" s="1339"/>
    </row>
    <row r="36" spans="1:13" ht="16.5">
      <c r="A36" s="881" t="str">
        <f>yeartext&amp;" tuition, education, and textbook amounts claimed for "&amp;yeartext&amp;":"</f>
        <v>2006 tuition, education, and textbook amounts claimed for 2006:</v>
      </c>
      <c r="B36" s="881"/>
      <c r="C36" s="877"/>
      <c r="D36" s="877"/>
      <c r="E36" s="877"/>
      <c r="F36" s="885"/>
      <c r="G36" s="885"/>
      <c r="H36" s="885"/>
      <c r="I36" s="877"/>
      <c r="J36" s="877"/>
      <c r="K36" s="877"/>
      <c r="L36" s="877"/>
      <c r="M36" s="1339"/>
    </row>
    <row r="37" spans="1:13" ht="16.5">
      <c r="A37" s="865" t="s">
        <v>1269</v>
      </c>
      <c r="B37" s="865"/>
      <c r="C37" s="865"/>
      <c r="D37" s="865"/>
      <c r="E37" s="865"/>
      <c r="F37" s="884"/>
      <c r="G37" s="884"/>
      <c r="H37" s="884"/>
      <c r="I37" s="865"/>
      <c r="J37" s="861"/>
      <c r="K37" s="871">
        <f>MINA(K28,I35)</f>
        <v>0</v>
      </c>
      <c r="L37" s="879">
        <v>16</v>
      </c>
      <c r="M37" s="1339"/>
    </row>
    <row r="38" spans="1:13" ht="16.5">
      <c r="A38" s="877"/>
      <c r="B38" s="877"/>
      <c r="C38" s="877"/>
      <c r="D38" s="877"/>
      <c r="E38" s="877"/>
      <c r="F38" s="885"/>
      <c r="G38" s="890" t="str">
        <f>"Total tuition, education, and textbook amounts claimed for "&amp;yeartext&amp;":"</f>
        <v>Total tuition, education, and textbook amounts claimed for 2006:</v>
      </c>
      <c r="H38" s="881" t="s">
        <v>1666</v>
      </c>
      <c r="I38" s="866"/>
      <c r="J38" s="826"/>
      <c r="K38" s="877"/>
      <c r="L38" s="877"/>
      <c r="M38" s="1339"/>
    </row>
    <row r="39" spans="1:13" ht="16.5">
      <c r="A39" s="865"/>
      <c r="B39" s="865"/>
      <c r="C39" s="865"/>
      <c r="D39" s="865"/>
      <c r="E39" s="865"/>
      <c r="F39" s="891"/>
      <c r="G39" s="891"/>
      <c r="H39" s="865"/>
      <c r="I39" s="891" t="s">
        <v>338</v>
      </c>
      <c r="J39" s="826"/>
      <c r="K39" s="892">
        <f>K34+K37</f>
        <v>0</v>
      </c>
      <c r="L39" s="879">
        <v>17</v>
      </c>
      <c r="M39" s="1339"/>
    </row>
    <row r="40" spans="1:13" ht="8.25" customHeight="1" thickBot="1">
      <c r="A40" s="877"/>
      <c r="B40" s="877"/>
      <c r="C40" s="877"/>
      <c r="D40" s="877"/>
      <c r="E40" s="877"/>
      <c r="F40" s="877"/>
      <c r="G40" s="877"/>
      <c r="H40" s="877"/>
      <c r="I40" s="877"/>
      <c r="J40" s="826"/>
      <c r="K40" s="877"/>
      <c r="L40" s="877"/>
      <c r="M40" s="1339"/>
    </row>
    <row r="41" spans="1:13" ht="22.5" customHeight="1">
      <c r="A41" s="893" t="s">
        <v>1667</v>
      </c>
      <c r="B41" s="1207"/>
      <c r="C41" s="894"/>
      <c r="D41" s="894"/>
      <c r="E41" s="894"/>
      <c r="F41" s="894"/>
      <c r="G41" s="894"/>
      <c r="H41" s="894"/>
      <c r="I41" s="894"/>
      <c r="J41" s="895"/>
      <c r="K41" s="894"/>
      <c r="L41" s="896"/>
      <c r="M41" s="1339"/>
    </row>
    <row r="42" spans="1:13" ht="16.5">
      <c r="A42" s="897" t="s">
        <v>1651</v>
      </c>
      <c r="B42" s="883"/>
      <c r="C42" s="883"/>
      <c r="D42" s="883"/>
      <c r="E42" s="883"/>
      <c r="F42" s="883"/>
      <c r="G42" s="883"/>
      <c r="H42" s="883"/>
      <c r="I42" s="883"/>
      <c r="J42" s="863"/>
      <c r="K42" s="898">
        <f>K29</f>
        <v>0</v>
      </c>
      <c r="L42" s="869">
        <v>18</v>
      </c>
      <c r="M42" s="1339"/>
    </row>
    <row r="43" spans="1:13" ht="17.25" thickBot="1">
      <c r="A43" s="899" t="s">
        <v>1652</v>
      </c>
      <c r="B43" s="886"/>
      <c r="C43" s="886"/>
      <c r="D43" s="886"/>
      <c r="E43" s="886"/>
      <c r="F43" s="886"/>
      <c r="G43" s="886"/>
      <c r="H43" s="886"/>
      <c r="I43" s="886"/>
      <c r="J43" s="863"/>
      <c r="K43" s="900">
        <f>K39</f>
        <v>0</v>
      </c>
      <c r="L43" s="869">
        <v>19</v>
      </c>
      <c r="M43" s="1339"/>
    </row>
    <row r="44" spans="1:13" ht="16.5">
      <c r="A44" s="901" t="s">
        <v>1179</v>
      </c>
      <c r="B44" s="1208"/>
      <c r="C44" s="886"/>
      <c r="D44" s="886"/>
      <c r="E44" s="886"/>
      <c r="F44" s="886"/>
      <c r="G44" s="886"/>
      <c r="H44" s="886"/>
      <c r="I44" s="888" t="s">
        <v>1653</v>
      </c>
      <c r="J44" s="863"/>
      <c r="K44" s="898">
        <f>K42-K43</f>
        <v>0</v>
      </c>
      <c r="L44" s="869">
        <v>20</v>
      </c>
      <c r="M44" s="1339"/>
    </row>
    <row r="45" spans="1:13" ht="27" customHeight="1">
      <c r="A45" s="858" t="s">
        <v>1654</v>
      </c>
      <c r="B45" s="861"/>
      <c r="C45" s="861"/>
      <c r="D45" s="861"/>
      <c r="E45" s="861"/>
      <c r="F45" s="861"/>
      <c r="G45" s="861"/>
      <c r="H45" s="861"/>
      <c r="I45" s="861"/>
      <c r="J45" s="863"/>
      <c r="K45" s="861"/>
      <c r="L45" s="864"/>
      <c r="M45" s="1339"/>
    </row>
    <row r="46" spans="1:13" ht="16.5">
      <c r="A46" s="902" t="s">
        <v>1655</v>
      </c>
      <c r="B46" s="1209"/>
      <c r="C46" s="861"/>
      <c r="D46" s="861"/>
      <c r="E46" s="861"/>
      <c r="F46" s="861"/>
      <c r="G46" s="861"/>
      <c r="H46" s="861"/>
      <c r="I46" s="861"/>
      <c r="J46" s="863"/>
      <c r="K46" s="861"/>
      <c r="L46" s="864"/>
      <c r="M46" s="1339"/>
    </row>
    <row r="47" spans="1:13" ht="16.5">
      <c r="A47" s="903" t="s">
        <v>1656</v>
      </c>
      <c r="B47" s="865"/>
      <c r="C47" s="865"/>
      <c r="D47" s="865"/>
      <c r="E47" s="865"/>
      <c r="F47" s="865"/>
      <c r="G47" s="865"/>
      <c r="H47" s="861"/>
      <c r="I47" s="871">
        <f>MINA(5000,K28)</f>
        <v>0</v>
      </c>
      <c r="J47" s="904">
        <v>21</v>
      </c>
      <c r="K47" s="861"/>
      <c r="L47" s="864"/>
      <c r="M47" s="1339"/>
    </row>
    <row r="48" spans="1:13" ht="17.25" thickBot="1">
      <c r="A48" s="903" t="s">
        <v>1657</v>
      </c>
      <c r="B48" s="865"/>
      <c r="C48" s="865"/>
      <c r="D48" s="865"/>
      <c r="E48" s="865"/>
      <c r="F48" s="865"/>
      <c r="G48" s="865"/>
      <c r="H48" s="861"/>
      <c r="I48" s="905">
        <f>K37</f>
        <v>0</v>
      </c>
      <c r="J48" s="904">
        <v>22</v>
      </c>
      <c r="K48" s="861"/>
      <c r="L48" s="864"/>
      <c r="M48" s="1339"/>
    </row>
    <row r="49" spans="1:13" ht="16.5">
      <c r="A49" s="860" t="s">
        <v>2262</v>
      </c>
      <c r="B49" s="1210"/>
      <c r="C49" s="865"/>
      <c r="D49" s="865"/>
      <c r="E49" s="865"/>
      <c r="F49" s="156"/>
      <c r="G49" s="156" t="s">
        <v>1658</v>
      </c>
      <c r="H49" s="861"/>
      <c r="I49" s="871">
        <f>MAXA(0,I47-I48)</f>
        <v>0</v>
      </c>
      <c r="J49" s="904">
        <v>23</v>
      </c>
      <c r="K49" s="861"/>
      <c r="L49" s="864"/>
      <c r="M49" s="1339"/>
    </row>
    <row r="50" spans="1:13" ht="23.25" customHeight="1">
      <c r="A50" s="858" t="s">
        <v>1659</v>
      </c>
      <c r="B50" s="861"/>
      <c r="C50" s="125"/>
      <c r="D50" s="125"/>
      <c r="E50" s="125"/>
      <c r="F50" s="105"/>
      <c r="G50" s="105"/>
      <c r="H50" s="125"/>
      <c r="I50" s="125"/>
      <c r="J50" s="103"/>
      <c r="K50" s="125"/>
      <c r="L50" s="857"/>
      <c r="M50" s="1339"/>
    </row>
    <row r="51" spans="1:13" ht="16.5">
      <c r="A51" s="858" t="s">
        <v>1529</v>
      </c>
      <c r="B51" s="861"/>
      <c r="C51" s="125"/>
      <c r="D51" s="125"/>
      <c r="E51" s="125"/>
      <c r="F51" s="105"/>
      <c r="G51" s="105"/>
      <c r="H51" s="125"/>
      <c r="I51" s="125"/>
      <c r="J51" s="103"/>
      <c r="K51" s="125"/>
      <c r="L51" s="857"/>
      <c r="M51" s="1339"/>
    </row>
    <row r="52" spans="1:13" ht="16.5">
      <c r="A52" s="858" t="s">
        <v>1660</v>
      </c>
      <c r="B52" s="861"/>
      <c r="C52" s="125"/>
      <c r="D52" s="125"/>
      <c r="E52" s="125"/>
      <c r="F52" s="105"/>
      <c r="G52" s="105"/>
      <c r="H52" s="125"/>
      <c r="I52" s="125"/>
      <c r="J52" s="103"/>
      <c r="K52" s="125"/>
      <c r="L52" s="857"/>
      <c r="M52" s="1339"/>
    </row>
    <row r="53" spans="1:13" ht="16.5">
      <c r="A53" s="858" t="s">
        <v>1661</v>
      </c>
      <c r="B53" s="861"/>
      <c r="C53" s="125"/>
      <c r="D53" s="125"/>
      <c r="E53" s="125"/>
      <c r="F53" s="105"/>
      <c r="G53" s="105"/>
      <c r="H53" s="125"/>
      <c r="I53" s="125"/>
      <c r="J53" s="103"/>
      <c r="K53" s="125"/>
      <c r="L53" s="857"/>
      <c r="M53" s="1339"/>
    </row>
    <row r="54" spans="1:13" ht="22.5" customHeight="1">
      <c r="A54" s="859" t="s">
        <v>311</v>
      </c>
      <c r="B54" s="863"/>
      <c r="C54" s="125"/>
      <c r="D54" s="125"/>
      <c r="E54" s="125"/>
      <c r="F54" s="105"/>
      <c r="G54" s="105"/>
      <c r="H54" s="125"/>
      <c r="I54" s="125"/>
      <c r="J54" s="103"/>
      <c r="K54" s="125"/>
      <c r="L54" s="857"/>
      <c r="M54" s="1339"/>
    </row>
    <row r="55" spans="1:13" ht="16.5">
      <c r="A55" s="858" t="s">
        <v>309</v>
      </c>
      <c r="B55" s="861"/>
      <c r="C55" s="125"/>
      <c r="D55" s="125"/>
      <c r="E55" s="125"/>
      <c r="F55" s="105"/>
      <c r="G55" s="105"/>
      <c r="H55" s="125"/>
      <c r="I55" s="125"/>
      <c r="J55" s="103"/>
      <c r="K55" s="125"/>
      <c r="L55" s="857"/>
      <c r="M55" s="1339"/>
    </row>
    <row r="56" spans="1:13" ht="16.5">
      <c r="A56" s="858" t="s">
        <v>310</v>
      </c>
      <c r="B56" s="861"/>
      <c r="C56" s="861"/>
      <c r="D56" s="861"/>
      <c r="E56" s="861"/>
      <c r="F56" s="862"/>
      <c r="G56" s="862"/>
      <c r="H56" s="861"/>
      <c r="I56" s="861"/>
      <c r="J56" s="863"/>
      <c r="K56" s="861"/>
      <c r="L56" s="864"/>
      <c r="M56" s="1339"/>
    </row>
    <row r="57" spans="1:13" ht="21" customHeight="1" thickBot="1">
      <c r="A57" s="860" t="s">
        <v>1662</v>
      </c>
      <c r="B57" s="1210"/>
      <c r="C57" s="865"/>
      <c r="D57" s="865"/>
      <c r="E57" s="865"/>
      <c r="F57" s="866"/>
      <c r="G57" s="866"/>
      <c r="H57" s="865"/>
      <c r="I57" s="865"/>
      <c r="J57" s="867">
        <v>327</v>
      </c>
      <c r="K57" s="868">
        <f>I49</f>
        <v>0</v>
      </c>
      <c r="L57" s="869">
        <v>24</v>
      </c>
      <c r="M57" s="1339"/>
    </row>
    <row r="58" spans="1:13" ht="16.5">
      <c r="A58" s="858"/>
      <c r="B58" s="861"/>
      <c r="C58" s="861"/>
      <c r="D58" s="861"/>
      <c r="E58" s="861"/>
      <c r="F58" s="862"/>
      <c r="G58" s="862"/>
      <c r="H58" s="861"/>
      <c r="I58" s="862"/>
      <c r="J58" s="863"/>
      <c r="K58" s="861"/>
      <c r="L58" s="864"/>
      <c r="M58" s="1339"/>
    </row>
    <row r="59" spans="1:13" ht="16.5">
      <c r="A59" s="860" t="s">
        <v>308</v>
      </c>
      <c r="B59" s="1210"/>
      <c r="C59" s="865"/>
      <c r="D59" s="865"/>
      <c r="E59" s="865"/>
      <c r="F59" s="866"/>
      <c r="G59" s="866"/>
      <c r="H59" s="865"/>
      <c r="I59" s="870" t="s">
        <v>1663</v>
      </c>
      <c r="J59" s="863"/>
      <c r="K59" s="871">
        <f>K44-K57</f>
        <v>0</v>
      </c>
      <c r="L59" s="869">
        <v>25</v>
      </c>
      <c r="M59" s="1339"/>
    </row>
    <row r="60" spans="1:13" ht="23.25" customHeight="1" thickBot="1">
      <c r="A60" s="872"/>
      <c r="B60" s="873"/>
      <c r="C60" s="873"/>
      <c r="D60" s="873"/>
      <c r="E60" s="873"/>
      <c r="F60" s="874"/>
      <c r="G60" s="874"/>
      <c r="H60" s="873"/>
      <c r="I60" s="873"/>
      <c r="J60" s="875" t="s">
        <v>933</v>
      </c>
      <c r="K60" s="873"/>
      <c r="L60" s="876"/>
      <c r="M60" s="1339"/>
    </row>
    <row r="61" spans="1:13" ht="6.75" customHeight="1">
      <c r="A61" s="80"/>
      <c r="B61" s="80"/>
      <c r="C61" s="80"/>
      <c r="D61" s="80"/>
      <c r="E61" s="80"/>
      <c r="F61" s="80"/>
      <c r="G61" s="80"/>
      <c r="H61" s="80"/>
      <c r="I61" s="80"/>
      <c r="J61" s="80"/>
      <c r="K61" s="80"/>
      <c r="L61" s="80" t="s">
        <v>1722</v>
      </c>
      <c r="M61" s="1339"/>
    </row>
    <row r="62" spans="1:2" ht="15">
      <c r="A62" s="62" t="s">
        <v>484</v>
      </c>
      <c r="B62" s="62"/>
    </row>
  </sheetData>
  <sheetProtection password="EC35" sheet="1" objects="1" scenarios="1"/>
  <mergeCells count="1">
    <mergeCell ref="M1:M61"/>
  </mergeCells>
  <hyperlinks>
    <hyperlink ref="M1:M61" location="'GO TO'!B19" display=" "/>
  </hyperlink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B1:O123"/>
  <sheetViews>
    <sheetView showGridLines="0" zoomScale="65" zoomScaleNormal="65" workbookViewId="0" topLeftCell="A1">
      <selection activeCell="B2" sqref="B2"/>
    </sheetView>
  </sheetViews>
  <sheetFormatPr defaultColWidth="8.88671875" defaultRowHeight="15"/>
  <cols>
    <col min="1" max="1" width="2.99609375" style="670" customWidth="1"/>
    <col min="2" max="2" width="8.3359375" style="670" customWidth="1"/>
    <col min="3" max="3" width="49.10546875" style="670" customWidth="1"/>
    <col min="4" max="4" width="6.4453125" style="670" customWidth="1"/>
    <col min="5" max="10" width="12.21484375" style="670" customWidth="1"/>
    <col min="11" max="11" width="14.4453125" style="670" customWidth="1"/>
    <col min="12" max="16384" width="8.88671875" style="670" customWidth="1"/>
  </cols>
  <sheetData>
    <row r="1" spans="2:12" ht="18">
      <c r="B1" s="36"/>
      <c r="C1" s="34" t="str">
        <f>"T4-"&amp;yeartext&amp;" SLIPS DATA ENTRY FORM"</f>
        <v>T4-2006 SLIPS DATA ENTRY FORM</v>
      </c>
      <c r="D1" s="34"/>
      <c r="E1" s="35" t="s">
        <v>1413</v>
      </c>
      <c r="F1" s="36"/>
      <c r="G1" s="36"/>
      <c r="H1" s="37"/>
      <c r="I1" s="36"/>
      <c r="J1" s="37" t="str">
        <f>yeartext</f>
        <v>2006</v>
      </c>
      <c r="K1" s="669"/>
      <c r="L1" s="1412" t="s">
        <v>1793</v>
      </c>
    </row>
    <row r="2" spans="2:12" ht="15.75">
      <c r="B2" s="36"/>
      <c r="C2" s="36"/>
      <c r="D2" s="38"/>
      <c r="E2" s="669"/>
      <c r="F2" s="36"/>
      <c r="G2" s="36"/>
      <c r="H2" s="36"/>
      <c r="I2" s="36"/>
      <c r="J2" s="36"/>
      <c r="K2" s="669"/>
      <c r="L2" s="1412"/>
    </row>
    <row r="3" spans="2:12" ht="18">
      <c r="B3" s="39"/>
      <c r="C3" s="39" t="s">
        <v>1414</v>
      </c>
      <c r="D3" s="36"/>
      <c r="E3" s="38"/>
      <c r="F3" s="36"/>
      <c r="G3" s="36"/>
      <c r="H3" s="36"/>
      <c r="I3" s="36"/>
      <c r="J3" s="36"/>
      <c r="K3" s="669"/>
      <c r="L3" s="1412"/>
    </row>
    <row r="4" spans="2:12" ht="18">
      <c r="B4" s="39"/>
      <c r="C4" s="39" t="s">
        <v>657</v>
      </c>
      <c r="D4" s="36"/>
      <c r="E4" s="38"/>
      <c r="F4" s="36"/>
      <c r="G4" s="36"/>
      <c r="H4" s="36"/>
      <c r="I4" s="36"/>
      <c r="J4" s="36"/>
      <c r="K4" s="669"/>
      <c r="L4" s="1412"/>
    </row>
    <row r="5" spans="2:12" ht="18">
      <c r="B5" s="39"/>
      <c r="C5" s="39" t="s">
        <v>252</v>
      </c>
      <c r="D5" s="36"/>
      <c r="E5" s="38"/>
      <c r="F5" s="36"/>
      <c r="G5" s="36"/>
      <c r="H5" s="36"/>
      <c r="I5" s="36"/>
      <c r="J5" s="36"/>
      <c r="K5" s="669"/>
      <c r="L5" s="1412"/>
    </row>
    <row r="6" spans="2:12" ht="18">
      <c r="B6" s="39"/>
      <c r="C6" s="39" t="s">
        <v>1865</v>
      </c>
      <c r="D6" s="36"/>
      <c r="E6" s="38"/>
      <c r="F6" s="36"/>
      <c r="G6" s="36"/>
      <c r="H6" s="36"/>
      <c r="I6" s="36"/>
      <c r="J6" s="36"/>
      <c r="K6" s="669"/>
      <c r="L6" s="1412"/>
    </row>
    <row r="7" spans="2:12" ht="18">
      <c r="B7" s="39"/>
      <c r="C7" s="39" t="s">
        <v>1866</v>
      </c>
      <c r="D7" s="36"/>
      <c r="E7" s="38"/>
      <c r="F7" s="36"/>
      <c r="G7" s="36"/>
      <c r="H7" s="36"/>
      <c r="I7" s="36"/>
      <c r="J7" s="36"/>
      <c r="K7" s="669"/>
      <c r="L7" s="1412"/>
    </row>
    <row r="8" spans="2:12" ht="18">
      <c r="B8" s="39"/>
      <c r="C8" s="39" t="s">
        <v>1286</v>
      </c>
      <c r="D8" s="36"/>
      <c r="E8" s="38"/>
      <c r="F8" s="36"/>
      <c r="G8" s="36"/>
      <c r="H8" s="36"/>
      <c r="I8" s="36"/>
      <c r="J8" s="36"/>
      <c r="K8" s="669"/>
      <c r="L8" s="1412"/>
    </row>
    <row r="9" spans="2:12" ht="18">
      <c r="B9" s="39"/>
      <c r="C9" s="39" t="s">
        <v>1390</v>
      </c>
      <c r="D9" s="36"/>
      <c r="E9" s="38"/>
      <c r="F9" s="36"/>
      <c r="G9" s="36"/>
      <c r="H9" s="36"/>
      <c r="I9" s="36"/>
      <c r="J9" s="36"/>
      <c r="K9" s="669"/>
      <c r="L9" s="1412"/>
    </row>
    <row r="10" spans="2:12" ht="18">
      <c r="B10" s="39"/>
      <c r="C10" s="39" t="s">
        <v>1826</v>
      </c>
      <c r="D10" s="36"/>
      <c r="E10" s="38"/>
      <c r="F10" s="36"/>
      <c r="G10" s="36"/>
      <c r="H10" s="36"/>
      <c r="I10" s="36"/>
      <c r="J10" s="36"/>
      <c r="K10" s="669"/>
      <c r="L10" s="1412"/>
    </row>
    <row r="11" spans="2:12" ht="18">
      <c r="B11" s="39"/>
      <c r="C11" s="39" t="s">
        <v>20</v>
      </c>
      <c r="D11" s="36"/>
      <c r="E11" s="38"/>
      <c r="F11" s="36"/>
      <c r="G11" s="36"/>
      <c r="H11" s="36"/>
      <c r="I11" s="36"/>
      <c r="J11" s="36"/>
      <c r="K11" s="669"/>
      <c r="L11" s="1412"/>
    </row>
    <row r="12" spans="2:12" ht="15.75">
      <c r="B12" s="40"/>
      <c r="C12" s="40"/>
      <c r="D12" s="40"/>
      <c r="E12" s="41"/>
      <c r="F12" s="40"/>
      <c r="G12" s="40"/>
      <c r="H12" s="40"/>
      <c r="I12" s="40"/>
      <c r="J12" s="40"/>
      <c r="K12" s="669"/>
      <c r="L12" s="1412"/>
    </row>
    <row r="13" spans="2:14" ht="36">
      <c r="B13" s="42" t="s">
        <v>1829</v>
      </c>
      <c r="C13" s="42" t="s">
        <v>1742</v>
      </c>
      <c r="D13" s="42" t="s">
        <v>1737</v>
      </c>
      <c r="E13" s="43" t="s">
        <v>1830</v>
      </c>
      <c r="F13" s="43" t="s">
        <v>1831</v>
      </c>
      <c r="G13" s="43" t="s">
        <v>1832</v>
      </c>
      <c r="H13" s="43" t="s">
        <v>1833</v>
      </c>
      <c r="I13" s="43" t="s">
        <v>502</v>
      </c>
      <c r="J13" s="43" t="s">
        <v>503</v>
      </c>
      <c r="K13" s="669"/>
      <c r="L13" s="1412"/>
      <c r="N13" s="958"/>
    </row>
    <row r="14" spans="2:12" ht="18">
      <c r="B14" s="365"/>
      <c r="C14" s="596" t="s">
        <v>1887</v>
      </c>
      <c r="D14" s="365"/>
      <c r="E14" s="597"/>
      <c r="F14" s="597"/>
      <c r="G14" s="597"/>
      <c r="H14" s="597"/>
      <c r="I14" s="597"/>
      <c r="J14" s="378"/>
      <c r="K14" s="669"/>
      <c r="L14" s="1412"/>
    </row>
    <row r="15" spans="2:12" ht="15.75">
      <c r="B15" s="44"/>
      <c r="C15" s="45"/>
      <c r="D15" s="44"/>
      <c r="E15" s="46"/>
      <c r="F15" s="45"/>
      <c r="G15" s="45"/>
      <c r="H15" s="45"/>
      <c r="I15" s="45"/>
      <c r="J15" s="669"/>
      <c r="K15" s="669"/>
      <c r="L15" s="1412"/>
    </row>
    <row r="16" spans="2:14" ht="18">
      <c r="B16" s="47"/>
      <c r="C16" s="48" t="s">
        <v>505</v>
      </c>
      <c r="D16" s="349" t="s">
        <v>504</v>
      </c>
      <c r="E16" s="285"/>
      <c r="F16" s="286" t="s">
        <v>288</v>
      </c>
      <c r="G16" s="286" t="s">
        <v>288</v>
      </c>
      <c r="H16" s="286" t="s">
        <v>288</v>
      </c>
      <c r="I16" s="287" t="s">
        <v>288</v>
      </c>
      <c r="J16" s="669"/>
      <c r="K16" s="669"/>
      <c r="L16" s="1412"/>
      <c r="N16" s="956"/>
    </row>
    <row r="17" spans="2:14" ht="18">
      <c r="B17" s="47"/>
      <c r="C17" s="49"/>
      <c r="D17" s="349"/>
      <c r="E17" s="46"/>
      <c r="F17" s="46"/>
      <c r="G17" s="45"/>
      <c r="H17" s="45"/>
      <c r="I17" s="45"/>
      <c r="J17" s="669"/>
      <c r="K17" s="669"/>
      <c r="L17" s="1412"/>
      <c r="N17" s="956"/>
    </row>
    <row r="18" spans="2:14" ht="18">
      <c r="B18" s="47" t="s">
        <v>507</v>
      </c>
      <c r="C18" s="50" t="s">
        <v>1827</v>
      </c>
      <c r="D18" s="349" t="s">
        <v>506</v>
      </c>
      <c r="E18" s="291"/>
      <c r="F18" s="292"/>
      <c r="G18" s="292"/>
      <c r="H18" s="292"/>
      <c r="I18" s="293"/>
      <c r="J18" s="671">
        <f>SUM(E18:I18)</f>
        <v>0</v>
      </c>
      <c r="K18" s="669"/>
      <c r="L18" s="1412"/>
      <c r="N18" s="956"/>
    </row>
    <row r="19" spans="2:14" ht="18">
      <c r="B19" s="47"/>
      <c r="C19" s="51"/>
      <c r="D19" s="349"/>
      <c r="E19" s="52"/>
      <c r="F19" s="49"/>
      <c r="G19" s="49"/>
      <c r="H19" s="49"/>
      <c r="I19" s="49"/>
      <c r="J19" s="676"/>
      <c r="K19" s="669"/>
      <c r="L19" s="1412"/>
      <c r="N19" s="956"/>
    </row>
    <row r="20" spans="2:14" ht="18">
      <c r="B20" s="47" t="s">
        <v>509</v>
      </c>
      <c r="C20" s="50" t="s">
        <v>661</v>
      </c>
      <c r="D20" s="349" t="s">
        <v>508</v>
      </c>
      <c r="E20" s="288"/>
      <c r="F20" s="289"/>
      <c r="G20" s="289"/>
      <c r="H20" s="289"/>
      <c r="I20" s="290"/>
      <c r="J20" s="678">
        <f>SUM(E20:I20)</f>
        <v>0</v>
      </c>
      <c r="K20" s="669"/>
      <c r="L20" s="1412"/>
      <c r="N20" s="956"/>
    </row>
    <row r="21" spans="2:14" ht="18">
      <c r="B21" s="47"/>
      <c r="C21" s="51"/>
      <c r="D21" s="349"/>
      <c r="E21" s="52"/>
      <c r="F21" s="49"/>
      <c r="G21" s="49"/>
      <c r="H21" s="49"/>
      <c r="I21" s="49"/>
      <c r="J21" s="676"/>
      <c r="K21" s="669"/>
      <c r="L21" s="1412"/>
      <c r="N21" s="956"/>
    </row>
    <row r="22" spans="2:14" ht="18">
      <c r="B22" s="47" t="s">
        <v>509</v>
      </c>
      <c r="C22" s="50" t="s">
        <v>1523</v>
      </c>
      <c r="D22" s="349" t="s">
        <v>510</v>
      </c>
      <c r="E22" s="288"/>
      <c r="F22" s="289"/>
      <c r="G22" s="289"/>
      <c r="H22" s="289"/>
      <c r="I22" s="290"/>
      <c r="J22" s="678">
        <f>SUM(E22:I22)</f>
        <v>0</v>
      </c>
      <c r="K22" s="669"/>
      <c r="L22" s="1412"/>
      <c r="N22" s="956"/>
    </row>
    <row r="23" spans="2:14" ht="18">
      <c r="B23" s="47"/>
      <c r="C23" s="51"/>
      <c r="D23" s="349"/>
      <c r="E23" s="52"/>
      <c r="F23" s="49"/>
      <c r="G23" s="49"/>
      <c r="H23" s="675"/>
      <c r="I23" s="49"/>
      <c r="J23" s="676"/>
      <c r="K23" s="669"/>
      <c r="L23" s="1412"/>
      <c r="N23" s="956"/>
    </row>
    <row r="24" spans="2:14" ht="18">
      <c r="B24" s="47" t="s">
        <v>512</v>
      </c>
      <c r="C24" s="50" t="s">
        <v>1524</v>
      </c>
      <c r="D24" s="349" t="s">
        <v>511</v>
      </c>
      <c r="E24" s="288"/>
      <c r="F24" s="289"/>
      <c r="G24" s="289"/>
      <c r="H24" s="289"/>
      <c r="I24" s="290"/>
      <c r="J24" s="678">
        <f>SUM(E24:I24)</f>
        <v>0</v>
      </c>
      <c r="K24" s="669"/>
      <c r="L24" s="1412"/>
      <c r="N24" s="956"/>
    </row>
    <row r="25" spans="2:14" ht="18">
      <c r="B25" s="44" t="s">
        <v>1378</v>
      </c>
      <c r="C25" s="51"/>
      <c r="D25" s="349"/>
      <c r="E25" s="52"/>
      <c r="F25" s="49"/>
      <c r="G25" s="49"/>
      <c r="H25" s="675"/>
      <c r="I25" s="49"/>
      <c r="J25" s="676"/>
      <c r="K25" s="669"/>
      <c r="L25" s="1412"/>
      <c r="N25" s="56"/>
    </row>
    <row r="26" spans="2:14" ht="18">
      <c r="B26" s="47" t="s">
        <v>514</v>
      </c>
      <c r="C26" s="50" t="s">
        <v>1526</v>
      </c>
      <c r="D26" s="349" t="s">
        <v>513</v>
      </c>
      <c r="E26" s="288"/>
      <c r="F26" s="289"/>
      <c r="G26" s="289"/>
      <c r="H26" s="289"/>
      <c r="I26" s="290"/>
      <c r="J26" s="678">
        <f>IF((J67+J70)=0,SUM(E26:I26),0)</f>
        <v>0</v>
      </c>
      <c r="K26" s="669"/>
      <c r="L26" s="1412"/>
      <c r="N26" s="956"/>
    </row>
    <row r="27" spans="2:14" ht="18">
      <c r="B27" s="47"/>
      <c r="C27" s="51"/>
      <c r="D27" s="349"/>
      <c r="E27" s="52"/>
      <c r="F27" s="49"/>
      <c r="G27" s="49"/>
      <c r="H27" s="675"/>
      <c r="I27" s="49"/>
      <c r="J27" s="676"/>
      <c r="K27" s="669"/>
      <c r="L27" s="1412"/>
      <c r="N27" s="956"/>
    </row>
    <row r="28" spans="2:14" ht="18">
      <c r="B28" s="47" t="s">
        <v>516</v>
      </c>
      <c r="C28" s="50" t="s">
        <v>1828</v>
      </c>
      <c r="D28" s="349" t="s">
        <v>515</v>
      </c>
      <c r="E28" s="288"/>
      <c r="F28" s="289"/>
      <c r="G28" s="289"/>
      <c r="H28" s="289"/>
      <c r="I28" s="290"/>
      <c r="J28" s="678">
        <f>SUM(E28:I28)</f>
        <v>0</v>
      </c>
      <c r="K28" s="669"/>
      <c r="L28" s="1412"/>
      <c r="N28" s="956"/>
    </row>
    <row r="29" spans="2:14" ht="18">
      <c r="B29" s="47"/>
      <c r="C29" s="50"/>
      <c r="D29" s="349"/>
      <c r="E29" s="52"/>
      <c r="F29" s="49"/>
      <c r="G29" s="49"/>
      <c r="H29" s="675"/>
      <c r="I29" s="49"/>
      <c r="J29" s="676"/>
      <c r="K29" s="669"/>
      <c r="L29" s="1412"/>
      <c r="N29" s="956"/>
    </row>
    <row r="30" spans="2:14" ht="18">
      <c r="B30" s="47"/>
      <c r="C30" s="50" t="s">
        <v>1636</v>
      </c>
      <c r="D30" s="349" t="s">
        <v>1635</v>
      </c>
      <c r="E30" s="288"/>
      <c r="F30" s="289"/>
      <c r="G30" s="289"/>
      <c r="H30" s="289"/>
      <c r="I30" s="290"/>
      <c r="J30" s="669"/>
      <c r="K30" s="669"/>
      <c r="L30" s="1412"/>
      <c r="N30" s="956"/>
    </row>
    <row r="31" spans="2:14" ht="18">
      <c r="B31" s="47"/>
      <c r="C31" s="50"/>
      <c r="D31" s="349"/>
      <c r="E31" s="52"/>
      <c r="F31" s="49"/>
      <c r="G31" s="49"/>
      <c r="H31" s="675"/>
      <c r="I31" s="49"/>
      <c r="J31" s="676"/>
      <c r="K31" s="669"/>
      <c r="L31" s="1412"/>
      <c r="N31" s="956"/>
    </row>
    <row r="32" spans="2:14" ht="18">
      <c r="B32" s="58" t="s">
        <v>2298</v>
      </c>
      <c r="C32" s="50" t="s">
        <v>1638</v>
      </c>
      <c r="D32" s="349" t="s">
        <v>1637</v>
      </c>
      <c r="E32" s="288"/>
      <c r="F32" s="289"/>
      <c r="G32" s="289"/>
      <c r="H32" s="289"/>
      <c r="I32" s="290"/>
      <c r="J32" s="669"/>
      <c r="K32" s="669"/>
      <c r="L32" s="1412"/>
      <c r="N32" s="957"/>
    </row>
    <row r="33" spans="2:14" ht="18">
      <c r="B33" s="58"/>
      <c r="C33" s="50"/>
      <c r="D33" s="349"/>
      <c r="E33" s="52"/>
      <c r="F33" s="49"/>
      <c r="G33" s="49"/>
      <c r="H33" s="675"/>
      <c r="I33" s="49"/>
      <c r="J33" s="669"/>
      <c r="K33" s="669"/>
      <c r="L33" s="1412"/>
      <c r="N33" s="957"/>
    </row>
    <row r="34" spans="2:14" ht="18">
      <c r="B34" s="58"/>
      <c r="C34" s="50" t="s">
        <v>147</v>
      </c>
      <c r="D34" s="349" t="s">
        <v>1351</v>
      </c>
      <c r="E34" s="1242" t="s">
        <v>399</v>
      </c>
      <c r="F34" s="1243" t="s">
        <v>399</v>
      </c>
      <c r="G34" s="1243" t="s">
        <v>399</v>
      </c>
      <c r="H34" s="1243" t="s">
        <v>399</v>
      </c>
      <c r="I34" s="1243" t="s">
        <v>399</v>
      </c>
      <c r="J34" s="669"/>
      <c r="K34" s="669"/>
      <c r="L34" s="1412"/>
      <c r="N34" s="957"/>
    </row>
    <row r="35" spans="2:14" ht="18">
      <c r="B35" s="58"/>
      <c r="C35" s="50" t="s">
        <v>148</v>
      </c>
      <c r="D35" s="349" t="s">
        <v>1351</v>
      </c>
      <c r="E35" s="1242" t="s">
        <v>399</v>
      </c>
      <c r="F35" s="1243" t="s">
        <v>399</v>
      </c>
      <c r="G35" s="1243" t="s">
        <v>399</v>
      </c>
      <c r="H35" s="1243" t="s">
        <v>399</v>
      </c>
      <c r="I35" s="1243" t="s">
        <v>399</v>
      </c>
      <c r="J35" s="669"/>
      <c r="K35" s="669"/>
      <c r="L35" s="1412"/>
      <c r="N35" s="957"/>
    </row>
    <row r="36" spans="2:14" ht="18">
      <c r="B36" s="58"/>
      <c r="C36" s="50" t="s">
        <v>149</v>
      </c>
      <c r="D36" s="349" t="s">
        <v>1351</v>
      </c>
      <c r="E36" s="1242" t="s">
        <v>399</v>
      </c>
      <c r="F36" s="1243" t="s">
        <v>399</v>
      </c>
      <c r="G36" s="1243" t="s">
        <v>399</v>
      </c>
      <c r="H36" s="1243" t="s">
        <v>399</v>
      </c>
      <c r="I36" s="1243" t="s">
        <v>399</v>
      </c>
      <c r="J36" s="669"/>
      <c r="K36" s="669"/>
      <c r="L36" s="1412"/>
      <c r="N36" s="957"/>
    </row>
    <row r="37" spans="2:14" ht="18">
      <c r="B37" s="47"/>
      <c r="C37" s="51"/>
      <c r="D37" s="349"/>
      <c r="E37" s="52"/>
      <c r="F37" s="49"/>
      <c r="G37" s="49"/>
      <c r="H37" s="675"/>
      <c r="I37" s="49"/>
      <c r="J37" s="676"/>
      <c r="K37" s="669"/>
      <c r="L37" s="1412"/>
      <c r="N37" s="956"/>
    </row>
    <row r="38" spans="2:14" ht="18">
      <c r="B38" s="47" t="s">
        <v>1953</v>
      </c>
      <c r="C38" s="53" t="s">
        <v>518</v>
      </c>
      <c r="D38" s="349" t="s">
        <v>517</v>
      </c>
      <c r="E38" s="288"/>
      <c r="F38" s="289"/>
      <c r="G38" s="289"/>
      <c r="H38" s="289"/>
      <c r="I38" s="290"/>
      <c r="J38" s="678">
        <f>SUM(E38:I38)</f>
        <v>0</v>
      </c>
      <c r="K38" s="669"/>
      <c r="L38" s="1412"/>
      <c r="N38" s="956"/>
    </row>
    <row r="39" spans="2:12" ht="18">
      <c r="B39" s="47"/>
      <c r="C39" s="54"/>
      <c r="D39" s="349"/>
      <c r="E39" s="52"/>
      <c r="F39" s="49"/>
      <c r="G39" s="49"/>
      <c r="H39" s="675"/>
      <c r="I39" s="49"/>
      <c r="J39" s="676"/>
      <c r="K39" s="669"/>
      <c r="L39" s="1412"/>
    </row>
    <row r="40" spans="2:15" ht="36">
      <c r="B40" s="47" t="s">
        <v>1955</v>
      </c>
      <c r="C40" s="53" t="s">
        <v>266</v>
      </c>
      <c r="D40" s="349" t="s">
        <v>1954</v>
      </c>
      <c r="E40" s="291"/>
      <c r="F40" s="292"/>
      <c r="G40" s="292"/>
      <c r="H40" s="292"/>
      <c r="I40" s="293"/>
      <c r="J40" s="671">
        <f>SUM(E40:I40)</f>
        <v>0</v>
      </c>
      <c r="K40" s="669"/>
      <c r="L40" s="1412"/>
      <c r="O40" s="956"/>
    </row>
    <row r="41" spans="2:15" ht="18">
      <c r="B41" s="47"/>
      <c r="C41" s="54"/>
      <c r="D41" s="349"/>
      <c r="E41" s="52"/>
      <c r="F41" s="49"/>
      <c r="G41" s="49"/>
      <c r="H41" s="675"/>
      <c r="I41" s="55"/>
      <c r="J41" s="679"/>
      <c r="K41" s="669"/>
      <c r="L41" s="1412"/>
      <c r="O41" s="956"/>
    </row>
    <row r="42" spans="2:15" ht="36">
      <c r="B42" s="47" t="s">
        <v>1955</v>
      </c>
      <c r="C42" s="53" t="s">
        <v>2217</v>
      </c>
      <c r="D42" s="349" t="s">
        <v>1956</v>
      </c>
      <c r="E42" s="291"/>
      <c r="F42" s="292"/>
      <c r="G42" s="292"/>
      <c r="H42" s="292"/>
      <c r="I42" s="293"/>
      <c r="J42" s="671">
        <f>SUM(E42:I42)</f>
        <v>0</v>
      </c>
      <c r="K42" s="669"/>
      <c r="L42" s="1412"/>
      <c r="O42" s="956"/>
    </row>
    <row r="43" spans="2:15" ht="18">
      <c r="B43" s="47"/>
      <c r="C43" s="53"/>
      <c r="D43" s="349"/>
      <c r="E43" s="52"/>
      <c r="F43" s="49"/>
      <c r="G43" s="49"/>
      <c r="H43" s="675"/>
      <c r="I43" s="49"/>
      <c r="J43" s="676"/>
      <c r="K43" s="669"/>
      <c r="L43" s="1412"/>
      <c r="O43" s="956"/>
    </row>
    <row r="44" spans="2:15" ht="18">
      <c r="B44" s="47" t="s">
        <v>648</v>
      </c>
      <c r="C44" s="53" t="s">
        <v>1389</v>
      </c>
      <c r="D44" s="349" t="s">
        <v>647</v>
      </c>
      <c r="E44" s="288"/>
      <c r="F44" s="289"/>
      <c r="G44" s="289"/>
      <c r="H44" s="289"/>
      <c r="I44" s="290"/>
      <c r="J44" s="678">
        <f>SUM(E44:I44)</f>
        <v>0</v>
      </c>
      <c r="K44" s="669"/>
      <c r="L44" s="1412"/>
      <c r="O44" s="956"/>
    </row>
    <row r="45" spans="2:15" ht="18">
      <c r="B45" s="47"/>
      <c r="C45" s="54"/>
      <c r="D45" s="349"/>
      <c r="E45" s="47"/>
      <c r="F45" s="47"/>
      <c r="G45" s="47"/>
      <c r="H45" s="47"/>
      <c r="I45" s="47"/>
      <c r="J45" s="676"/>
      <c r="K45" s="669"/>
      <c r="L45" s="1412"/>
      <c r="O45" s="956"/>
    </row>
    <row r="46" spans="2:15" ht="36">
      <c r="B46" s="47" t="s">
        <v>2254</v>
      </c>
      <c r="C46" s="53" t="s">
        <v>2218</v>
      </c>
      <c r="D46" s="349" t="s">
        <v>2177</v>
      </c>
      <c r="E46" s="291"/>
      <c r="F46" s="292"/>
      <c r="G46" s="292"/>
      <c r="H46" s="292"/>
      <c r="I46" s="293"/>
      <c r="J46" s="671">
        <f>SUM(E46:I46)</f>
        <v>0</v>
      </c>
      <c r="K46" s="669"/>
      <c r="L46" s="1412"/>
      <c r="O46" s="956"/>
    </row>
    <row r="47" spans="2:15" ht="18">
      <c r="B47" s="47"/>
      <c r="C47" s="54"/>
      <c r="D47" s="349"/>
      <c r="E47" s="47"/>
      <c r="F47" s="47"/>
      <c r="G47" s="47"/>
      <c r="H47" s="47"/>
      <c r="I47" s="47"/>
      <c r="J47" s="676"/>
      <c r="K47" s="669"/>
      <c r="L47" s="1412"/>
      <c r="O47" s="956"/>
    </row>
    <row r="48" spans="2:15" ht="18">
      <c r="B48" s="47" t="s">
        <v>650</v>
      </c>
      <c r="C48" s="50" t="s">
        <v>1525</v>
      </c>
      <c r="D48" s="349" t="s">
        <v>649</v>
      </c>
      <c r="E48" s="288"/>
      <c r="F48" s="289"/>
      <c r="G48" s="289"/>
      <c r="H48" s="289"/>
      <c r="I48" s="290"/>
      <c r="J48" s="678">
        <f>SUM(E48:I48)</f>
        <v>0</v>
      </c>
      <c r="K48" s="669"/>
      <c r="L48" s="1412"/>
      <c r="O48" s="956"/>
    </row>
    <row r="49" spans="2:15" ht="18">
      <c r="B49" s="47"/>
      <c r="C49" s="50"/>
      <c r="D49" s="349"/>
      <c r="E49" s="52"/>
      <c r="F49" s="49"/>
      <c r="G49" s="49"/>
      <c r="H49" s="675"/>
      <c r="I49" s="49"/>
      <c r="J49" s="676"/>
      <c r="K49" s="669"/>
      <c r="L49" s="1412"/>
      <c r="O49" s="956"/>
    </row>
    <row r="50" spans="2:15" ht="18">
      <c r="B50" s="58" t="s">
        <v>1007</v>
      </c>
      <c r="C50" s="50" t="s">
        <v>1731</v>
      </c>
      <c r="D50" s="349" t="s">
        <v>651</v>
      </c>
      <c r="E50" s="288"/>
      <c r="F50" s="289"/>
      <c r="G50" s="289"/>
      <c r="H50" s="289"/>
      <c r="I50" s="290"/>
      <c r="J50" s="678">
        <f>SUM(E50:I50)</f>
        <v>0</v>
      </c>
      <c r="K50" s="669"/>
      <c r="L50" s="1412"/>
      <c r="O50" s="957"/>
    </row>
    <row r="51" spans="2:15" ht="18">
      <c r="B51" s="47"/>
      <c r="C51" s="50"/>
      <c r="D51" s="349"/>
      <c r="E51" s="52"/>
      <c r="F51" s="49"/>
      <c r="G51" s="49"/>
      <c r="H51" s="675"/>
      <c r="I51" s="49"/>
      <c r="J51" s="676"/>
      <c r="K51" s="669"/>
      <c r="L51" s="1412"/>
      <c r="O51" s="956"/>
    </row>
    <row r="52" spans="2:15" ht="18">
      <c r="B52" s="47" t="s">
        <v>653</v>
      </c>
      <c r="C52" s="50" t="s">
        <v>1732</v>
      </c>
      <c r="D52" s="349" t="s">
        <v>652</v>
      </c>
      <c r="E52" s="288"/>
      <c r="F52" s="289"/>
      <c r="G52" s="289"/>
      <c r="H52" s="289"/>
      <c r="I52" s="290"/>
      <c r="J52" s="678">
        <f>SUM(E52:I52)</f>
        <v>0</v>
      </c>
      <c r="K52" s="669"/>
      <c r="L52" s="1412"/>
      <c r="O52" s="956"/>
    </row>
    <row r="53" spans="2:15" ht="18">
      <c r="B53" s="47"/>
      <c r="C53" s="50"/>
      <c r="D53" s="349"/>
      <c r="E53" s="52"/>
      <c r="F53" s="49"/>
      <c r="G53" s="49"/>
      <c r="H53" s="675"/>
      <c r="I53" s="49"/>
      <c r="J53" s="676"/>
      <c r="K53" s="669"/>
      <c r="L53" s="1412"/>
      <c r="O53" s="956"/>
    </row>
    <row r="54" spans="2:15" ht="18">
      <c r="B54" s="47" t="s">
        <v>656</v>
      </c>
      <c r="C54" s="50" t="s">
        <v>655</v>
      </c>
      <c r="D54" s="349" t="s">
        <v>654</v>
      </c>
      <c r="E54" s="288"/>
      <c r="F54" s="289"/>
      <c r="G54" s="289"/>
      <c r="H54" s="289"/>
      <c r="I54" s="290"/>
      <c r="J54" s="678">
        <f>SUM(E54:I54)</f>
        <v>0</v>
      </c>
      <c r="K54" s="669"/>
      <c r="L54" s="1412"/>
      <c r="O54" s="956"/>
    </row>
    <row r="55" spans="2:15" ht="18">
      <c r="B55" s="44" t="s">
        <v>1315</v>
      </c>
      <c r="C55" s="49"/>
      <c r="D55" s="44"/>
      <c r="E55" s="52"/>
      <c r="F55" s="49"/>
      <c r="G55" s="49"/>
      <c r="H55" s="675"/>
      <c r="I55" s="49"/>
      <c r="J55" s="676"/>
      <c r="K55" s="669"/>
      <c r="L55" s="1412"/>
      <c r="O55" s="56"/>
    </row>
    <row r="56" spans="2:12" ht="15">
      <c r="B56" s="680"/>
      <c r="C56" s="669"/>
      <c r="D56" s="44"/>
      <c r="E56" s="669"/>
      <c r="F56" s="669"/>
      <c r="G56" s="669"/>
      <c r="H56" s="669"/>
      <c r="I56" s="669"/>
      <c r="J56" s="669"/>
      <c r="K56" s="669"/>
      <c r="L56" s="1412"/>
    </row>
    <row r="57" spans="2:12" ht="18">
      <c r="B57" s="945" t="s">
        <v>512</v>
      </c>
      <c r="C57" s="676" t="s">
        <v>2219</v>
      </c>
      <c r="D57" s="44"/>
      <c r="E57" s="669"/>
      <c r="F57" s="954" t="s">
        <v>2185</v>
      </c>
      <c r="G57" s="289"/>
      <c r="H57" s="289"/>
      <c r="I57" s="290"/>
      <c r="J57" s="678">
        <f>SUM(G57:I57)</f>
        <v>0</v>
      </c>
      <c r="K57" s="669"/>
      <c r="L57" s="1412"/>
    </row>
    <row r="58" spans="2:12" ht="18">
      <c r="B58" s="680"/>
      <c r="C58" s="676" t="s">
        <v>150</v>
      </c>
      <c r="D58" s="44"/>
      <c r="E58" s="669"/>
      <c r="F58" s="669"/>
      <c r="G58" s="669"/>
      <c r="H58" s="669"/>
      <c r="I58" s="669"/>
      <c r="J58" s="669"/>
      <c r="K58" s="669"/>
      <c r="L58" s="1412"/>
    </row>
    <row r="59" spans="2:12" ht="18">
      <c r="B59" s="680"/>
      <c r="C59" s="676" t="s">
        <v>151</v>
      </c>
      <c r="D59" s="44"/>
      <c r="E59" s="669"/>
      <c r="F59" s="669"/>
      <c r="G59" s="669"/>
      <c r="H59" s="669"/>
      <c r="I59" s="669"/>
      <c r="J59" s="669"/>
      <c r="K59" s="669"/>
      <c r="L59" s="1412"/>
    </row>
    <row r="60" spans="2:12" ht="18">
      <c r="B60" s="680"/>
      <c r="C60" s="676"/>
      <c r="D60" s="44"/>
      <c r="E60" s="669"/>
      <c r="F60" s="669"/>
      <c r="G60" s="669"/>
      <c r="H60" s="669"/>
      <c r="I60" s="669"/>
      <c r="J60" s="669"/>
      <c r="K60" s="669"/>
      <c r="L60" s="1412"/>
    </row>
    <row r="61" spans="2:12" ht="18">
      <c r="B61" s="680"/>
      <c r="C61" s="947" t="s">
        <v>2069</v>
      </c>
      <c r="D61" s="44"/>
      <c r="E61" s="669"/>
      <c r="F61" s="954" t="s">
        <v>2186</v>
      </c>
      <c r="G61" s="289"/>
      <c r="H61" s="289"/>
      <c r="I61" s="290"/>
      <c r="J61" s="678">
        <f>SUM(G61:I61)</f>
        <v>0</v>
      </c>
      <c r="K61" s="669"/>
      <c r="L61" s="1412"/>
    </row>
    <row r="62" spans="2:12" ht="15">
      <c r="B62" s="680"/>
      <c r="C62" s="669"/>
      <c r="D62" s="44"/>
      <c r="E62" s="669"/>
      <c r="F62" s="669"/>
      <c r="G62" s="669"/>
      <c r="H62" s="669"/>
      <c r="I62" s="669"/>
      <c r="J62" s="669"/>
      <c r="K62" s="669"/>
      <c r="L62" s="1412"/>
    </row>
    <row r="63" spans="2:12" ht="18">
      <c r="B63" s="945" t="s">
        <v>1626</v>
      </c>
      <c r="C63" s="947" t="s">
        <v>318</v>
      </c>
      <c r="D63" s="44"/>
      <c r="E63" s="669"/>
      <c r="F63" s="954" t="s">
        <v>948</v>
      </c>
      <c r="G63" s="669"/>
      <c r="H63" s="676" t="s">
        <v>358</v>
      </c>
      <c r="I63" s="669"/>
      <c r="J63" s="669"/>
      <c r="K63" s="669"/>
      <c r="L63" s="1412"/>
    </row>
    <row r="64" spans="2:12" ht="18">
      <c r="B64" s="680"/>
      <c r="C64" s="947" t="s">
        <v>319</v>
      </c>
      <c r="D64" s="44"/>
      <c r="E64" s="669"/>
      <c r="F64" s="953"/>
      <c r="G64" s="669"/>
      <c r="H64" s="676" t="s">
        <v>2232</v>
      </c>
      <c r="I64" s="669"/>
      <c r="J64" s="669"/>
      <c r="K64" s="669"/>
      <c r="L64" s="1412"/>
    </row>
    <row r="65" spans="2:12" ht="18">
      <c r="B65" s="945" t="s">
        <v>1626</v>
      </c>
      <c r="C65" s="947" t="s">
        <v>2227</v>
      </c>
      <c r="D65" s="44"/>
      <c r="E65" s="669"/>
      <c r="F65" s="954" t="s">
        <v>949</v>
      </c>
      <c r="G65" s="669"/>
      <c r="H65" s="676" t="s">
        <v>358</v>
      </c>
      <c r="I65" s="669"/>
      <c r="J65" s="669"/>
      <c r="K65" s="669"/>
      <c r="L65" s="1412"/>
    </row>
    <row r="66" spans="2:12" ht="18">
      <c r="B66" s="680"/>
      <c r="C66" s="669"/>
      <c r="D66" s="44"/>
      <c r="E66" s="669"/>
      <c r="F66" s="953"/>
      <c r="G66" s="669"/>
      <c r="H66" s="676" t="s">
        <v>2232</v>
      </c>
      <c r="I66" s="669"/>
      <c r="J66" s="669"/>
      <c r="K66" s="669"/>
      <c r="L66" s="1412"/>
    </row>
    <row r="67" spans="2:12" ht="18">
      <c r="B67" s="945" t="s">
        <v>514</v>
      </c>
      <c r="C67" s="947" t="s">
        <v>2221</v>
      </c>
      <c r="D67" s="44"/>
      <c r="E67" s="669"/>
      <c r="F67" s="954" t="s">
        <v>2220</v>
      </c>
      <c r="G67" s="289"/>
      <c r="H67" s="289"/>
      <c r="I67" s="290"/>
      <c r="J67" s="678">
        <f>SUM(G67:I67)</f>
        <v>0</v>
      </c>
      <c r="K67" s="669"/>
      <c r="L67" s="1412"/>
    </row>
    <row r="68" spans="2:12" ht="18">
      <c r="B68" s="680"/>
      <c r="C68" s="676" t="s">
        <v>360</v>
      </c>
      <c r="D68" s="44"/>
      <c r="E68" s="669"/>
      <c r="F68" s="953"/>
      <c r="G68" s="946" t="s">
        <v>359</v>
      </c>
      <c r="H68" s="669"/>
      <c r="I68" s="669"/>
      <c r="J68" s="669"/>
      <c r="K68" s="669"/>
      <c r="L68" s="1412"/>
    </row>
    <row r="69" spans="2:12" ht="15.75">
      <c r="B69" s="680"/>
      <c r="C69" s="669"/>
      <c r="D69" s="44"/>
      <c r="E69" s="669"/>
      <c r="F69" s="953"/>
      <c r="G69" s="669"/>
      <c r="H69" s="669"/>
      <c r="I69" s="669"/>
      <c r="J69" s="669"/>
      <c r="K69" s="669"/>
      <c r="L69" s="1412"/>
    </row>
    <row r="70" spans="2:12" ht="18">
      <c r="B70" s="945" t="s">
        <v>514</v>
      </c>
      <c r="C70" s="947" t="s">
        <v>2223</v>
      </c>
      <c r="D70" s="44"/>
      <c r="E70" s="669"/>
      <c r="F70" s="954" t="s">
        <v>2222</v>
      </c>
      <c r="G70" s="289"/>
      <c r="H70" s="289"/>
      <c r="I70" s="290"/>
      <c r="J70" s="678">
        <f>SUM(G70:I70)</f>
        <v>0</v>
      </c>
      <c r="K70" s="669"/>
      <c r="L70" s="1412"/>
    </row>
    <row r="71" spans="2:12" ht="18">
      <c r="B71" s="680"/>
      <c r="C71" s="676" t="s">
        <v>360</v>
      </c>
      <c r="D71" s="44"/>
      <c r="E71" s="669"/>
      <c r="F71" s="953"/>
      <c r="G71" s="946" t="s">
        <v>359</v>
      </c>
      <c r="H71" s="669"/>
      <c r="I71" s="669"/>
      <c r="J71" s="669"/>
      <c r="K71" s="669"/>
      <c r="L71" s="1412"/>
    </row>
    <row r="72" spans="2:12" ht="15.75">
      <c r="B72" s="680"/>
      <c r="C72" s="669"/>
      <c r="D72" s="44"/>
      <c r="E72" s="669"/>
      <c r="F72" s="953"/>
      <c r="G72" s="669"/>
      <c r="H72" s="669"/>
      <c r="I72" s="669"/>
      <c r="J72" s="669"/>
      <c r="K72" s="669"/>
      <c r="L72" s="1412"/>
    </row>
    <row r="73" spans="2:12" ht="18">
      <c r="B73" s="945" t="s">
        <v>1774</v>
      </c>
      <c r="C73" s="947" t="s">
        <v>2225</v>
      </c>
      <c r="D73" s="44"/>
      <c r="E73" s="669"/>
      <c r="F73" s="954" t="s">
        <v>2224</v>
      </c>
      <c r="G73" s="289"/>
      <c r="H73" s="289"/>
      <c r="I73" s="290"/>
      <c r="J73" s="678">
        <f>SUM(G73:I73)</f>
        <v>0</v>
      </c>
      <c r="K73" s="669"/>
      <c r="L73" s="1412"/>
    </row>
    <row r="74" spans="2:12" ht="18">
      <c r="B74" s="680"/>
      <c r="C74" s="676" t="s">
        <v>2226</v>
      </c>
      <c r="D74" s="44"/>
      <c r="E74" s="669"/>
      <c r="F74" s="955"/>
      <c r="G74" s="669"/>
      <c r="H74" s="669"/>
      <c r="I74" s="669"/>
      <c r="J74" s="669"/>
      <c r="K74" s="669"/>
      <c r="L74" s="1412"/>
    </row>
    <row r="75" spans="2:12" ht="18">
      <c r="B75" s="680"/>
      <c r="C75" s="676"/>
      <c r="D75" s="44"/>
      <c r="E75" s="669"/>
      <c r="F75" s="955"/>
      <c r="G75" s="669"/>
      <c r="H75" s="669"/>
      <c r="I75" s="669"/>
      <c r="J75" s="669"/>
      <c r="K75" s="669"/>
      <c r="L75" s="1412"/>
    </row>
    <row r="76" spans="2:12" ht="18">
      <c r="B76" s="945" t="s">
        <v>1787</v>
      </c>
      <c r="C76" s="947" t="s">
        <v>2077</v>
      </c>
      <c r="D76" s="44"/>
      <c r="E76" s="669"/>
      <c r="F76" s="954" t="s">
        <v>2228</v>
      </c>
      <c r="G76" s="946" t="s">
        <v>2080</v>
      </c>
      <c r="H76" s="946"/>
      <c r="I76" s="669"/>
      <c r="J76" s="669"/>
      <c r="K76" s="669"/>
      <c r="L76" s="1412"/>
    </row>
    <row r="77" spans="2:12" ht="18">
      <c r="B77" s="945" t="s">
        <v>2086</v>
      </c>
      <c r="C77" s="676" t="s">
        <v>2229</v>
      </c>
      <c r="D77" s="44"/>
      <c r="E77" s="669"/>
      <c r="F77" s="954"/>
      <c r="G77" s="946" t="s">
        <v>357</v>
      </c>
      <c r="H77" s="946"/>
      <c r="I77" s="669"/>
      <c r="J77" s="669"/>
      <c r="K77" s="669"/>
      <c r="L77" s="1412"/>
    </row>
    <row r="78" spans="2:12" ht="15.75">
      <c r="B78" s="680"/>
      <c r="C78" s="669"/>
      <c r="D78" s="44"/>
      <c r="E78" s="669"/>
      <c r="F78" s="955"/>
      <c r="G78" s="669"/>
      <c r="H78" s="669"/>
      <c r="I78" s="669"/>
      <c r="J78" s="669"/>
      <c r="K78" s="669"/>
      <c r="L78" s="1412"/>
    </row>
    <row r="79" spans="2:12" ht="18">
      <c r="B79" s="945" t="s">
        <v>1787</v>
      </c>
      <c r="C79" s="947" t="s">
        <v>2078</v>
      </c>
      <c r="D79" s="44"/>
      <c r="E79" s="669"/>
      <c r="F79" s="954" t="s">
        <v>2230</v>
      </c>
      <c r="G79" s="946" t="s">
        <v>2080</v>
      </c>
      <c r="H79" s="669"/>
      <c r="I79" s="669"/>
      <c r="J79" s="669"/>
      <c r="K79" s="669"/>
      <c r="L79" s="1412"/>
    </row>
    <row r="80" spans="2:12" ht="18">
      <c r="B80" s="945" t="s">
        <v>2086</v>
      </c>
      <c r="C80" s="676" t="s">
        <v>2229</v>
      </c>
      <c r="D80" s="44"/>
      <c r="E80" s="669"/>
      <c r="F80" s="955"/>
      <c r="G80" s="946" t="s">
        <v>357</v>
      </c>
      <c r="H80" s="669"/>
      <c r="I80" s="669"/>
      <c r="J80" s="669"/>
      <c r="K80" s="669"/>
      <c r="L80" s="1412"/>
    </row>
    <row r="81" spans="2:12" ht="15.75">
      <c r="B81" s="680"/>
      <c r="C81" s="669"/>
      <c r="D81" s="44"/>
      <c r="E81" s="669"/>
      <c r="F81" s="955"/>
      <c r="G81" s="669"/>
      <c r="H81" s="669"/>
      <c r="I81" s="669"/>
      <c r="J81" s="669"/>
      <c r="K81" s="669"/>
      <c r="L81" s="1412"/>
    </row>
    <row r="82" spans="2:12" ht="18">
      <c r="B82" s="945" t="s">
        <v>1787</v>
      </c>
      <c r="C82" s="947" t="s">
        <v>2079</v>
      </c>
      <c r="D82" s="44"/>
      <c r="E82" s="669"/>
      <c r="F82" s="954" t="s">
        <v>2231</v>
      </c>
      <c r="G82" s="946" t="s">
        <v>2080</v>
      </c>
      <c r="H82" s="669"/>
      <c r="I82" s="669"/>
      <c r="J82" s="669"/>
      <c r="K82" s="669"/>
      <c r="L82" s="1412"/>
    </row>
    <row r="83" spans="2:12" ht="18">
      <c r="B83" s="945" t="s">
        <v>2086</v>
      </c>
      <c r="C83" s="676" t="s">
        <v>2229</v>
      </c>
      <c r="D83" s="44"/>
      <c r="E83" s="669"/>
      <c r="F83" s="669"/>
      <c r="G83" s="946" t="s">
        <v>357</v>
      </c>
      <c r="H83" s="669"/>
      <c r="I83" s="669"/>
      <c r="J83" s="669"/>
      <c r="K83" s="669"/>
      <c r="L83" s="1412"/>
    </row>
    <row r="84" spans="2:12" ht="18">
      <c r="B84" s="680"/>
      <c r="C84" s="676"/>
      <c r="D84" s="44"/>
      <c r="E84" s="669"/>
      <c r="F84" s="669"/>
      <c r="G84" s="946"/>
      <c r="H84" s="669"/>
      <c r="I84" s="669"/>
      <c r="J84" s="669"/>
      <c r="K84" s="669"/>
      <c r="L84" s="1412"/>
    </row>
    <row r="85" spans="2:12" ht="18">
      <c r="B85" s="945" t="s">
        <v>2085</v>
      </c>
      <c r="C85" s="947" t="s">
        <v>2073</v>
      </c>
      <c r="D85" s="44"/>
      <c r="E85" s="669"/>
      <c r="F85" s="954" t="s">
        <v>2070</v>
      </c>
      <c r="G85" s="946" t="s">
        <v>2081</v>
      </c>
      <c r="H85" s="946"/>
      <c r="I85" s="669"/>
      <c r="J85" s="669"/>
      <c r="K85" s="669"/>
      <c r="L85" s="1412"/>
    </row>
    <row r="86" spans="2:12" ht="18">
      <c r="B86" s="945" t="s">
        <v>1770</v>
      </c>
      <c r="C86" s="676" t="s">
        <v>2076</v>
      </c>
      <c r="D86" s="44"/>
      <c r="E86" s="669"/>
      <c r="F86" s="954"/>
      <c r="G86" s="946" t="s">
        <v>2082</v>
      </c>
      <c r="H86" s="946"/>
      <c r="I86" s="669"/>
      <c r="J86" s="669"/>
      <c r="K86" s="669"/>
      <c r="L86" s="1412"/>
    </row>
    <row r="87" spans="2:12" ht="15.75">
      <c r="B87" s="680"/>
      <c r="C87" s="669"/>
      <c r="D87" s="44"/>
      <c r="E87" s="669"/>
      <c r="F87" s="955"/>
      <c r="G87" s="669"/>
      <c r="H87" s="669"/>
      <c r="I87" s="669"/>
      <c r="J87" s="669"/>
      <c r="K87" s="669"/>
      <c r="L87" s="1412"/>
    </row>
    <row r="88" spans="2:12" ht="18">
      <c r="B88" s="945" t="s">
        <v>2085</v>
      </c>
      <c r="C88" s="947" t="s">
        <v>2074</v>
      </c>
      <c r="D88" s="44"/>
      <c r="E88" s="669"/>
      <c r="F88" s="954" t="s">
        <v>2071</v>
      </c>
      <c r="G88" s="946" t="s">
        <v>2081</v>
      </c>
      <c r="H88" s="669"/>
      <c r="I88" s="669"/>
      <c r="J88" s="669"/>
      <c r="K88" s="669"/>
      <c r="L88" s="1412"/>
    </row>
    <row r="89" spans="2:12" ht="18">
      <c r="B89" s="945" t="s">
        <v>1770</v>
      </c>
      <c r="C89" s="676" t="s">
        <v>2076</v>
      </c>
      <c r="D89" s="44"/>
      <c r="E89" s="669"/>
      <c r="F89" s="955"/>
      <c r="G89" s="946" t="s">
        <v>2082</v>
      </c>
      <c r="H89" s="669"/>
      <c r="I89" s="669"/>
      <c r="J89" s="669"/>
      <c r="K89" s="669"/>
      <c r="L89" s="1412"/>
    </row>
    <row r="90" spans="2:12" ht="15.75">
      <c r="B90" s="680"/>
      <c r="C90" s="669"/>
      <c r="D90" s="44"/>
      <c r="E90" s="669"/>
      <c r="F90" s="955"/>
      <c r="G90" s="669"/>
      <c r="H90" s="669"/>
      <c r="I90" s="669"/>
      <c r="J90" s="669"/>
      <c r="K90" s="669"/>
      <c r="L90" s="1412"/>
    </row>
    <row r="91" spans="2:12" ht="18">
      <c r="B91" s="945" t="s">
        <v>2085</v>
      </c>
      <c r="C91" s="947" t="s">
        <v>2075</v>
      </c>
      <c r="D91" s="44"/>
      <c r="E91" s="669"/>
      <c r="F91" s="954" t="s">
        <v>2072</v>
      </c>
      <c r="G91" s="946" t="s">
        <v>2081</v>
      </c>
      <c r="H91" s="669"/>
      <c r="I91" s="669"/>
      <c r="J91" s="669"/>
      <c r="K91" s="669"/>
      <c r="L91" s="1412"/>
    </row>
    <row r="92" spans="2:12" ht="18">
      <c r="B92" s="945" t="s">
        <v>1770</v>
      </c>
      <c r="C92" s="676" t="s">
        <v>2076</v>
      </c>
      <c r="D92" s="44"/>
      <c r="E92" s="669"/>
      <c r="F92" s="669"/>
      <c r="G92" s="946" t="s">
        <v>2082</v>
      </c>
      <c r="H92" s="669"/>
      <c r="I92" s="669"/>
      <c r="J92" s="669"/>
      <c r="K92" s="669"/>
      <c r="L92" s="1412"/>
    </row>
    <row r="93" spans="2:12" ht="18">
      <c r="B93" s="680"/>
      <c r="C93" s="676"/>
      <c r="D93" s="44"/>
      <c r="E93" s="669"/>
      <c r="F93" s="669"/>
      <c r="G93" s="946"/>
      <c r="H93" s="669"/>
      <c r="I93" s="669"/>
      <c r="J93" s="669"/>
      <c r="K93" s="669"/>
      <c r="L93" s="1412"/>
    </row>
    <row r="94" spans="2:12" ht="18">
      <c r="B94" s="945" t="s">
        <v>2083</v>
      </c>
      <c r="C94" s="947" t="s">
        <v>155</v>
      </c>
      <c r="D94" s="44"/>
      <c r="E94" s="669"/>
      <c r="F94" s="954" t="s">
        <v>2084</v>
      </c>
      <c r="G94" s="289"/>
      <c r="H94" s="289"/>
      <c r="I94" s="290"/>
      <c r="J94" s="678">
        <f>SUM(G94:I94)</f>
        <v>0</v>
      </c>
      <c r="K94" s="669"/>
      <c r="L94" s="1412"/>
    </row>
    <row r="95" spans="2:12" ht="18">
      <c r="B95" s="680"/>
      <c r="C95" s="676"/>
      <c r="D95" s="44"/>
      <c r="E95" s="669"/>
      <c r="F95" s="669"/>
      <c r="G95" s="946"/>
      <c r="H95" s="669"/>
      <c r="I95" s="669"/>
      <c r="J95" s="669"/>
      <c r="K95" s="669"/>
      <c r="L95" s="1412"/>
    </row>
    <row r="96" spans="2:12" ht="18">
      <c r="B96" s="945" t="s">
        <v>2088</v>
      </c>
      <c r="C96" s="947" t="s">
        <v>2090</v>
      </c>
      <c r="D96" s="44"/>
      <c r="E96" s="669"/>
      <c r="F96" s="954" t="s">
        <v>2089</v>
      </c>
      <c r="G96" s="289"/>
      <c r="H96" s="289"/>
      <c r="I96" s="290"/>
      <c r="J96" s="678">
        <f>SUM(G96:I96)</f>
        <v>0</v>
      </c>
      <c r="K96" s="669"/>
      <c r="L96" s="1412"/>
    </row>
    <row r="97" spans="2:12" ht="18">
      <c r="B97" s="945"/>
      <c r="C97" s="676" t="s">
        <v>2087</v>
      </c>
      <c r="D97" s="44"/>
      <c r="E97" s="669"/>
      <c r="F97" s="954"/>
      <c r="G97" s="946"/>
      <c r="H97" s="669"/>
      <c r="I97" s="669"/>
      <c r="J97" s="669"/>
      <c r="K97" s="669"/>
      <c r="L97" s="1412"/>
    </row>
    <row r="98" spans="2:12" ht="15.75" thickBot="1">
      <c r="B98" s="681"/>
      <c r="C98" s="674"/>
      <c r="D98" s="346"/>
      <c r="E98" s="674"/>
      <c r="F98" s="674"/>
      <c r="G98" s="674"/>
      <c r="H98" s="674"/>
      <c r="I98" s="674"/>
      <c r="J98" s="674"/>
      <c r="K98" s="669"/>
      <c r="L98" s="1412"/>
    </row>
    <row r="99" spans="2:12" ht="18">
      <c r="B99" s="680"/>
      <c r="C99" s="34" t="str">
        <f>"T4-"&amp;yeartext&amp;" DATA SUMMARY"</f>
        <v>T4-2006 DATA SUMMARY</v>
      </c>
      <c r="D99" s="34"/>
      <c r="E99" s="35" t="s">
        <v>1413</v>
      </c>
      <c r="F99" s="36"/>
      <c r="G99" s="36"/>
      <c r="H99" s="37"/>
      <c r="I99" s="36"/>
      <c r="J99" s="37" t="str">
        <f>yeartext</f>
        <v>2006</v>
      </c>
      <c r="K99" s="669"/>
      <c r="L99" s="1412"/>
    </row>
    <row r="100" spans="2:12" ht="15">
      <c r="B100" s="680"/>
      <c r="C100" s="669"/>
      <c r="D100" s="44"/>
      <c r="E100" s="669"/>
      <c r="F100" s="669"/>
      <c r="G100" s="669"/>
      <c r="H100" s="669"/>
      <c r="I100" s="669"/>
      <c r="J100" s="669"/>
      <c r="K100" s="669"/>
      <c r="L100" s="1412"/>
    </row>
    <row r="101" spans="2:12" ht="18">
      <c r="B101" s="680"/>
      <c r="C101" s="42" t="s">
        <v>1210</v>
      </c>
      <c r="D101" s="42" t="s">
        <v>1829</v>
      </c>
      <c r="E101" s="42" t="s">
        <v>1211</v>
      </c>
      <c r="F101" s="669"/>
      <c r="G101" s="669"/>
      <c r="H101" s="669"/>
      <c r="I101" s="669"/>
      <c r="J101" s="669"/>
      <c r="K101" s="669"/>
      <c r="L101" s="1412"/>
    </row>
    <row r="102" spans="2:12" ht="15">
      <c r="B102" s="680"/>
      <c r="C102" s="669"/>
      <c r="D102" s="44"/>
      <c r="E102" s="669"/>
      <c r="F102" s="669"/>
      <c r="G102" s="669"/>
      <c r="H102" s="669"/>
      <c r="I102" s="669"/>
      <c r="J102" s="669"/>
      <c r="K102" s="669"/>
      <c r="L102" s="1412"/>
    </row>
    <row r="103" spans="2:12" ht="18">
      <c r="B103" s="680"/>
      <c r="C103" s="334" t="s">
        <v>1209</v>
      </c>
      <c r="D103" s="335" t="s">
        <v>507</v>
      </c>
      <c r="E103" s="370">
        <f>J18</f>
        <v>0</v>
      </c>
      <c r="F103" s="669"/>
      <c r="G103" s="669"/>
      <c r="H103" s="669"/>
      <c r="I103" s="669"/>
      <c r="J103" s="669"/>
      <c r="K103" s="669"/>
      <c r="L103" s="1412"/>
    </row>
    <row r="104" spans="2:12" ht="18">
      <c r="B104" s="680"/>
      <c r="C104" s="328" t="s">
        <v>1209</v>
      </c>
      <c r="D104" s="329" t="s">
        <v>648</v>
      </c>
      <c r="E104" s="370">
        <f>J44</f>
        <v>0</v>
      </c>
      <c r="F104" s="669"/>
      <c r="G104" s="669"/>
      <c r="H104" s="669"/>
      <c r="I104" s="669"/>
      <c r="J104" s="669"/>
      <c r="K104" s="669"/>
      <c r="L104" s="1412"/>
    </row>
    <row r="105" spans="2:12" ht="18">
      <c r="B105" s="680"/>
      <c r="C105" s="328" t="s">
        <v>1213</v>
      </c>
      <c r="D105" s="329" t="s">
        <v>653</v>
      </c>
      <c r="E105" s="682">
        <f>J52</f>
        <v>0</v>
      </c>
      <c r="F105" s="669"/>
      <c r="G105" s="376" t="s">
        <v>1567</v>
      </c>
      <c r="H105" s="669"/>
      <c r="I105" s="669"/>
      <c r="J105" s="669"/>
      <c r="K105" s="669"/>
      <c r="L105" s="1412"/>
    </row>
    <row r="106" spans="2:12" ht="18">
      <c r="B106" s="680"/>
      <c r="C106" s="328" t="s">
        <v>1213</v>
      </c>
      <c r="D106" s="329" t="s">
        <v>514</v>
      </c>
      <c r="E106" s="682">
        <f>J26</f>
        <v>0</v>
      </c>
      <c r="F106" s="669"/>
      <c r="G106" s="376" t="s">
        <v>1568</v>
      </c>
      <c r="H106" s="669"/>
      <c r="I106" s="669"/>
      <c r="J106" s="669"/>
      <c r="K106" s="669"/>
      <c r="L106" s="1412"/>
    </row>
    <row r="107" spans="2:12" ht="18">
      <c r="B107" s="669"/>
      <c r="C107" s="328" t="s">
        <v>1213</v>
      </c>
      <c r="D107" s="329" t="s">
        <v>650</v>
      </c>
      <c r="E107" s="682">
        <f>J48</f>
        <v>0</v>
      </c>
      <c r="F107" s="669"/>
      <c r="G107" s="376"/>
      <c r="H107" s="669"/>
      <c r="I107" s="669"/>
      <c r="J107" s="669"/>
      <c r="K107" s="669"/>
      <c r="L107" s="1412"/>
    </row>
    <row r="108" spans="2:12" ht="18">
      <c r="B108" s="669"/>
      <c r="C108" s="328" t="s">
        <v>1213</v>
      </c>
      <c r="D108" s="329" t="s">
        <v>1774</v>
      </c>
      <c r="E108" s="682">
        <f>J73</f>
        <v>0</v>
      </c>
      <c r="F108" s="669"/>
      <c r="G108" s="376"/>
      <c r="H108" s="669"/>
      <c r="I108" s="669"/>
      <c r="J108" s="669"/>
      <c r="K108" s="669"/>
      <c r="L108" s="1412"/>
    </row>
    <row r="109" spans="2:12" ht="18">
      <c r="B109" s="669"/>
      <c r="C109" s="328" t="s">
        <v>1213</v>
      </c>
      <c r="D109" s="329" t="s">
        <v>2254</v>
      </c>
      <c r="E109" s="682">
        <f>J46</f>
        <v>0</v>
      </c>
      <c r="F109" s="669"/>
      <c r="G109" s="376"/>
      <c r="H109" s="669"/>
      <c r="I109" s="669"/>
      <c r="J109" s="669"/>
      <c r="K109" s="669"/>
      <c r="L109" s="1412"/>
    </row>
    <row r="110" spans="2:12" ht="18">
      <c r="B110" s="669"/>
      <c r="C110" s="328" t="s">
        <v>1213</v>
      </c>
      <c r="D110" s="329" t="s">
        <v>1953</v>
      </c>
      <c r="E110" s="682">
        <f>J38</f>
        <v>0</v>
      </c>
      <c r="F110" s="669"/>
      <c r="G110" s="366" t="s">
        <v>1569</v>
      </c>
      <c r="H110" s="669"/>
      <c r="I110" s="669"/>
      <c r="J110" s="669"/>
      <c r="K110" s="669"/>
      <c r="L110" s="1412"/>
    </row>
    <row r="111" spans="2:12" ht="18">
      <c r="B111" s="669"/>
      <c r="C111" s="328" t="s">
        <v>1213</v>
      </c>
      <c r="D111" s="329" t="s">
        <v>1955</v>
      </c>
      <c r="E111" s="682">
        <f>J40+J42</f>
        <v>0</v>
      </c>
      <c r="F111" s="669"/>
      <c r="G111" s="366" t="s">
        <v>1570</v>
      </c>
      <c r="H111" s="669"/>
      <c r="I111" s="669"/>
      <c r="J111" s="669"/>
      <c r="K111" s="669"/>
      <c r="L111" s="1412"/>
    </row>
    <row r="112" spans="2:12" ht="18">
      <c r="B112" s="669"/>
      <c r="C112" s="328" t="s">
        <v>389</v>
      </c>
      <c r="D112" s="329" t="s">
        <v>516</v>
      </c>
      <c r="E112" s="682">
        <f>J28</f>
        <v>0</v>
      </c>
      <c r="F112" s="669"/>
      <c r="G112" s="366" t="s">
        <v>453</v>
      </c>
      <c r="H112" s="669"/>
      <c r="I112" s="669"/>
      <c r="J112" s="669"/>
      <c r="K112" s="669"/>
      <c r="L112" s="1412"/>
    </row>
    <row r="113" spans="2:12" ht="18">
      <c r="B113" s="669"/>
      <c r="C113" s="328" t="s">
        <v>1606</v>
      </c>
      <c r="D113" s="329" t="s">
        <v>2088</v>
      </c>
      <c r="E113" s="682">
        <f>J96</f>
        <v>0</v>
      </c>
      <c r="F113" s="669"/>
      <c r="G113" s="366"/>
      <c r="H113" s="669"/>
      <c r="I113" s="669"/>
      <c r="J113" s="669"/>
      <c r="K113" s="669"/>
      <c r="L113" s="1412"/>
    </row>
    <row r="114" spans="2:12" ht="18">
      <c r="B114" s="669"/>
      <c r="C114" s="328" t="s">
        <v>1606</v>
      </c>
      <c r="D114" s="329" t="s">
        <v>2083</v>
      </c>
      <c r="E114" s="678">
        <f>J94</f>
        <v>0</v>
      </c>
      <c r="F114" s="669"/>
      <c r="G114" s="366"/>
      <c r="H114" s="669"/>
      <c r="I114" s="669"/>
      <c r="J114" s="669"/>
      <c r="K114" s="669"/>
      <c r="L114" s="1412"/>
    </row>
    <row r="115" spans="2:12" ht="18">
      <c r="B115" s="669"/>
      <c r="C115" s="328" t="s">
        <v>1607</v>
      </c>
      <c r="D115" s="329" t="s">
        <v>617</v>
      </c>
      <c r="E115" s="682">
        <f>IF(E32=0,E18,E32)+IF(F32=0,F18,F32)+IF(G32=0,G18,G32)+IF(H32=0,H18,H32)+IF(I32=0,I18,I32)</f>
        <v>0</v>
      </c>
      <c r="F115" s="669"/>
      <c r="G115" s="366" t="s">
        <v>1566</v>
      </c>
      <c r="H115" s="669"/>
      <c r="I115" s="669"/>
      <c r="J115" s="669"/>
      <c r="K115" s="669"/>
      <c r="L115" s="1412"/>
    </row>
    <row r="116" spans="2:12" ht="18">
      <c r="B116" s="669"/>
      <c r="C116" s="328" t="s">
        <v>1607</v>
      </c>
      <c r="D116" s="329" t="s">
        <v>750</v>
      </c>
      <c r="E116" s="682">
        <f>J20+J22</f>
        <v>0</v>
      </c>
      <c r="F116" s="669"/>
      <c r="G116" s="366"/>
      <c r="H116" s="669"/>
      <c r="I116" s="669"/>
      <c r="J116" s="669"/>
      <c r="K116" s="669"/>
      <c r="L116" s="1412"/>
    </row>
    <row r="117" spans="2:12" ht="18">
      <c r="B117" s="669"/>
      <c r="C117" s="328" t="s">
        <v>390</v>
      </c>
      <c r="D117" s="329" t="s">
        <v>925</v>
      </c>
      <c r="E117" s="682">
        <f>J50</f>
        <v>0</v>
      </c>
      <c r="F117" s="669"/>
      <c r="G117" s="669"/>
      <c r="H117" s="669"/>
      <c r="I117" s="669"/>
      <c r="J117" s="669"/>
      <c r="K117" s="669"/>
      <c r="L117" s="1412"/>
    </row>
    <row r="118" spans="2:12" ht="18">
      <c r="B118" s="669"/>
      <c r="C118" s="328" t="s">
        <v>988</v>
      </c>
      <c r="D118" s="329" t="s">
        <v>656</v>
      </c>
      <c r="E118" s="682">
        <f>J54</f>
        <v>0</v>
      </c>
      <c r="F118" s="669"/>
      <c r="G118" s="669"/>
      <c r="H118" s="669"/>
      <c r="I118" s="669"/>
      <c r="J118" s="669"/>
      <c r="K118" s="669"/>
      <c r="L118" s="1412"/>
    </row>
    <row r="119" spans="2:12" ht="18">
      <c r="B119" s="669"/>
      <c r="C119" s="328" t="s">
        <v>1378</v>
      </c>
      <c r="D119" s="329" t="s">
        <v>483</v>
      </c>
      <c r="E119" s="682">
        <f>IF(E32=0,E18,E32)+IF(F32=0,F18,F32)+IF(G32=0,G18,G32)+IF(H32=0,H18,H32)+IF(I32=0,I18,I32)</f>
        <v>0</v>
      </c>
      <c r="F119" s="669"/>
      <c r="G119" s="669"/>
      <c r="H119" s="669"/>
      <c r="I119" s="669"/>
      <c r="J119" s="669"/>
      <c r="K119" s="669"/>
      <c r="L119" s="1412"/>
    </row>
    <row r="120" spans="2:12" ht="18">
      <c r="B120" s="669"/>
      <c r="C120" s="328" t="s">
        <v>1378</v>
      </c>
      <c r="D120" s="329" t="s">
        <v>6</v>
      </c>
      <c r="E120" s="682">
        <f>J20+J22</f>
        <v>0</v>
      </c>
      <c r="F120" s="669"/>
      <c r="G120" s="669"/>
      <c r="H120" s="669"/>
      <c r="I120" s="669"/>
      <c r="J120" s="669"/>
      <c r="K120" s="669"/>
      <c r="L120" s="1412"/>
    </row>
    <row r="121" spans="2:12" ht="18">
      <c r="B121" s="669"/>
      <c r="C121" s="328" t="s">
        <v>1378</v>
      </c>
      <c r="D121" s="329" t="s">
        <v>1496</v>
      </c>
      <c r="E121" s="682">
        <f>IF(E30=0,E18,E30)+IF(F30=0,F18,F30)+IF(G30=0,G18,G30)+IF(H30=0,H18,H30)+IF(I30=0,I18,I30)</f>
        <v>0</v>
      </c>
      <c r="F121" s="669"/>
      <c r="G121" s="669"/>
      <c r="H121" s="669"/>
      <c r="I121" s="669"/>
      <c r="J121" s="669"/>
      <c r="K121" s="669"/>
      <c r="L121" s="1412"/>
    </row>
    <row r="122" spans="2:12" ht="18">
      <c r="B122" s="669"/>
      <c r="C122" s="328" t="s">
        <v>1378</v>
      </c>
      <c r="D122" s="329" t="s">
        <v>1617</v>
      </c>
      <c r="E122" s="682">
        <f>J24+J57</f>
        <v>0</v>
      </c>
      <c r="F122" s="669"/>
      <c r="G122" s="669"/>
      <c r="H122" s="669"/>
      <c r="I122" s="669"/>
      <c r="J122" s="669"/>
      <c r="K122" s="669"/>
      <c r="L122" s="1412"/>
    </row>
    <row r="123" spans="2:12" ht="18">
      <c r="B123" s="669"/>
      <c r="C123" s="349"/>
      <c r="D123" s="47"/>
      <c r="E123" s="683"/>
      <c r="F123" s="669"/>
      <c r="G123" s="669"/>
      <c r="H123" s="669"/>
      <c r="I123" s="669"/>
      <c r="J123" s="669"/>
      <c r="K123" s="669"/>
      <c r="L123" s="1412"/>
    </row>
  </sheetData>
  <sheetProtection password="EC35" sheet="1" objects="1" scenarios="1"/>
  <mergeCells count="1">
    <mergeCell ref="L1:L123"/>
  </mergeCells>
  <dataValidations count="1">
    <dataValidation type="list" allowBlank="1" showInputMessage="1" showErrorMessage="1" sqref="E34:I36">
      <formula1>"Yes,No"</formula1>
    </dataValidation>
  </dataValidations>
  <hyperlinks>
    <hyperlink ref="L1:L123" location="'GO TO'!G7" display=" "/>
  </hyperlinks>
  <printOptions horizontalCentered="1"/>
  <pageMargins left="0" right="0" top="0" bottom="0" header="0.5" footer="0.5"/>
  <pageSetup fitToHeight="0" fitToWidth="1" horizontalDpi="600" verticalDpi="600" orientation="portrait" scale="56" r:id="rId3"/>
  <ignoredErrors>
    <ignoredError sqref="D54 D52 D50 D48 D46 D38 D40 D42 D44 D32 D30 D28 D26 D24 D22 D20 D18 D16" numberStoredAsText="1"/>
  </ignoredErrors>
  <legacyDrawing r:id="rId2"/>
</worksheet>
</file>

<file path=xl/worksheets/sheet25.xml><?xml version="1.0" encoding="utf-8"?>
<worksheet xmlns="http://schemas.openxmlformats.org/spreadsheetml/2006/main" xmlns:r="http://schemas.openxmlformats.org/officeDocument/2006/relationships">
  <sheetPr codeName="Sheet211">
    <pageSetUpPr fitToPage="1"/>
  </sheetPr>
  <dimension ref="A1:Q80"/>
  <sheetViews>
    <sheetView showGridLines="0" zoomScale="56" zoomScaleNormal="56" workbookViewId="0" topLeftCell="A1">
      <selection activeCell="A2" sqref="A2"/>
    </sheetView>
  </sheetViews>
  <sheetFormatPr defaultColWidth="8.88671875" defaultRowHeight="15"/>
  <cols>
    <col min="1" max="1" width="5.21484375" style="670" customWidth="1"/>
    <col min="2" max="2" width="8.3359375" style="670" customWidth="1"/>
    <col min="3" max="3" width="38.77734375" style="670" customWidth="1"/>
    <col min="4" max="4" width="7.99609375" style="670" customWidth="1"/>
    <col min="5" max="10" width="12.21484375" style="670" customWidth="1"/>
    <col min="11" max="11" width="3.4453125" style="670" customWidth="1"/>
    <col min="12" max="12" width="11.4453125" style="670" customWidth="1"/>
    <col min="13" max="16384" width="8.88671875" style="670" customWidth="1"/>
  </cols>
  <sheetData>
    <row r="1" spans="2:12" ht="18">
      <c r="B1" s="36"/>
      <c r="C1" s="34" t="str">
        <f>"T4A-"&amp;yeartext&amp;" SLIPS DATA ENTRY FORM"</f>
        <v>T4A-2006 SLIPS DATA ENTRY FORM</v>
      </c>
      <c r="D1" s="34"/>
      <c r="E1" s="817"/>
      <c r="F1" s="36"/>
      <c r="G1" s="36"/>
      <c r="H1" s="37"/>
      <c r="I1" s="379" t="s">
        <v>1998</v>
      </c>
      <c r="J1" s="37" t="str">
        <f>yeartext</f>
        <v>2006</v>
      </c>
      <c r="K1" s="669"/>
      <c r="L1" s="1412" t="s">
        <v>1793</v>
      </c>
    </row>
    <row r="2" spans="2:12" ht="15.75">
      <c r="B2" s="36"/>
      <c r="C2" s="36"/>
      <c r="D2" s="38"/>
      <c r="E2" s="669"/>
      <c r="F2" s="36"/>
      <c r="G2" s="36"/>
      <c r="H2" s="36"/>
      <c r="I2" s="36"/>
      <c r="J2" s="36"/>
      <c r="K2" s="669"/>
      <c r="L2" s="1412"/>
    </row>
    <row r="3" spans="2:12" ht="18">
      <c r="B3" s="39"/>
      <c r="C3" s="39" t="s">
        <v>1999</v>
      </c>
      <c r="D3" s="36"/>
      <c r="E3" s="38"/>
      <c r="F3" s="36"/>
      <c r="G3" s="36"/>
      <c r="H3" s="36"/>
      <c r="I3" s="36"/>
      <c r="J3" s="36"/>
      <c r="K3" s="669"/>
      <c r="L3" s="1412"/>
    </row>
    <row r="4" spans="2:12" ht="18">
      <c r="B4" s="39"/>
      <c r="C4" s="39" t="s">
        <v>18</v>
      </c>
      <c r="D4" s="36"/>
      <c r="E4" s="38"/>
      <c r="F4" s="36"/>
      <c r="G4" s="36"/>
      <c r="H4" s="36"/>
      <c r="I4" s="36"/>
      <c r="J4" s="36"/>
      <c r="K4" s="669"/>
      <c r="L4" s="1412"/>
    </row>
    <row r="5" spans="2:12" ht="18">
      <c r="B5" s="39"/>
      <c r="C5" s="39" t="s">
        <v>253</v>
      </c>
      <c r="D5" s="36"/>
      <c r="E5" s="38"/>
      <c r="F5" s="36"/>
      <c r="G5" s="36"/>
      <c r="H5" s="36"/>
      <c r="I5" s="36"/>
      <c r="J5" s="36"/>
      <c r="K5" s="669"/>
      <c r="L5" s="1412"/>
    </row>
    <row r="6" spans="2:12" ht="18">
      <c r="B6" s="39"/>
      <c r="C6" s="39" t="s">
        <v>350</v>
      </c>
      <c r="D6" s="36"/>
      <c r="E6" s="38"/>
      <c r="F6" s="36"/>
      <c r="G6" s="36"/>
      <c r="H6" s="36"/>
      <c r="I6" s="36"/>
      <c r="J6" s="36"/>
      <c r="K6" s="669"/>
      <c r="L6" s="1412"/>
    </row>
    <row r="7" spans="2:12" ht="18">
      <c r="B7" s="39"/>
      <c r="C7" s="39" t="s">
        <v>622</v>
      </c>
      <c r="D7" s="36"/>
      <c r="E7" s="38"/>
      <c r="F7" s="36"/>
      <c r="G7" s="36"/>
      <c r="H7" s="36"/>
      <c r="I7" s="36"/>
      <c r="J7" s="36"/>
      <c r="K7" s="669"/>
      <c r="L7" s="1412"/>
    </row>
    <row r="8" spans="2:12" ht="18">
      <c r="B8" s="39"/>
      <c r="C8" s="39" t="s">
        <v>772</v>
      </c>
      <c r="D8" s="36"/>
      <c r="E8" s="38"/>
      <c r="F8" s="36"/>
      <c r="G8" s="36"/>
      <c r="H8" s="36"/>
      <c r="I8" s="36"/>
      <c r="J8" s="36"/>
      <c r="K8" s="669"/>
      <c r="L8" s="1412"/>
    </row>
    <row r="9" spans="2:12" ht="18">
      <c r="B9" s="39"/>
      <c r="C9" s="39" t="s">
        <v>663</v>
      </c>
      <c r="D9" s="36"/>
      <c r="E9" s="38"/>
      <c r="F9" s="36"/>
      <c r="G9" s="36"/>
      <c r="H9" s="36"/>
      <c r="I9" s="36"/>
      <c r="J9" s="36"/>
      <c r="K9" s="669"/>
      <c r="L9" s="1412"/>
    </row>
    <row r="10" spans="2:12" ht="18">
      <c r="B10" s="39"/>
      <c r="C10" s="39" t="s">
        <v>1826</v>
      </c>
      <c r="D10" s="36"/>
      <c r="E10" s="38"/>
      <c r="F10" s="36"/>
      <c r="G10" s="36"/>
      <c r="H10" s="36"/>
      <c r="I10" s="36"/>
      <c r="J10" s="36"/>
      <c r="K10" s="669"/>
      <c r="L10" s="1412"/>
    </row>
    <row r="11" spans="2:12" ht="18">
      <c r="B11" s="39"/>
      <c r="C11" s="39" t="s">
        <v>20</v>
      </c>
      <c r="D11" s="36"/>
      <c r="E11" s="38"/>
      <c r="F11" s="36"/>
      <c r="G11" s="36"/>
      <c r="H11" s="36"/>
      <c r="I11" s="36"/>
      <c r="J11" s="36"/>
      <c r="K11" s="669"/>
      <c r="L11" s="1412"/>
    </row>
    <row r="12" spans="2:12" ht="15.75">
      <c r="B12" s="40"/>
      <c r="C12" s="40"/>
      <c r="D12" s="40"/>
      <c r="E12" s="41"/>
      <c r="F12" s="40"/>
      <c r="G12" s="40"/>
      <c r="H12" s="40"/>
      <c r="I12" s="40"/>
      <c r="J12" s="40"/>
      <c r="K12" s="669"/>
      <c r="L12" s="1412"/>
    </row>
    <row r="13" spans="2:12" ht="42" customHeight="1">
      <c r="B13" s="42" t="s">
        <v>1829</v>
      </c>
      <c r="C13" s="42" t="s">
        <v>1742</v>
      </c>
      <c r="D13" s="42" t="s">
        <v>1737</v>
      </c>
      <c r="E13" s="43" t="s">
        <v>773</v>
      </c>
      <c r="F13" s="43" t="s">
        <v>774</v>
      </c>
      <c r="G13" s="43" t="s">
        <v>775</v>
      </c>
      <c r="H13" s="43" t="s">
        <v>776</v>
      </c>
      <c r="I13" s="43" t="s">
        <v>777</v>
      </c>
      <c r="J13" s="43" t="s">
        <v>503</v>
      </c>
      <c r="K13" s="669"/>
      <c r="L13" s="1412"/>
    </row>
    <row r="14" spans="2:12" ht="15.75">
      <c r="B14" s="44"/>
      <c r="C14" s="45"/>
      <c r="D14" s="44"/>
      <c r="E14" s="46"/>
      <c r="F14" s="45"/>
      <c r="G14" s="45"/>
      <c r="H14" s="45"/>
      <c r="I14" s="45"/>
      <c r="J14" s="669"/>
      <c r="K14" s="669"/>
      <c r="L14" s="1412"/>
    </row>
    <row r="15" spans="2:12" ht="18">
      <c r="B15" s="47" t="s">
        <v>1987</v>
      </c>
      <c r="C15" s="48" t="s">
        <v>779</v>
      </c>
      <c r="D15" s="349" t="s">
        <v>508</v>
      </c>
      <c r="E15" s="291"/>
      <c r="F15" s="292"/>
      <c r="G15" s="292"/>
      <c r="H15" s="292"/>
      <c r="I15" s="293"/>
      <c r="J15" s="671">
        <f>SUM(E15:I15)</f>
        <v>0</v>
      </c>
      <c r="K15" s="669"/>
      <c r="L15" s="1412"/>
    </row>
    <row r="16" spans="2:12" ht="18">
      <c r="B16" s="47"/>
      <c r="C16" s="49"/>
      <c r="D16" s="349"/>
      <c r="E16" s="46"/>
      <c r="F16" s="46"/>
      <c r="G16" s="45"/>
      <c r="H16" s="45"/>
      <c r="I16" s="45"/>
      <c r="J16" s="669"/>
      <c r="K16" s="669"/>
      <c r="L16" s="1412"/>
    </row>
    <row r="17" spans="2:12" ht="18">
      <c r="B17" s="47" t="s">
        <v>1988</v>
      </c>
      <c r="C17" s="50" t="s">
        <v>780</v>
      </c>
      <c r="D17" s="349" t="s">
        <v>511</v>
      </c>
      <c r="E17" s="291"/>
      <c r="F17" s="292"/>
      <c r="G17" s="292"/>
      <c r="H17" s="292"/>
      <c r="I17" s="293"/>
      <c r="J17" s="671">
        <f>SUM(E17:I17)</f>
        <v>0</v>
      </c>
      <c r="K17" s="669"/>
      <c r="L17" s="1412"/>
    </row>
    <row r="18" spans="2:12" ht="18">
      <c r="B18" s="47"/>
      <c r="C18" s="51"/>
      <c r="D18" s="349"/>
      <c r="E18" s="52"/>
      <c r="F18" s="49"/>
      <c r="G18" s="49"/>
      <c r="H18" s="49"/>
      <c r="I18" s="49"/>
      <c r="J18" s="676"/>
      <c r="K18" s="669"/>
      <c r="L18" s="1412"/>
    </row>
    <row r="19" spans="2:12" ht="18">
      <c r="B19" s="47" t="s">
        <v>1989</v>
      </c>
      <c r="C19" s="345" t="s">
        <v>1613</v>
      </c>
      <c r="D19" s="349" t="s">
        <v>513</v>
      </c>
      <c r="E19" s="288"/>
      <c r="F19" s="289"/>
      <c r="G19" s="289"/>
      <c r="H19" s="289"/>
      <c r="I19" s="290"/>
      <c r="J19" s="678">
        <f>SUM(E19:I19)</f>
        <v>0</v>
      </c>
      <c r="K19" s="669"/>
      <c r="L19" s="1412"/>
    </row>
    <row r="20" spans="2:12" ht="18">
      <c r="B20" s="47"/>
      <c r="C20" s="345" t="s">
        <v>1614</v>
      </c>
      <c r="D20" s="349"/>
      <c r="E20" s="973">
        <f>E19</f>
        <v>0</v>
      </c>
      <c r="F20" s="290">
        <f>F19</f>
        <v>0</v>
      </c>
      <c r="G20" s="290">
        <f>G19</f>
        <v>0</v>
      </c>
      <c r="H20" s="290">
        <f>H19</f>
        <v>0</v>
      </c>
      <c r="I20" s="290">
        <f>I19</f>
        <v>0</v>
      </c>
      <c r="J20" s="678">
        <f>SUM(E20:I20)</f>
        <v>0</v>
      </c>
      <c r="K20" s="669"/>
      <c r="L20" s="1412"/>
    </row>
    <row r="21" spans="2:12" ht="18">
      <c r="B21" s="47"/>
      <c r="C21" s="51"/>
      <c r="D21" s="349"/>
      <c r="E21" s="52"/>
      <c r="F21" s="49"/>
      <c r="G21" s="49"/>
      <c r="H21" s="49"/>
      <c r="I21" s="49"/>
      <c r="J21" s="676"/>
      <c r="K21" s="669"/>
      <c r="L21" s="1412"/>
    </row>
    <row r="22" spans="2:12" ht="18">
      <c r="B22" s="47" t="s">
        <v>516</v>
      </c>
      <c r="C22" s="50" t="s">
        <v>781</v>
      </c>
      <c r="D22" s="349" t="s">
        <v>515</v>
      </c>
      <c r="E22" s="288"/>
      <c r="F22" s="289"/>
      <c r="G22" s="289"/>
      <c r="H22" s="289"/>
      <c r="I22" s="290"/>
      <c r="J22" s="678">
        <f>SUM(E22:I22)</f>
        <v>0</v>
      </c>
      <c r="K22" s="669"/>
      <c r="L22" s="1412"/>
    </row>
    <row r="23" spans="2:12" ht="18">
      <c r="B23" s="47"/>
      <c r="C23" s="51"/>
      <c r="D23" s="349"/>
      <c r="E23" s="52"/>
      <c r="F23" s="49"/>
      <c r="G23" s="49"/>
      <c r="H23" s="675"/>
      <c r="I23" s="49"/>
      <c r="J23" s="676"/>
      <c r="K23" s="669"/>
      <c r="L23" s="1412"/>
    </row>
    <row r="24" spans="2:12" ht="36">
      <c r="B24" s="335" t="s">
        <v>2270</v>
      </c>
      <c r="C24" s="580" t="s">
        <v>764</v>
      </c>
      <c r="D24" s="334" t="s">
        <v>1635</v>
      </c>
      <c r="E24" s="359"/>
      <c r="F24" s="360"/>
      <c r="G24" s="360"/>
      <c r="H24" s="360"/>
      <c r="I24" s="361"/>
      <c r="J24" s="684">
        <f>SUM(E24:I24)</f>
        <v>0</v>
      </c>
      <c r="K24" s="669"/>
      <c r="L24" s="1412"/>
    </row>
    <row r="25" spans="2:12" ht="36">
      <c r="B25" s="47" t="s">
        <v>1987</v>
      </c>
      <c r="C25" s="53" t="s">
        <v>322</v>
      </c>
      <c r="D25" s="349" t="s">
        <v>1635</v>
      </c>
      <c r="E25" s="291"/>
      <c r="F25" s="292"/>
      <c r="G25" s="292"/>
      <c r="H25" s="292"/>
      <c r="I25" s="293"/>
      <c r="J25" s="671">
        <f>SUM(E25:I25)</f>
        <v>0</v>
      </c>
      <c r="K25" s="669"/>
      <c r="L25" s="1412"/>
    </row>
    <row r="26" spans="2:12" ht="18">
      <c r="B26" s="47"/>
      <c r="C26" s="51"/>
      <c r="D26" s="349"/>
      <c r="E26" s="52"/>
      <c r="F26" s="49"/>
      <c r="G26" s="49"/>
      <c r="H26" s="675"/>
      <c r="I26" s="49"/>
      <c r="J26" s="676"/>
      <c r="K26" s="669"/>
      <c r="L26" s="1412"/>
    </row>
    <row r="27" spans="2:12" ht="18">
      <c r="B27" s="47" t="s">
        <v>1988</v>
      </c>
      <c r="C27" s="50" t="s">
        <v>782</v>
      </c>
      <c r="D27" s="349" t="s">
        <v>1637</v>
      </c>
      <c r="E27" s="288"/>
      <c r="F27" s="289"/>
      <c r="G27" s="289"/>
      <c r="H27" s="289"/>
      <c r="I27" s="290"/>
      <c r="J27" s="678">
        <f>SUM(E27:I27)</f>
        <v>0</v>
      </c>
      <c r="K27" s="669"/>
      <c r="L27" s="1412"/>
    </row>
    <row r="28" spans="2:12" ht="18">
      <c r="B28" s="47"/>
      <c r="C28" s="51"/>
      <c r="D28" s="349"/>
      <c r="E28" s="52"/>
      <c r="F28" s="49"/>
      <c r="G28" s="49"/>
      <c r="H28" s="675"/>
      <c r="I28" s="49"/>
      <c r="J28" s="676"/>
      <c r="K28" s="669"/>
      <c r="L28" s="1412"/>
    </row>
    <row r="29" spans="2:12" ht="18">
      <c r="B29" s="47" t="s">
        <v>1988</v>
      </c>
      <c r="C29" s="50" t="s">
        <v>1030</v>
      </c>
      <c r="D29" s="349" t="s">
        <v>1350</v>
      </c>
      <c r="E29" s="288"/>
      <c r="F29" s="289"/>
      <c r="G29" s="289"/>
      <c r="H29" s="289"/>
      <c r="I29" s="290"/>
      <c r="J29" s="678">
        <f>SUM(E29:I29)</f>
        <v>0</v>
      </c>
      <c r="K29" s="669"/>
      <c r="L29" s="1412"/>
    </row>
    <row r="30" spans="2:12" ht="18">
      <c r="B30" s="47"/>
      <c r="C30" s="50"/>
      <c r="D30" s="349"/>
      <c r="E30" s="52"/>
      <c r="F30" s="49"/>
      <c r="G30" s="49"/>
      <c r="H30" s="675"/>
      <c r="I30" s="49"/>
      <c r="J30" s="676"/>
      <c r="K30" s="669"/>
      <c r="L30" s="1412"/>
    </row>
    <row r="31" spans="2:12" ht="18">
      <c r="B31" s="47" t="s">
        <v>1990</v>
      </c>
      <c r="C31" s="50" t="s">
        <v>1418</v>
      </c>
      <c r="D31" s="349" t="s">
        <v>1351</v>
      </c>
      <c r="E31" s="973"/>
      <c r="F31" s="290"/>
      <c r="G31" s="290"/>
      <c r="H31" s="290"/>
      <c r="I31" s="290"/>
      <c r="J31" s="678">
        <f>SUM(E31:I31)</f>
        <v>0</v>
      </c>
      <c r="K31" s="669"/>
      <c r="L31" s="1412"/>
    </row>
    <row r="32" spans="2:12" ht="18">
      <c r="B32" s="47"/>
      <c r="C32" s="50"/>
      <c r="D32" s="349"/>
      <c r="E32" s="52"/>
      <c r="F32" s="49"/>
      <c r="G32" s="49"/>
      <c r="H32" s="675"/>
      <c r="I32" s="49"/>
      <c r="J32" s="676"/>
      <c r="K32" s="669"/>
      <c r="L32" s="1412"/>
    </row>
    <row r="33" spans="2:12" ht="18">
      <c r="B33" s="58" t="s">
        <v>1988</v>
      </c>
      <c r="C33" s="50" t="s">
        <v>783</v>
      </c>
      <c r="D33" s="349" t="s">
        <v>1920</v>
      </c>
      <c r="E33" s="288"/>
      <c r="F33" s="289"/>
      <c r="G33" s="289"/>
      <c r="H33" s="289"/>
      <c r="I33" s="290"/>
      <c r="J33" s="678">
        <f>SUM(E33:I33)</f>
        <v>0</v>
      </c>
      <c r="K33" s="669"/>
      <c r="L33" s="1412"/>
    </row>
    <row r="34" spans="2:12" ht="18">
      <c r="B34" s="47"/>
      <c r="C34" s="51"/>
      <c r="D34" s="349"/>
      <c r="E34" s="52"/>
      <c r="F34" s="49"/>
      <c r="G34" s="49"/>
      <c r="H34" s="675"/>
      <c r="I34" s="49"/>
      <c r="J34" s="676"/>
      <c r="K34" s="669"/>
      <c r="L34" s="1412"/>
    </row>
    <row r="35" spans="2:12" ht="36">
      <c r="B35" s="47" t="s">
        <v>514</v>
      </c>
      <c r="C35" s="53" t="s">
        <v>784</v>
      </c>
      <c r="D35" s="349" t="s">
        <v>1922</v>
      </c>
      <c r="E35" s="288"/>
      <c r="F35" s="289"/>
      <c r="G35" s="289"/>
      <c r="H35" s="289"/>
      <c r="I35" s="290"/>
      <c r="J35" s="678">
        <f>SUM(E35:I35)</f>
        <v>0</v>
      </c>
      <c r="K35" s="669"/>
      <c r="L35" s="1412"/>
    </row>
    <row r="36" spans="2:12" ht="18">
      <c r="B36" s="47"/>
      <c r="C36" s="54"/>
      <c r="D36" s="349"/>
      <c r="E36" s="52"/>
      <c r="F36" s="49"/>
      <c r="G36" s="49"/>
      <c r="H36" s="675"/>
      <c r="I36" s="49"/>
      <c r="J36" s="676"/>
      <c r="K36" s="669"/>
      <c r="L36" s="1412"/>
    </row>
    <row r="37" spans="2:12" ht="18">
      <c r="B37" s="47" t="s">
        <v>653</v>
      </c>
      <c r="C37" s="53" t="s">
        <v>1732</v>
      </c>
      <c r="D37" s="349" t="s">
        <v>1914</v>
      </c>
      <c r="E37" s="291"/>
      <c r="F37" s="292"/>
      <c r="G37" s="292"/>
      <c r="H37" s="292"/>
      <c r="I37" s="293"/>
      <c r="J37" s="671">
        <f>SUM(E37:I37)</f>
        <v>0</v>
      </c>
      <c r="K37" s="669"/>
      <c r="L37" s="1412"/>
    </row>
    <row r="38" spans="2:12" ht="18">
      <c r="B38" s="47"/>
      <c r="C38" s="54"/>
      <c r="D38" s="349"/>
      <c r="E38" s="52"/>
      <c r="F38" s="49"/>
      <c r="G38" s="49"/>
      <c r="H38" s="675"/>
      <c r="I38" s="55"/>
      <c r="J38" s="679"/>
      <c r="K38" s="669"/>
      <c r="L38" s="1412"/>
    </row>
    <row r="39" spans="2:12" ht="36">
      <c r="B39" s="339" t="s">
        <v>272</v>
      </c>
      <c r="C39" s="53" t="s">
        <v>785</v>
      </c>
      <c r="D39" s="349" t="s">
        <v>2173</v>
      </c>
      <c r="E39" s="291"/>
      <c r="F39" s="292"/>
      <c r="G39" s="292"/>
      <c r="H39" s="292"/>
      <c r="I39" s="293"/>
      <c r="J39" s="671">
        <f>SUM(E39:I39)</f>
        <v>0</v>
      </c>
      <c r="K39" s="669"/>
      <c r="L39" s="1412"/>
    </row>
    <row r="40" spans="2:12" ht="18">
      <c r="B40" s="47"/>
      <c r="C40" s="53"/>
      <c r="D40" s="349"/>
      <c r="E40" s="52"/>
      <c r="F40" s="49"/>
      <c r="G40" s="49"/>
      <c r="H40" s="675"/>
      <c r="I40" s="49"/>
      <c r="J40" s="676"/>
      <c r="K40" s="669"/>
      <c r="L40" s="1412"/>
    </row>
    <row r="41" spans="2:12" ht="36">
      <c r="B41" s="47" t="s">
        <v>1988</v>
      </c>
      <c r="C41" s="53" t="s">
        <v>786</v>
      </c>
      <c r="D41" s="349" t="s">
        <v>647</v>
      </c>
      <c r="E41" s="288"/>
      <c r="F41" s="289"/>
      <c r="G41" s="289"/>
      <c r="H41" s="289"/>
      <c r="I41" s="290"/>
      <c r="J41" s="678">
        <f>SUM(E41:I41)</f>
        <v>0</v>
      </c>
      <c r="K41" s="669"/>
      <c r="L41" s="1412"/>
    </row>
    <row r="42" spans="2:12" ht="18">
      <c r="B42" s="47"/>
      <c r="C42" s="54"/>
      <c r="D42" s="349"/>
      <c r="E42" s="47"/>
      <c r="F42" s="47"/>
      <c r="G42" s="47"/>
      <c r="H42" s="47"/>
      <c r="I42" s="47"/>
      <c r="J42" s="676"/>
      <c r="K42" s="669"/>
      <c r="L42" s="1412"/>
    </row>
    <row r="43" spans="2:12" ht="18">
      <c r="B43" s="58" t="s">
        <v>1007</v>
      </c>
      <c r="C43" s="50" t="s">
        <v>1731</v>
      </c>
      <c r="D43" s="349" t="s">
        <v>651</v>
      </c>
      <c r="E43" s="288"/>
      <c r="F43" s="289"/>
      <c r="G43" s="289"/>
      <c r="H43" s="289"/>
      <c r="I43" s="290"/>
      <c r="J43" s="678">
        <f>SUM(E43:I43)</f>
        <v>0</v>
      </c>
      <c r="K43" s="669"/>
      <c r="L43" s="1412"/>
    </row>
    <row r="44" spans="2:12" ht="18">
      <c r="B44" s="47"/>
      <c r="C44" s="50"/>
      <c r="D44" s="349"/>
      <c r="E44" s="52"/>
      <c r="F44" s="49"/>
      <c r="G44" s="49"/>
      <c r="H44" s="675"/>
      <c r="I44" s="49"/>
      <c r="J44" s="676"/>
      <c r="K44" s="669"/>
      <c r="L44" s="1412"/>
    </row>
    <row r="45" spans="2:12" ht="18">
      <c r="B45" s="47" t="s">
        <v>653</v>
      </c>
      <c r="C45" s="50" t="s">
        <v>778</v>
      </c>
      <c r="D45" s="349" t="s">
        <v>2171</v>
      </c>
      <c r="E45" s="325"/>
      <c r="F45" s="326"/>
      <c r="G45" s="326"/>
      <c r="H45" s="326"/>
      <c r="I45" s="327"/>
      <c r="J45" s="676"/>
      <c r="K45" s="669"/>
      <c r="L45" s="1412"/>
    </row>
    <row r="46" spans="2:12" ht="18">
      <c r="B46" s="47"/>
      <c r="C46" s="384" t="s">
        <v>881</v>
      </c>
      <c r="D46" s="47"/>
      <c r="E46" s="974">
        <f>IF(E45=5,E31,0)</f>
        <v>0</v>
      </c>
      <c r="F46" s="975">
        <f>IF(F45=5,F31,0)</f>
        <v>0</v>
      </c>
      <c r="G46" s="975">
        <f>IF(G45=5,G31,0)</f>
        <v>0</v>
      </c>
      <c r="H46" s="975">
        <f>IF(H45=5,H31,0)</f>
        <v>0</v>
      </c>
      <c r="I46" s="975">
        <f>IF(I45=5,I31,0)</f>
        <v>0</v>
      </c>
      <c r="J46" s="976">
        <f>MIN(3000,SUM(E46:I46))</f>
        <v>0</v>
      </c>
      <c r="K46" s="669"/>
      <c r="L46" s="1412"/>
    </row>
    <row r="47" spans="2:12" ht="18.75" thickBot="1">
      <c r="B47" s="330"/>
      <c r="C47" s="331"/>
      <c r="D47" s="330"/>
      <c r="E47" s="332"/>
      <c r="F47" s="333"/>
      <c r="G47" s="333"/>
      <c r="H47" s="672"/>
      <c r="I47" s="333"/>
      <c r="J47" s="673"/>
      <c r="K47" s="674"/>
      <c r="L47" s="1412"/>
    </row>
    <row r="48" spans="2:12" ht="18">
      <c r="B48" s="47"/>
      <c r="C48" s="34" t="str">
        <f>"T4A-"&amp;yeartext&amp;" DATA SUMMARY"</f>
        <v>T4A-2006 DATA SUMMARY</v>
      </c>
      <c r="D48" s="817" t="s">
        <v>1998</v>
      </c>
      <c r="E48" s="35"/>
      <c r="F48" s="36"/>
      <c r="G48" s="36"/>
      <c r="H48" s="37"/>
      <c r="I48" s="36"/>
      <c r="J48" s="37" t="str">
        <f>yeartext</f>
        <v>2006</v>
      </c>
      <c r="K48" s="669"/>
      <c r="L48" s="1412"/>
    </row>
    <row r="49" spans="2:12" ht="18">
      <c r="B49" s="47"/>
      <c r="C49" s="50"/>
      <c r="D49" s="47"/>
      <c r="E49" s="52"/>
      <c r="F49" s="49"/>
      <c r="G49" s="49"/>
      <c r="H49" s="675"/>
      <c r="I49" s="49"/>
      <c r="J49" s="676"/>
      <c r="K49" s="669"/>
      <c r="L49" s="1412"/>
    </row>
    <row r="50" spans="2:12" ht="18">
      <c r="B50" s="47"/>
      <c r="C50" s="42" t="s">
        <v>1210</v>
      </c>
      <c r="D50" s="42" t="s">
        <v>1829</v>
      </c>
      <c r="E50" s="42" t="s">
        <v>1211</v>
      </c>
      <c r="F50" s="49"/>
      <c r="G50" s="49"/>
      <c r="H50" s="675"/>
      <c r="I50" s="49"/>
      <c r="J50" s="676"/>
      <c r="K50" s="669"/>
      <c r="L50" s="1412"/>
    </row>
    <row r="51" spans="2:12" ht="18">
      <c r="B51" s="47"/>
      <c r="C51" s="336"/>
      <c r="D51" s="337"/>
      <c r="E51" s="338"/>
      <c r="F51" s="49"/>
      <c r="G51" s="340"/>
      <c r="H51" s="675"/>
      <c r="I51" s="49"/>
      <c r="J51" s="676"/>
      <c r="K51" s="669"/>
      <c r="L51" s="1412"/>
    </row>
    <row r="52" spans="2:12" ht="18">
      <c r="B52" s="47"/>
      <c r="C52" s="334" t="s">
        <v>1209</v>
      </c>
      <c r="D52" s="335" t="s">
        <v>1212</v>
      </c>
      <c r="E52" s="370">
        <f>E31*HLOOKUP(E45,A65:Q67,2,FALSE)+F31*HLOOKUP(F45,A65:Q67,2,FALSE)+G31*HLOOKUP(G45,A65:Q67,2,FALSE)+H31*HLOOKUP(H45,A65:Q67,2,FALSE)+I31*HLOOKUP(I45,A65:Q67,2,FALSE)</f>
        <v>0</v>
      </c>
      <c r="F52" s="49"/>
      <c r="G52" s="49"/>
      <c r="H52" s="675"/>
      <c r="I52" s="49"/>
      <c r="J52" s="676"/>
      <c r="K52" s="669"/>
      <c r="L52" s="1412"/>
    </row>
    <row r="53" spans="2:12" ht="18">
      <c r="B53" s="47"/>
      <c r="C53" s="328" t="s">
        <v>1209</v>
      </c>
      <c r="D53" s="329" t="s">
        <v>1987</v>
      </c>
      <c r="E53" s="370">
        <f>J15+J25+IF((age&gt;64),$J$24,0)</f>
        <v>0</v>
      </c>
      <c r="F53" s="49"/>
      <c r="G53" s="376" t="s">
        <v>1567</v>
      </c>
      <c r="H53" s="675"/>
      <c r="I53" s="49"/>
      <c r="J53" s="676"/>
      <c r="K53" s="669"/>
      <c r="L53" s="1412"/>
    </row>
    <row r="54" spans="2:12" ht="18">
      <c r="B54" s="47"/>
      <c r="C54" s="328" t="s">
        <v>1209</v>
      </c>
      <c r="D54" s="329" t="s">
        <v>1988</v>
      </c>
      <c r="E54" s="682">
        <f>J17+J27+J29+J33+J39+J41+IF(age&lt;65,$J$24,0)+E31*HLOOKUP(E45,A65:Q67,3,FALSE)+F31*HLOOKUP(F45,A65:Q67,3,FALSE)+G31*HLOOKUP(G45,A65:Q67,3,FALSE)+H31*HLOOKUP(H45,A65:Q67,3,FALSE)+I31*HLOOKUP(I45,A65:Q67,3,FALSE)-exemption</f>
        <v>0</v>
      </c>
      <c r="F54" s="49"/>
      <c r="G54" s="376" t="s">
        <v>1568</v>
      </c>
      <c r="H54" s="675"/>
      <c r="I54" s="49"/>
      <c r="J54" s="676"/>
      <c r="K54" s="669"/>
      <c r="L54" s="1412"/>
    </row>
    <row r="55" spans="2:12" ht="18">
      <c r="B55" s="47"/>
      <c r="C55" s="328" t="s">
        <v>1209</v>
      </c>
      <c r="D55" s="329" t="s">
        <v>1615</v>
      </c>
      <c r="E55" s="682">
        <f>J20</f>
        <v>0</v>
      </c>
      <c r="F55" s="49"/>
      <c r="G55" s="376"/>
      <c r="H55" s="675"/>
      <c r="I55" s="49"/>
      <c r="J55" s="676"/>
      <c r="K55" s="669"/>
      <c r="L55" s="1412"/>
    </row>
    <row r="56" spans="2:12" ht="18">
      <c r="B56" s="47"/>
      <c r="C56" s="328" t="s">
        <v>1209</v>
      </c>
      <c r="D56" s="329" t="s">
        <v>1989</v>
      </c>
      <c r="E56" s="682">
        <f>J19</f>
        <v>0</v>
      </c>
      <c r="F56" s="49"/>
      <c r="G56" s="366" t="s">
        <v>1569</v>
      </c>
      <c r="H56" s="675"/>
      <c r="I56" s="49"/>
      <c r="J56" s="676"/>
      <c r="K56" s="669"/>
      <c r="L56" s="1412"/>
    </row>
    <row r="57" spans="2:12" ht="18">
      <c r="B57" s="47"/>
      <c r="C57" s="328" t="s">
        <v>1213</v>
      </c>
      <c r="D57" s="329" t="s">
        <v>653</v>
      </c>
      <c r="E57" s="682">
        <f>J37</f>
        <v>0</v>
      </c>
      <c r="F57" s="49"/>
      <c r="G57" s="366" t="s">
        <v>1570</v>
      </c>
      <c r="H57" s="675"/>
      <c r="I57" s="49"/>
      <c r="J57" s="676"/>
      <c r="K57" s="669"/>
      <c r="L57" s="1412"/>
    </row>
    <row r="58" spans="2:12" ht="18">
      <c r="B58" s="47"/>
      <c r="C58" s="328" t="s">
        <v>1213</v>
      </c>
      <c r="D58" s="329" t="s">
        <v>514</v>
      </c>
      <c r="E58" s="682">
        <f>J35</f>
        <v>0</v>
      </c>
      <c r="F58" s="49"/>
      <c r="G58" s="366"/>
      <c r="H58" s="675"/>
      <c r="I58" s="49"/>
      <c r="J58" s="676"/>
      <c r="K58" s="669"/>
      <c r="L58" s="1412"/>
    </row>
    <row r="59" spans="2:12" ht="18">
      <c r="B59" s="47"/>
      <c r="C59" s="328"/>
      <c r="D59" s="329"/>
      <c r="E59" s="52"/>
      <c r="F59" s="49"/>
      <c r="G59" s="366" t="s">
        <v>453</v>
      </c>
      <c r="H59" s="675"/>
      <c r="I59" s="49"/>
      <c r="J59" s="676"/>
      <c r="K59" s="669"/>
      <c r="L59" s="1412"/>
    </row>
    <row r="60" spans="2:12" ht="18">
      <c r="B60" s="47"/>
      <c r="C60" s="328" t="s">
        <v>389</v>
      </c>
      <c r="D60" s="329" t="s">
        <v>516</v>
      </c>
      <c r="E60" s="682">
        <f>J22</f>
        <v>0</v>
      </c>
      <c r="F60" s="49"/>
      <c r="G60" s="366" t="s">
        <v>1566</v>
      </c>
      <c r="H60" s="675"/>
      <c r="I60" s="49"/>
      <c r="J60" s="676"/>
      <c r="K60" s="669"/>
      <c r="L60" s="1412"/>
    </row>
    <row r="61" spans="2:12" ht="18">
      <c r="B61" s="47"/>
      <c r="C61" s="328" t="s">
        <v>390</v>
      </c>
      <c r="D61" s="329" t="s">
        <v>925</v>
      </c>
      <c r="E61" s="682">
        <f>J43</f>
        <v>0</v>
      </c>
      <c r="F61" s="49"/>
      <c r="G61" s="49"/>
      <c r="H61" s="675"/>
      <c r="I61" s="49"/>
      <c r="J61" s="676"/>
      <c r="K61" s="669"/>
      <c r="L61" s="1412"/>
    </row>
    <row r="62" spans="2:12" ht="18">
      <c r="B62" s="47"/>
      <c r="C62" s="328" t="s">
        <v>2199</v>
      </c>
      <c r="D62" s="329"/>
      <c r="E62" s="682">
        <f>J39</f>
        <v>0</v>
      </c>
      <c r="F62" s="49"/>
      <c r="G62" s="49"/>
      <c r="H62" s="675"/>
      <c r="I62" s="49"/>
      <c r="J62" s="676"/>
      <c r="K62" s="669"/>
      <c r="L62" s="1412"/>
    </row>
    <row r="63" spans="2:12" ht="18">
      <c r="B63" s="47"/>
      <c r="C63" s="50"/>
      <c r="D63" s="47"/>
      <c r="E63" s="52"/>
      <c r="F63" s="49"/>
      <c r="G63" s="49"/>
      <c r="H63" s="675"/>
      <c r="I63" s="49"/>
      <c r="J63" s="676"/>
      <c r="K63" s="669"/>
      <c r="L63" s="1412"/>
    </row>
    <row r="64" spans="2:12" ht="18">
      <c r="B64" s="47"/>
      <c r="C64" s="50"/>
      <c r="D64" s="47"/>
      <c r="E64" s="52"/>
      <c r="F64" s="49"/>
      <c r="G64" s="49"/>
      <c r="H64" s="675"/>
      <c r="I64" s="49"/>
      <c r="J64" s="676"/>
      <c r="K64" s="669"/>
      <c r="L64" s="1412"/>
    </row>
    <row r="65" spans="1:17" ht="15">
      <c r="A65" s="685">
        <v>0</v>
      </c>
      <c r="B65" s="686">
        <v>4</v>
      </c>
      <c r="C65" s="687">
        <v>5</v>
      </c>
      <c r="D65" s="686">
        <v>6</v>
      </c>
      <c r="E65" s="688">
        <v>7</v>
      </c>
      <c r="F65" s="688">
        <v>8</v>
      </c>
      <c r="G65" s="688">
        <v>9</v>
      </c>
      <c r="H65" s="688">
        <v>15</v>
      </c>
      <c r="I65" s="688">
        <v>16</v>
      </c>
      <c r="J65" s="688">
        <v>17</v>
      </c>
      <c r="K65" s="688">
        <v>18</v>
      </c>
      <c r="L65" s="688">
        <v>19</v>
      </c>
      <c r="M65" s="689">
        <v>23</v>
      </c>
      <c r="N65" s="689">
        <v>25</v>
      </c>
      <c r="O65" s="689">
        <v>26</v>
      </c>
      <c r="P65" s="689">
        <v>27</v>
      </c>
      <c r="Q65" s="689">
        <v>29</v>
      </c>
    </row>
    <row r="66" spans="1:17" ht="15">
      <c r="A66" s="685">
        <v>0</v>
      </c>
      <c r="B66" s="686">
        <v>1</v>
      </c>
      <c r="C66" s="687">
        <v>0</v>
      </c>
      <c r="D66" s="686">
        <v>0</v>
      </c>
      <c r="E66" s="688">
        <v>1</v>
      </c>
      <c r="F66" s="688">
        <v>0</v>
      </c>
      <c r="G66" s="688">
        <v>0</v>
      </c>
      <c r="H66" s="688">
        <v>0</v>
      </c>
      <c r="I66" s="688">
        <v>0</v>
      </c>
      <c r="J66" s="688">
        <v>0</v>
      </c>
      <c r="K66" s="688">
        <v>1</v>
      </c>
      <c r="L66" s="688">
        <v>1</v>
      </c>
      <c r="M66" s="689">
        <v>0</v>
      </c>
      <c r="N66" s="689">
        <v>0</v>
      </c>
      <c r="O66" s="689">
        <v>0</v>
      </c>
      <c r="P66" s="689">
        <v>1</v>
      </c>
      <c r="Q66" s="689">
        <v>0</v>
      </c>
    </row>
    <row r="67" spans="1:17" ht="15">
      <c r="A67" s="685">
        <v>0</v>
      </c>
      <c r="B67" s="686">
        <v>0</v>
      </c>
      <c r="C67" s="687">
        <v>1</v>
      </c>
      <c r="D67" s="686">
        <v>1</v>
      </c>
      <c r="E67" s="688">
        <v>0</v>
      </c>
      <c r="F67" s="688">
        <v>0</v>
      </c>
      <c r="G67" s="688">
        <v>0</v>
      </c>
      <c r="H67" s="688">
        <v>0</v>
      </c>
      <c r="I67" s="688">
        <v>1</v>
      </c>
      <c r="J67" s="688">
        <v>1</v>
      </c>
      <c r="K67" s="688">
        <v>0</v>
      </c>
      <c r="L67" s="688">
        <v>0</v>
      </c>
      <c r="M67" s="689">
        <v>1</v>
      </c>
      <c r="N67" s="689">
        <v>1</v>
      </c>
      <c r="O67" s="689">
        <v>0</v>
      </c>
      <c r="P67" s="689">
        <v>0</v>
      </c>
      <c r="Q67" s="689">
        <v>1</v>
      </c>
    </row>
    <row r="68" spans="1:17" ht="18">
      <c r="A68" s="685"/>
      <c r="B68" s="341"/>
      <c r="C68" s="342"/>
      <c r="D68" s="341"/>
      <c r="E68" s="343"/>
      <c r="F68" s="344"/>
      <c r="G68" s="344"/>
      <c r="H68" s="690"/>
      <c r="I68" s="344"/>
      <c r="J68" s="691"/>
      <c r="K68" s="692"/>
      <c r="L68" s="691"/>
      <c r="M68" s="691"/>
      <c r="N68" s="691"/>
      <c r="O68" s="691"/>
      <c r="P68" s="691"/>
      <c r="Q68" s="691"/>
    </row>
    <row r="69" spans="2:4" ht="15">
      <c r="B69" s="677"/>
      <c r="D69" s="56"/>
    </row>
    <row r="70" spans="2:4" ht="15">
      <c r="B70" s="677"/>
      <c r="D70" s="56"/>
    </row>
    <row r="71" spans="2:4" ht="15">
      <c r="B71" s="677"/>
      <c r="D71" s="56"/>
    </row>
    <row r="72" spans="2:4" ht="15">
      <c r="B72" s="677"/>
      <c r="D72" s="56"/>
    </row>
    <row r="73" spans="2:4" ht="15">
      <c r="B73" s="677"/>
      <c r="D73" s="56"/>
    </row>
    <row r="74" spans="2:4" ht="15">
      <c r="B74" s="677"/>
      <c r="D74" s="56"/>
    </row>
    <row r="75" spans="2:4" ht="15">
      <c r="B75" s="677"/>
      <c r="D75" s="56"/>
    </row>
    <row r="76" spans="2:4" ht="15">
      <c r="B76" s="677"/>
      <c r="D76" s="56"/>
    </row>
    <row r="77" spans="2:4" ht="15">
      <c r="B77" s="677"/>
      <c r="D77" s="56"/>
    </row>
    <row r="78" spans="2:4" ht="15">
      <c r="B78" s="677"/>
      <c r="D78" s="56"/>
    </row>
    <row r="79" spans="2:4" ht="15">
      <c r="B79" s="677"/>
      <c r="D79" s="56"/>
    </row>
    <row r="80" spans="2:4" ht="15">
      <c r="B80" s="677"/>
      <c r="D80" s="56"/>
    </row>
  </sheetData>
  <sheetProtection password="EC35" sheet="1" objects="1" scenarios="1"/>
  <mergeCells count="1">
    <mergeCell ref="L1:L64"/>
  </mergeCells>
  <hyperlinks>
    <hyperlink ref="L1:L64" location="'GO TO'!G8" display=" "/>
  </hyperlinks>
  <printOptions horizontalCentered="1"/>
  <pageMargins left="0" right="0" top="0" bottom="0" header="0.5" footer="0.5"/>
  <pageSetup fitToHeight="0" fitToWidth="1" horizontalDpi="600" verticalDpi="600" orientation="portrait" scale="62" r:id="rId3"/>
  <legacyDrawing r:id="rId2"/>
</worksheet>
</file>

<file path=xl/worksheets/sheet26.xml><?xml version="1.0" encoding="utf-8"?>
<worksheet xmlns="http://schemas.openxmlformats.org/spreadsheetml/2006/main" xmlns:r="http://schemas.openxmlformats.org/officeDocument/2006/relationships">
  <sheetPr codeName="Sheet21111113">
    <pageSetUpPr fitToPage="1"/>
  </sheetPr>
  <dimension ref="A1:IV47"/>
  <sheetViews>
    <sheetView showGridLines="0" zoomScale="70" zoomScaleNormal="70" workbookViewId="0" topLeftCell="A1">
      <selection activeCell="B2" sqref="B2"/>
    </sheetView>
  </sheetViews>
  <sheetFormatPr defaultColWidth="8.88671875" defaultRowHeight="15"/>
  <cols>
    <col min="1" max="1" width="1.77734375" style="670" customWidth="1"/>
    <col min="2" max="2" width="8.3359375" style="670" customWidth="1"/>
    <col min="3" max="3" width="34.7773437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"T4A(P)-"&amp;yeartext&amp;" SLIPS DATA ENTRY FORM"</f>
        <v>T4A(P)-2006 SLIPS DATA ENTRY FORM</v>
      </c>
      <c r="D1" s="34"/>
      <c r="E1" s="358" t="s">
        <v>1441</v>
      </c>
      <c r="F1" s="36"/>
      <c r="G1" s="36"/>
      <c r="H1" s="37"/>
      <c r="I1" s="36"/>
      <c r="J1" s="37" t="str">
        <f>yeartext</f>
        <v>2006</v>
      </c>
      <c r="K1" s="669"/>
      <c r="L1" s="1412" t="s">
        <v>1793</v>
      </c>
    </row>
    <row r="2" spans="2:12" ht="15.75">
      <c r="B2" s="36"/>
      <c r="C2" s="36"/>
      <c r="D2" s="38"/>
      <c r="E2" s="669"/>
      <c r="F2" s="36"/>
      <c r="G2" s="36"/>
      <c r="H2" s="36"/>
      <c r="I2" s="36"/>
      <c r="J2" s="36"/>
      <c r="K2" s="669"/>
      <c r="L2" s="1270"/>
    </row>
    <row r="3" spans="2:12" ht="18">
      <c r="B3" s="39"/>
      <c r="C3" s="39" t="s">
        <v>1431</v>
      </c>
      <c r="D3" s="36"/>
      <c r="E3" s="38"/>
      <c r="F3" s="36"/>
      <c r="G3" s="36"/>
      <c r="H3" s="36"/>
      <c r="I3" s="36"/>
      <c r="J3" s="36"/>
      <c r="K3" s="669"/>
      <c r="L3" s="1270"/>
    </row>
    <row r="4" spans="2:12" ht="18">
      <c r="B4" s="39"/>
      <c r="C4" s="39" t="s">
        <v>1432</v>
      </c>
      <c r="D4" s="36"/>
      <c r="E4" s="38"/>
      <c r="F4" s="36"/>
      <c r="G4" s="36"/>
      <c r="H4" s="36"/>
      <c r="I4" s="36"/>
      <c r="J4" s="36"/>
      <c r="K4" s="669"/>
      <c r="L4" s="1270"/>
    </row>
    <row r="5" spans="2:12" ht="18">
      <c r="B5" s="39"/>
      <c r="C5" s="39" t="s">
        <v>1433</v>
      </c>
      <c r="D5" s="36"/>
      <c r="E5" s="38"/>
      <c r="F5" s="36"/>
      <c r="G5" s="36"/>
      <c r="H5" s="36"/>
      <c r="I5" s="36"/>
      <c r="J5" s="36"/>
      <c r="K5" s="669"/>
      <c r="L5" s="1270"/>
    </row>
    <row r="6" spans="2:12" ht="18">
      <c r="B6" s="39"/>
      <c r="C6" s="39" t="s">
        <v>1434</v>
      </c>
      <c r="D6" s="36"/>
      <c r="E6" s="38"/>
      <c r="F6" s="36"/>
      <c r="G6" s="36"/>
      <c r="H6" s="36"/>
      <c r="I6" s="36"/>
      <c r="J6" s="36"/>
      <c r="K6" s="669"/>
      <c r="L6" s="1270"/>
    </row>
    <row r="7" spans="2:12" ht="18">
      <c r="B7" s="39"/>
      <c r="C7" s="39" t="s">
        <v>473</v>
      </c>
      <c r="D7" s="36"/>
      <c r="E7" s="38"/>
      <c r="F7" s="36"/>
      <c r="G7" s="36"/>
      <c r="H7" s="36"/>
      <c r="I7" s="36"/>
      <c r="J7" s="36"/>
      <c r="K7" s="669"/>
      <c r="L7" s="1270"/>
    </row>
    <row r="8" spans="2:12" ht="18">
      <c r="B8" s="39"/>
      <c r="C8" s="39" t="s">
        <v>1435</v>
      </c>
      <c r="D8" s="36"/>
      <c r="E8" s="38"/>
      <c r="F8" s="36"/>
      <c r="G8" s="36"/>
      <c r="H8" s="36"/>
      <c r="I8" s="36"/>
      <c r="J8" s="36"/>
      <c r="K8" s="669"/>
      <c r="L8" s="1270"/>
    </row>
    <row r="9" spans="2:12" ht="18">
      <c r="B9" s="39"/>
      <c r="C9" s="39" t="s">
        <v>1735</v>
      </c>
      <c r="D9" s="36"/>
      <c r="E9" s="38"/>
      <c r="F9" s="36"/>
      <c r="G9" s="36"/>
      <c r="H9" s="36"/>
      <c r="I9" s="36"/>
      <c r="J9" s="36"/>
      <c r="K9" s="669"/>
      <c r="L9" s="1270"/>
    </row>
    <row r="10" spans="2:12" ht="18">
      <c r="B10" s="39"/>
      <c r="C10" s="39" t="s">
        <v>1736</v>
      </c>
      <c r="D10" s="36"/>
      <c r="E10" s="38"/>
      <c r="F10" s="36"/>
      <c r="G10" s="36"/>
      <c r="H10" s="36"/>
      <c r="I10" s="36"/>
      <c r="J10" s="36"/>
      <c r="K10" s="669"/>
      <c r="L10" s="1270"/>
    </row>
    <row r="11" spans="2:12" ht="18">
      <c r="B11" s="39"/>
      <c r="C11" s="39" t="s">
        <v>1826</v>
      </c>
      <c r="D11" s="36"/>
      <c r="E11" s="38"/>
      <c r="F11" s="36"/>
      <c r="G11" s="36"/>
      <c r="H11" s="36"/>
      <c r="I11" s="36"/>
      <c r="J11" s="36"/>
      <c r="K11" s="669"/>
      <c r="L11" s="1270"/>
    </row>
    <row r="12" spans="2:12" ht="18">
      <c r="B12" s="39"/>
      <c r="C12" s="39" t="s">
        <v>1530</v>
      </c>
      <c r="D12" s="36"/>
      <c r="E12" s="38"/>
      <c r="F12" s="36"/>
      <c r="G12" s="36"/>
      <c r="H12" s="36"/>
      <c r="I12" s="36"/>
      <c r="J12" s="36"/>
      <c r="K12" s="669"/>
      <c r="L12" s="1270"/>
    </row>
    <row r="13" spans="2:12" ht="18">
      <c r="B13" s="39"/>
      <c r="C13" s="39"/>
      <c r="D13" s="36"/>
      <c r="E13" s="38"/>
      <c r="F13" s="36"/>
      <c r="G13" s="36"/>
      <c r="H13" s="36"/>
      <c r="I13" s="36"/>
      <c r="J13" s="36"/>
      <c r="K13" s="669"/>
      <c r="L13" s="1270"/>
    </row>
    <row r="14" spans="2:12" ht="18">
      <c r="B14" s="39"/>
      <c r="C14" s="39"/>
      <c r="D14" s="36"/>
      <c r="E14" s="38"/>
      <c r="F14" s="36"/>
      <c r="G14" s="36"/>
      <c r="H14" s="36"/>
      <c r="I14" s="36"/>
      <c r="J14" s="36"/>
      <c r="K14" s="669"/>
      <c r="L14" s="1270"/>
    </row>
    <row r="15" spans="2:12" ht="48" customHeight="1">
      <c r="B15" s="42" t="s">
        <v>1829</v>
      </c>
      <c r="C15" s="42" t="s">
        <v>1742</v>
      </c>
      <c r="D15" s="42" t="s">
        <v>1737</v>
      </c>
      <c r="E15" s="42" t="s">
        <v>1436</v>
      </c>
      <c r="F15" s="42" t="s">
        <v>1437</v>
      </c>
      <c r="G15" s="42" t="s">
        <v>1438</v>
      </c>
      <c r="H15" s="42" t="s">
        <v>1439</v>
      </c>
      <c r="I15" s="42" t="s">
        <v>1440</v>
      </c>
      <c r="J15" s="43" t="s">
        <v>503</v>
      </c>
      <c r="K15" s="669"/>
      <c r="L15" s="1270"/>
    </row>
    <row r="16" spans="2:12" ht="18">
      <c r="B16" s="36"/>
      <c r="C16" s="39"/>
      <c r="D16" s="39"/>
      <c r="E16" s="38"/>
      <c r="F16" s="36"/>
      <c r="G16" s="36"/>
      <c r="H16" s="36"/>
      <c r="I16" s="36"/>
      <c r="J16" s="36"/>
      <c r="K16" s="669"/>
      <c r="L16" s="1270"/>
    </row>
    <row r="17" spans="2:12" ht="18">
      <c r="B17" s="968" t="s">
        <v>1444</v>
      </c>
      <c r="C17" s="363" t="s">
        <v>1443</v>
      </c>
      <c r="D17" s="349" t="s">
        <v>508</v>
      </c>
      <c r="E17" s="364"/>
      <c r="F17" s="364"/>
      <c r="G17" s="364"/>
      <c r="H17" s="364"/>
      <c r="I17" s="364"/>
      <c r="J17" s="671">
        <f>SUM(E17:I17)</f>
        <v>0</v>
      </c>
      <c r="K17" s="669"/>
      <c r="L17" s="1270"/>
    </row>
    <row r="18" spans="2:12" ht="18">
      <c r="B18" s="36"/>
      <c r="C18" s="39"/>
      <c r="D18" s="349"/>
      <c r="E18" s="38"/>
      <c r="F18" s="36"/>
      <c r="G18" s="36"/>
      <c r="H18" s="38"/>
      <c r="I18" s="36"/>
      <c r="J18" s="36"/>
      <c r="K18" s="669"/>
      <c r="L18" s="1270"/>
    </row>
    <row r="19" spans="2:12" ht="18">
      <c r="B19" s="969" t="s">
        <v>1445</v>
      </c>
      <c r="C19" s="363" t="s">
        <v>1442</v>
      </c>
      <c r="D19" s="349" t="s">
        <v>513</v>
      </c>
      <c r="E19" s="364"/>
      <c r="F19" s="364"/>
      <c r="G19" s="364"/>
      <c r="H19" s="364"/>
      <c r="I19" s="364"/>
      <c r="J19" s="671">
        <f>SUM(E19:I19)</f>
        <v>0</v>
      </c>
      <c r="K19" s="669"/>
      <c r="L19" s="1270"/>
    </row>
    <row r="20" spans="1:256" ht="18">
      <c r="A20" s="408"/>
      <c r="B20" s="34"/>
      <c r="C20" s="358"/>
      <c r="D20" s="349"/>
      <c r="E20" s="34"/>
      <c r="F20" s="34"/>
      <c r="G20" s="34"/>
      <c r="H20" s="34"/>
      <c r="I20" s="34"/>
      <c r="J20" s="34"/>
      <c r="K20" s="34"/>
      <c r="L20" s="1270"/>
      <c r="M20" s="408"/>
      <c r="O20" s="408"/>
      <c r="P20" s="408"/>
      <c r="Q20" s="408"/>
      <c r="R20" s="408"/>
      <c r="S20" s="408"/>
      <c r="T20" s="408"/>
      <c r="U20" s="408"/>
      <c r="V20" s="408"/>
      <c r="W20" s="408"/>
      <c r="X20" s="408"/>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2:12" ht="18">
      <c r="B21" s="968" t="s">
        <v>1446</v>
      </c>
      <c r="C21" s="363" t="s">
        <v>1198</v>
      </c>
      <c r="D21" s="349">
        <v>22</v>
      </c>
      <c r="E21" s="364"/>
      <c r="F21" s="364"/>
      <c r="G21" s="364"/>
      <c r="H21" s="364"/>
      <c r="I21" s="364"/>
      <c r="J21" s="671">
        <f>SUM(E21:I21)</f>
        <v>0</v>
      </c>
      <c r="K21" s="669"/>
      <c r="L21" s="1270"/>
    </row>
    <row r="22" spans="2:12" ht="18">
      <c r="B22" s="39"/>
      <c r="C22" s="39"/>
      <c r="D22" s="36"/>
      <c r="E22" s="38"/>
      <c r="F22" s="36"/>
      <c r="G22" s="36"/>
      <c r="H22" s="36"/>
      <c r="I22" s="36"/>
      <c r="J22" s="36"/>
      <c r="K22" s="669"/>
      <c r="L22" s="1270"/>
    </row>
    <row r="23" spans="2:12" ht="18.75" thickBot="1">
      <c r="B23" s="330"/>
      <c r="C23" s="331"/>
      <c r="D23" s="330"/>
      <c r="E23" s="332"/>
      <c r="F23" s="333"/>
      <c r="G23" s="333"/>
      <c r="H23" s="672"/>
      <c r="I23" s="333"/>
      <c r="J23" s="673"/>
      <c r="K23" s="674"/>
      <c r="L23" s="1270"/>
    </row>
    <row r="24" spans="2:12" ht="18">
      <c r="B24" s="47"/>
      <c r="C24" s="34" t="str">
        <f>"T4A(P)-"&amp;yeartext&amp;" GENERAL DATA ENTRY"</f>
        <v>T4A(P)-2006 GENERAL DATA ENTRY</v>
      </c>
      <c r="D24" s="34"/>
      <c r="E24" s="358" t="s">
        <v>1788</v>
      </c>
      <c r="F24" s="36"/>
      <c r="G24" s="36"/>
      <c r="H24" s="37"/>
      <c r="I24" s="36"/>
      <c r="J24" s="37" t="str">
        <f>yeartext</f>
        <v>2006</v>
      </c>
      <c r="K24" s="669"/>
      <c r="L24" s="1270"/>
    </row>
    <row r="25" spans="2:12" ht="18">
      <c r="B25" s="47"/>
      <c r="C25" s="50"/>
      <c r="D25" s="47"/>
      <c r="E25" s="52"/>
      <c r="F25" s="49"/>
      <c r="G25" s="49"/>
      <c r="H25" s="675"/>
      <c r="I25" s="49"/>
      <c r="J25" s="676"/>
      <c r="K25" s="669"/>
      <c r="L25" s="1270"/>
    </row>
    <row r="26" spans="2:12" ht="18">
      <c r="B26" s="47"/>
      <c r="C26" s="42" t="s">
        <v>1210</v>
      </c>
      <c r="D26" s="42" t="s">
        <v>1829</v>
      </c>
      <c r="E26" s="43" t="s">
        <v>1211</v>
      </c>
      <c r="F26" s="365"/>
      <c r="G26" s="376" t="s">
        <v>1567</v>
      </c>
      <c r="H26" s="365"/>
      <c r="I26" s="365"/>
      <c r="J26" s="365"/>
      <c r="K26" s="669"/>
      <c r="L26" s="1270"/>
    </row>
    <row r="27" spans="2:12" ht="18">
      <c r="B27" s="47"/>
      <c r="C27" s="328" t="s">
        <v>1209</v>
      </c>
      <c r="D27" s="329" t="s">
        <v>1838</v>
      </c>
      <c r="E27" s="370">
        <f>J17</f>
        <v>0</v>
      </c>
      <c r="F27" s="365"/>
      <c r="G27" s="376" t="s">
        <v>1568</v>
      </c>
      <c r="H27" s="365"/>
      <c r="I27" s="365"/>
      <c r="J27" s="365"/>
      <c r="K27" s="669"/>
      <c r="L27" s="1270"/>
    </row>
    <row r="28" spans="2:12" ht="18">
      <c r="B28" s="47"/>
      <c r="C28" s="328" t="s">
        <v>1209</v>
      </c>
      <c r="D28" s="329" t="s">
        <v>1837</v>
      </c>
      <c r="E28" s="370">
        <f>J19</f>
        <v>0</v>
      </c>
      <c r="F28" s="365"/>
      <c r="G28" s="49"/>
      <c r="H28" s="365"/>
      <c r="I28" s="365"/>
      <c r="J28" s="365"/>
      <c r="K28" s="669"/>
      <c r="L28" s="1270"/>
    </row>
    <row r="29" spans="2:12" ht="18">
      <c r="B29" s="47"/>
      <c r="C29" s="328" t="s">
        <v>389</v>
      </c>
      <c r="D29" s="329" t="s">
        <v>516</v>
      </c>
      <c r="E29" s="370">
        <f>J21</f>
        <v>0</v>
      </c>
      <c r="F29" s="365"/>
      <c r="G29" s="366" t="s">
        <v>1569</v>
      </c>
      <c r="H29" s="365"/>
      <c r="I29" s="365"/>
      <c r="J29" s="365"/>
      <c r="K29" s="669"/>
      <c r="L29" s="1270"/>
    </row>
    <row r="30" spans="2:12" ht="18">
      <c r="B30" s="47"/>
      <c r="C30" s="347"/>
      <c r="D30" s="348"/>
      <c r="E30" s="362"/>
      <c r="F30" s="365"/>
      <c r="G30" s="366" t="s">
        <v>1570</v>
      </c>
      <c r="H30" s="366"/>
      <c r="I30" s="366"/>
      <c r="J30" s="366"/>
      <c r="K30" s="669"/>
      <c r="L30" s="1270"/>
    </row>
    <row r="31" spans="2:12" ht="18">
      <c r="B31" s="47"/>
      <c r="C31" s="349"/>
      <c r="D31" s="47"/>
      <c r="E31" s="366"/>
      <c r="F31" s="365"/>
      <c r="G31" s="366"/>
      <c r="H31" s="366"/>
      <c r="I31" s="366"/>
      <c r="J31" s="366"/>
      <c r="K31" s="669"/>
      <c r="L31" s="1270"/>
    </row>
    <row r="32" spans="2:12" ht="18">
      <c r="B32" s="47"/>
      <c r="C32" s="349"/>
      <c r="D32" s="47"/>
      <c r="E32" s="366"/>
      <c r="F32" s="366"/>
      <c r="G32" s="366" t="s">
        <v>453</v>
      </c>
      <c r="H32" s="366"/>
      <c r="I32" s="366"/>
      <c r="J32" s="366"/>
      <c r="K32" s="669"/>
      <c r="L32" s="1270"/>
    </row>
    <row r="33" spans="2:12" ht="18">
      <c r="B33" s="47"/>
      <c r="C33" s="349"/>
      <c r="D33" s="47"/>
      <c r="E33" s="366"/>
      <c r="F33" s="366"/>
      <c r="G33" s="366" t="s">
        <v>1566</v>
      </c>
      <c r="H33" s="366"/>
      <c r="I33" s="366"/>
      <c r="J33" s="366"/>
      <c r="K33" s="669"/>
      <c r="L33" s="1270"/>
    </row>
    <row r="34" spans="2:12" ht="18">
      <c r="B34" s="47"/>
      <c r="C34" s="50"/>
      <c r="D34" s="47"/>
      <c r="E34" s="52"/>
      <c r="F34" s="49"/>
      <c r="G34" s="49"/>
      <c r="H34" s="675"/>
      <c r="I34" s="49"/>
      <c r="J34" s="676"/>
      <c r="K34" s="669"/>
      <c r="L34" s="1270"/>
    </row>
    <row r="35" spans="2:12" ht="18">
      <c r="B35" s="47"/>
      <c r="C35" s="50"/>
      <c r="D35" s="47"/>
      <c r="E35" s="52"/>
      <c r="F35" s="49"/>
      <c r="G35" s="49"/>
      <c r="H35" s="675"/>
      <c r="I35" s="49"/>
      <c r="J35" s="676"/>
      <c r="K35" s="669"/>
      <c r="L35" s="1270"/>
    </row>
    <row r="36" spans="2:4" ht="15">
      <c r="B36" s="677"/>
      <c r="D36" s="56"/>
    </row>
    <row r="37" spans="2:4" ht="15">
      <c r="B37" s="677"/>
      <c r="D37" s="56"/>
    </row>
    <row r="38" spans="2:4" ht="15">
      <c r="B38" s="677"/>
      <c r="D38" s="56"/>
    </row>
    <row r="39" spans="2:4" ht="15">
      <c r="B39" s="677"/>
      <c r="D39" s="56"/>
    </row>
    <row r="40" spans="2:4" ht="15">
      <c r="B40" s="677"/>
      <c r="D40" s="56"/>
    </row>
    <row r="41" spans="2:4" ht="15">
      <c r="B41" s="677"/>
      <c r="D41" s="56"/>
    </row>
    <row r="42" spans="2:4" ht="15">
      <c r="B42" s="677"/>
      <c r="D42" s="56"/>
    </row>
    <row r="43" spans="2:4" ht="15">
      <c r="B43" s="677"/>
      <c r="D43" s="56"/>
    </row>
    <row r="44" spans="2:4" ht="15">
      <c r="B44" s="677"/>
      <c r="D44" s="56"/>
    </row>
    <row r="45" spans="2:4" ht="15">
      <c r="B45" s="677"/>
      <c r="D45" s="56"/>
    </row>
    <row r="46" spans="2:4" ht="15">
      <c r="B46" s="677"/>
      <c r="D46" s="56"/>
    </row>
    <row r="47" spans="2:4" ht="15">
      <c r="B47" s="677"/>
      <c r="D47" s="56"/>
    </row>
  </sheetData>
  <sheetProtection password="EC35" sheet="1" objects="1" scenarios="1"/>
  <mergeCells count="1">
    <mergeCell ref="L1:L35"/>
  </mergeCells>
  <hyperlinks>
    <hyperlink ref="L1:L35" location="'GO TO'!G10" display=" "/>
  </hyperlinks>
  <printOptions horizontalCentered="1"/>
  <pageMargins left="0" right="0" top="0" bottom="0" header="0.5" footer="0.5"/>
  <pageSetup fitToHeight="0" fitToWidth="1" horizontalDpi="600" verticalDpi="600" orientation="portrait" scale="66" r:id="rId1"/>
  <colBreaks count="1" manualBreakCount="1">
    <brk id="11" max="65535" man="1"/>
  </colBreaks>
  <ignoredErrors>
    <ignoredError sqref="D19 D17" numberStoredAsText="1"/>
  </ignoredErrors>
</worksheet>
</file>

<file path=xl/worksheets/sheet27.xml><?xml version="1.0" encoding="utf-8"?>
<worksheet xmlns="http://schemas.openxmlformats.org/spreadsheetml/2006/main" xmlns:r="http://schemas.openxmlformats.org/officeDocument/2006/relationships">
  <sheetPr codeName="Sheet211111">
    <pageSetUpPr fitToPage="1"/>
  </sheetPr>
  <dimension ref="B1:L51"/>
  <sheetViews>
    <sheetView showGridLines="0" zoomScale="70" zoomScaleNormal="70" workbookViewId="0" topLeftCell="A1">
      <selection activeCell="B2" sqref="B2"/>
    </sheetView>
  </sheetViews>
  <sheetFormatPr defaultColWidth="8.88671875" defaultRowHeight="15"/>
  <cols>
    <col min="1" max="1" width="1.77734375" style="670" customWidth="1"/>
    <col min="2" max="2" width="8.3359375" style="670" customWidth="1"/>
    <col min="3" max="3" width="34.7773437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"T4A(OAS)-"&amp;yeartext&amp;" SLIPS DATA ENTRY FORM"</f>
        <v>T4A(OAS)-2006 SLIPS DATA ENTRY FORM</v>
      </c>
      <c r="D1" s="34"/>
      <c r="E1" s="358" t="s">
        <v>896</v>
      </c>
      <c r="F1" s="36"/>
      <c r="G1" s="36"/>
      <c r="H1" s="37"/>
      <c r="I1" s="36"/>
      <c r="J1" s="37" t="str">
        <f>yeartext</f>
        <v>2006</v>
      </c>
      <c r="K1" s="669"/>
      <c r="L1" s="1412" t="s">
        <v>1793</v>
      </c>
    </row>
    <row r="2" spans="2:12" ht="15.75">
      <c r="B2" s="36"/>
      <c r="C2" s="36"/>
      <c r="D2" s="38"/>
      <c r="E2" s="669"/>
      <c r="F2" s="36"/>
      <c r="G2" s="36"/>
      <c r="H2" s="36"/>
      <c r="I2" s="36"/>
      <c r="J2" s="36"/>
      <c r="K2" s="669"/>
      <c r="L2" s="1412"/>
    </row>
    <row r="3" spans="2:12" ht="18">
      <c r="B3" s="39"/>
      <c r="C3" s="39" t="s">
        <v>89</v>
      </c>
      <c r="D3" s="36"/>
      <c r="E3" s="38"/>
      <c r="F3" s="36"/>
      <c r="G3" s="36"/>
      <c r="H3" s="36"/>
      <c r="I3" s="36"/>
      <c r="J3" s="36"/>
      <c r="K3" s="669"/>
      <c r="L3" s="1412"/>
    </row>
    <row r="4" spans="2:12" ht="18">
      <c r="B4" s="39"/>
      <c r="C4" s="39" t="s">
        <v>943</v>
      </c>
      <c r="D4" s="36"/>
      <c r="E4" s="38"/>
      <c r="F4" s="36"/>
      <c r="G4" s="36"/>
      <c r="H4" s="36"/>
      <c r="I4" s="36"/>
      <c r="J4" s="36"/>
      <c r="K4" s="669"/>
      <c r="L4" s="1412"/>
    </row>
    <row r="5" spans="2:12" ht="18">
      <c r="B5" s="39"/>
      <c r="C5" s="39" t="s">
        <v>944</v>
      </c>
      <c r="D5" s="36"/>
      <c r="E5" s="38"/>
      <c r="F5" s="36"/>
      <c r="G5" s="36"/>
      <c r="H5" s="36"/>
      <c r="I5" s="36"/>
      <c r="J5" s="36"/>
      <c r="K5" s="669"/>
      <c r="L5" s="1412"/>
    </row>
    <row r="6" spans="2:12" ht="18">
      <c r="B6" s="39"/>
      <c r="C6" s="39" t="s">
        <v>472</v>
      </c>
      <c r="D6" s="36"/>
      <c r="E6" s="38"/>
      <c r="F6" s="36"/>
      <c r="G6" s="36"/>
      <c r="H6" s="36"/>
      <c r="I6" s="36"/>
      <c r="J6" s="36"/>
      <c r="K6" s="669"/>
      <c r="L6" s="1412"/>
    </row>
    <row r="7" spans="2:12" ht="18">
      <c r="B7" s="39"/>
      <c r="C7" s="39" t="s">
        <v>473</v>
      </c>
      <c r="D7" s="36"/>
      <c r="E7" s="38"/>
      <c r="F7" s="36"/>
      <c r="G7" s="36"/>
      <c r="H7" s="36"/>
      <c r="I7" s="36"/>
      <c r="J7" s="36"/>
      <c r="K7" s="669"/>
      <c r="L7" s="1412"/>
    </row>
    <row r="8" spans="2:12" ht="18">
      <c r="B8" s="39"/>
      <c r="C8" s="39" t="s">
        <v>1834</v>
      </c>
      <c r="D8" s="36"/>
      <c r="E8" s="38"/>
      <c r="F8" s="36"/>
      <c r="G8" s="36"/>
      <c r="H8" s="36"/>
      <c r="I8" s="36"/>
      <c r="J8" s="36"/>
      <c r="K8" s="669"/>
      <c r="L8" s="1412"/>
    </row>
    <row r="9" spans="2:12" ht="18">
      <c r="B9" s="39"/>
      <c r="C9" s="39" t="s">
        <v>662</v>
      </c>
      <c r="D9" s="36"/>
      <c r="E9" s="38"/>
      <c r="F9" s="36"/>
      <c r="G9" s="36"/>
      <c r="H9" s="36"/>
      <c r="I9" s="36"/>
      <c r="J9" s="36"/>
      <c r="K9" s="669"/>
      <c r="L9" s="1412"/>
    </row>
    <row r="10" spans="2:12" ht="18">
      <c r="B10" s="39"/>
      <c r="C10" s="39" t="s">
        <v>474</v>
      </c>
      <c r="D10" s="36"/>
      <c r="E10" s="38"/>
      <c r="F10" s="36"/>
      <c r="G10" s="36"/>
      <c r="H10" s="36"/>
      <c r="I10" s="36"/>
      <c r="J10" s="36"/>
      <c r="K10" s="669"/>
      <c r="L10" s="1412"/>
    </row>
    <row r="11" spans="2:12" ht="18">
      <c r="B11" s="39"/>
      <c r="C11" s="39" t="s">
        <v>1826</v>
      </c>
      <c r="D11" s="36"/>
      <c r="E11" s="38"/>
      <c r="F11" s="36"/>
      <c r="G11" s="36"/>
      <c r="H11" s="36"/>
      <c r="I11" s="36"/>
      <c r="J11" s="36"/>
      <c r="K11" s="669"/>
      <c r="L11" s="1412"/>
    </row>
    <row r="12" spans="2:12" ht="18">
      <c r="B12" s="39"/>
      <c r="C12" s="39" t="s">
        <v>1530</v>
      </c>
      <c r="D12" s="36"/>
      <c r="E12" s="38"/>
      <c r="F12" s="36"/>
      <c r="G12" s="36"/>
      <c r="H12" s="36"/>
      <c r="I12" s="36"/>
      <c r="J12" s="36"/>
      <c r="K12" s="669"/>
      <c r="L12" s="1412"/>
    </row>
    <row r="13" spans="2:12" ht="18">
      <c r="B13" s="39"/>
      <c r="C13" s="39"/>
      <c r="D13" s="36"/>
      <c r="E13" s="38"/>
      <c r="F13" s="36"/>
      <c r="G13" s="36"/>
      <c r="H13" s="36"/>
      <c r="I13" s="36"/>
      <c r="J13" s="36"/>
      <c r="K13" s="669"/>
      <c r="L13" s="1412"/>
    </row>
    <row r="14" spans="2:12" ht="18">
      <c r="B14" s="39"/>
      <c r="C14" s="39"/>
      <c r="D14" s="36"/>
      <c r="E14" s="38"/>
      <c r="F14" s="36"/>
      <c r="G14" s="36"/>
      <c r="H14" s="36"/>
      <c r="I14" s="36"/>
      <c r="J14" s="36"/>
      <c r="K14" s="669"/>
      <c r="L14" s="1412"/>
    </row>
    <row r="15" spans="2:12" ht="54">
      <c r="B15" s="42" t="s">
        <v>1829</v>
      </c>
      <c r="C15" s="42" t="s">
        <v>1742</v>
      </c>
      <c r="D15" s="42" t="s">
        <v>1737</v>
      </c>
      <c r="E15" s="42" t="s">
        <v>1835</v>
      </c>
      <c r="F15" s="42" t="s">
        <v>243</v>
      </c>
      <c r="G15" s="42" t="s">
        <v>244</v>
      </c>
      <c r="H15" s="42" t="s">
        <v>245</v>
      </c>
      <c r="I15" s="42" t="s">
        <v>246</v>
      </c>
      <c r="J15" s="43" t="s">
        <v>503</v>
      </c>
      <c r="K15" s="669"/>
      <c r="L15" s="1412"/>
    </row>
    <row r="16" spans="2:12" ht="18">
      <c r="B16" s="36"/>
      <c r="C16" s="39"/>
      <c r="D16" s="39"/>
      <c r="E16" s="38"/>
      <c r="F16" s="36"/>
      <c r="G16" s="36"/>
      <c r="H16" s="36"/>
      <c r="I16" s="36"/>
      <c r="J16" s="36"/>
      <c r="K16" s="669"/>
      <c r="L16" s="1412"/>
    </row>
    <row r="17" spans="2:12" ht="18">
      <c r="B17" s="47">
        <v>113</v>
      </c>
      <c r="C17" s="367" t="s">
        <v>1497</v>
      </c>
      <c r="D17" s="349">
        <v>18</v>
      </c>
      <c r="E17" s="364"/>
      <c r="F17" s="364"/>
      <c r="G17" s="364"/>
      <c r="H17" s="364"/>
      <c r="I17" s="364"/>
      <c r="J17" s="671">
        <f>SUM(E17:I17)</f>
        <v>0</v>
      </c>
      <c r="K17" s="669"/>
      <c r="L17" s="1412"/>
    </row>
    <row r="18" spans="2:12" ht="18">
      <c r="B18" s="36"/>
      <c r="C18" s="39"/>
      <c r="D18" s="349"/>
      <c r="E18" s="38"/>
      <c r="F18" s="36"/>
      <c r="G18" s="36"/>
      <c r="H18" s="36"/>
      <c r="I18" s="36"/>
      <c r="J18" s="36"/>
      <c r="K18" s="669"/>
      <c r="L18" s="1412"/>
    </row>
    <row r="19" spans="2:12" ht="18">
      <c r="B19" s="47"/>
      <c r="C19" s="363" t="s">
        <v>1498</v>
      </c>
      <c r="D19" s="349" t="s">
        <v>1219</v>
      </c>
      <c r="E19" s="364"/>
      <c r="F19" s="364"/>
      <c r="G19" s="364"/>
      <c r="H19" s="364"/>
      <c r="I19" s="364"/>
      <c r="J19" s="671">
        <f>SUM(E19:I19)</f>
        <v>0</v>
      </c>
      <c r="K19" s="669"/>
      <c r="L19" s="1412"/>
    </row>
    <row r="20" spans="2:12" ht="18">
      <c r="B20" s="36"/>
      <c r="C20" s="39"/>
      <c r="D20" s="363"/>
      <c r="E20" s="38"/>
      <c r="F20" s="36"/>
      <c r="G20" s="36"/>
      <c r="H20" s="36"/>
      <c r="I20" s="36"/>
      <c r="J20" s="36"/>
      <c r="K20" s="669"/>
      <c r="L20" s="1412"/>
    </row>
    <row r="21" spans="2:12" ht="18">
      <c r="B21" s="47" t="s">
        <v>1775</v>
      </c>
      <c r="C21" s="363" t="s">
        <v>1499</v>
      </c>
      <c r="D21" s="349">
        <v>20</v>
      </c>
      <c r="E21" s="364"/>
      <c r="F21" s="364"/>
      <c r="G21" s="364"/>
      <c r="H21" s="364"/>
      <c r="I21" s="364"/>
      <c r="J21" s="671">
        <f>SUM(E21:I21)</f>
        <v>0</v>
      </c>
      <c r="K21" s="669"/>
      <c r="L21" s="1412"/>
    </row>
    <row r="22" spans="2:12" ht="18">
      <c r="B22" s="36"/>
      <c r="C22" s="39"/>
      <c r="D22" s="363"/>
      <c r="E22" s="38"/>
      <c r="F22" s="36"/>
      <c r="G22" s="36"/>
      <c r="H22" s="36"/>
      <c r="I22" s="36"/>
      <c r="J22" s="36"/>
      <c r="K22" s="669"/>
      <c r="L22" s="1412"/>
    </row>
    <row r="23" spans="2:12" ht="18">
      <c r="B23" s="47" t="s">
        <v>1632</v>
      </c>
      <c r="C23" s="363" t="s">
        <v>1500</v>
      </c>
      <c r="D23" s="349">
        <v>21</v>
      </c>
      <c r="E23" s="364"/>
      <c r="F23" s="364"/>
      <c r="G23" s="364"/>
      <c r="H23" s="364"/>
      <c r="I23" s="364"/>
      <c r="J23" s="671">
        <f>SUM(E23:I23)</f>
        <v>0</v>
      </c>
      <c r="K23" s="669"/>
      <c r="L23" s="1412"/>
    </row>
    <row r="24" spans="2:12" ht="18">
      <c r="B24" s="36"/>
      <c r="C24" s="39"/>
      <c r="D24" s="363"/>
      <c r="E24" s="34"/>
      <c r="F24" s="36"/>
      <c r="G24" s="36"/>
      <c r="H24" s="36"/>
      <c r="I24" s="36"/>
      <c r="J24" s="36"/>
      <c r="K24" s="669"/>
      <c r="L24" s="1412"/>
    </row>
    <row r="25" spans="2:12" ht="18">
      <c r="B25" s="47" t="s">
        <v>516</v>
      </c>
      <c r="C25" s="363" t="s">
        <v>1828</v>
      </c>
      <c r="D25" s="349">
        <v>22</v>
      </c>
      <c r="E25" s="364"/>
      <c r="F25" s="364"/>
      <c r="G25" s="364"/>
      <c r="H25" s="364"/>
      <c r="I25" s="364"/>
      <c r="J25" s="671">
        <f>SUM(E25:I25)</f>
        <v>0</v>
      </c>
      <c r="K25" s="669"/>
      <c r="L25" s="1412"/>
    </row>
    <row r="26" spans="2:12" ht="18">
      <c r="B26" s="36"/>
      <c r="C26" s="39"/>
      <c r="D26" s="363"/>
      <c r="E26" s="34"/>
      <c r="F26" s="36"/>
      <c r="G26" s="36"/>
      <c r="H26" s="36"/>
      <c r="I26" s="36"/>
      <c r="J26" s="36"/>
      <c r="K26" s="669"/>
      <c r="L26" s="1412"/>
    </row>
    <row r="27" spans="2:12" ht="18">
      <c r="B27" s="47" t="s">
        <v>516</v>
      </c>
      <c r="C27" s="363" t="s">
        <v>1631</v>
      </c>
      <c r="D27" s="349">
        <v>23</v>
      </c>
      <c r="E27" s="364"/>
      <c r="F27" s="364"/>
      <c r="G27" s="364"/>
      <c r="H27" s="364"/>
      <c r="I27" s="364"/>
      <c r="J27" s="671">
        <f>SUM(E27:I27)</f>
        <v>0</v>
      </c>
      <c r="K27" s="669"/>
      <c r="L27" s="1412"/>
    </row>
    <row r="28" spans="2:12" ht="18">
      <c r="B28" s="39"/>
      <c r="C28" s="39"/>
      <c r="D28" s="36"/>
      <c r="E28" s="38"/>
      <c r="F28" s="36"/>
      <c r="G28" s="36"/>
      <c r="H28" s="36"/>
      <c r="I28" s="36"/>
      <c r="J28" s="36"/>
      <c r="K28" s="669"/>
      <c r="L28" s="1412"/>
    </row>
    <row r="29" spans="2:12" ht="18.75" thickBot="1">
      <c r="B29" s="330"/>
      <c r="C29" s="331"/>
      <c r="D29" s="330"/>
      <c r="E29" s="332"/>
      <c r="F29" s="333"/>
      <c r="G29" s="333"/>
      <c r="H29" s="672"/>
      <c r="I29" s="333"/>
      <c r="J29" s="673"/>
      <c r="K29" s="674"/>
      <c r="L29" s="1412"/>
    </row>
    <row r="30" spans="2:12" ht="18">
      <c r="B30" s="47"/>
      <c r="C30" s="34" t="str">
        <f>"T4A(OAS)-"&amp;yeartext&amp;" GENERAL DATA ENTRY"</f>
        <v>T4A(OAS)-2006 GENERAL DATA ENTRY</v>
      </c>
      <c r="D30" s="34"/>
      <c r="E30" s="35" t="s">
        <v>896</v>
      </c>
      <c r="F30" s="36"/>
      <c r="G30" s="36"/>
      <c r="H30" s="37"/>
      <c r="I30" s="36"/>
      <c r="J30" s="37" t="str">
        <f>yeartext</f>
        <v>2006</v>
      </c>
      <c r="K30" s="669"/>
      <c r="L30" s="1412"/>
    </row>
    <row r="31" spans="2:12" ht="18">
      <c r="B31" s="47"/>
      <c r="C31" s="50"/>
      <c r="D31" s="47"/>
      <c r="E31" s="52"/>
      <c r="F31" s="49"/>
      <c r="G31" s="49"/>
      <c r="H31" s="675"/>
      <c r="I31" s="49"/>
      <c r="J31" s="676"/>
      <c r="K31" s="669"/>
      <c r="L31" s="1412"/>
    </row>
    <row r="32" spans="2:12" ht="18">
      <c r="B32" s="47"/>
      <c r="C32" s="42" t="s">
        <v>1210</v>
      </c>
      <c r="D32" s="42" t="s">
        <v>1829</v>
      </c>
      <c r="E32" s="42" t="s">
        <v>1211</v>
      </c>
      <c r="F32" s="365"/>
      <c r="G32" s="376" t="s">
        <v>1567</v>
      </c>
      <c r="H32" s="365"/>
      <c r="I32" s="365"/>
      <c r="J32" s="365"/>
      <c r="K32" s="669"/>
      <c r="L32" s="1412"/>
    </row>
    <row r="33" spans="2:12" ht="18">
      <c r="B33" s="47"/>
      <c r="C33" s="334" t="s">
        <v>1209</v>
      </c>
      <c r="D33" s="335" t="s">
        <v>1608</v>
      </c>
      <c r="E33" s="370">
        <f>J17</f>
        <v>0</v>
      </c>
      <c r="F33" s="366"/>
      <c r="G33" s="376" t="s">
        <v>1568</v>
      </c>
      <c r="H33" s="366"/>
      <c r="I33" s="366"/>
      <c r="J33" s="366"/>
      <c r="K33" s="669"/>
      <c r="L33" s="1412"/>
    </row>
    <row r="34" spans="2:12" ht="18">
      <c r="B34" s="47"/>
      <c r="C34" s="328" t="s">
        <v>1209</v>
      </c>
      <c r="D34" s="329" t="s">
        <v>1771</v>
      </c>
      <c r="E34" s="370">
        <f>IF(J23&lt;0,0,J23)</f>
        <v>0</v>
      </c>
      <c r="F34" s="366"/>
      <c r="G34" s="376"/>
      <c r="H34" s="366"/>
      <c r="I34" s="366"/>
      <c r="J34" s="366"/>
      <c r="K34" s="669"/>
      <c r="L34" s="1412"/>
    </row>
    <row r="35" spans="2:12" ht="18">
      <c r="B35" s="47"/>
      <c r="C35" s="328" t="s">
        <v>1213</v>
      </c>
      <c r="D35" s="329" t="s">
        <v>1775</v>
      </c>
      <c r="E35" s="370">
        <f>J21</f>
        <v>0</v>
      </c>
      <c r="F35" s="366"/>
      <c r="G35" s="366" t="s">
        <v>1569</v>
      </c>
      <c r="H35" s="366"/>
      <c r="I35" s="366"/>
      <c r="J35" s="366"/>
      <c r="K35" s="669"/>
      <c r="L35" s="1412"/>
    </row>
    <row r="36" spans="2:12" ht="18">
      <c r="B36" s="47"/>
      <c r="C36" s="328" t="s">
        <v>1213</v>
      </c>
      <c r="D36" s="329" t="s">
        <v>1776</v>
      </c>
      <c r="E36" s="370">
        <f>J23</f>
        <v>0</v>
      </c>
      <c r="F36" s="366"/>
      <c r="G36" s="366" t="s">
        <v>1570</v>
      </c>
      <c r="H36" s="366"/>
      <c r="I36" s="366"/>
      <c r="J36" s="366"/>
      <c r="K36" s="669"/>
      <c r="L36" s="1412"/>
    </row>
    <row r="37" spans="2:12" ht="18">
      <c r="B37" s="47"/>
      <c r="C37" s="328" t="s">
        <v>389</v>
      </c>
      <c r="D37" s="329" t="s">
        <v>516</v>
      </c>
      <c r="E37" s="370">
        <f>J25+J27</f>
        <v>0</v>
      </c>
      <c r="F37" s="366"/>
      <c r="G37" s="366"/>
      <c r="H37" s="366"/>
      <c r="I37" s="366"/>
      <c r="J37" s="366"/>
      <c r="K37" s="669"/>
      <c r="L37" s="1412"/>
    </row>
    <row r="38" spans="2:12" ht="18">
      <c r="B38" s="47"/>
      <c r="C38" s="347"/>
      <c r="D38" s="348"/>
      <c r="E38" s="362"/>
      <c r="F38" s="366"/>
      <c r="G38" s="366" t="s">
        <v>453</v>
      </c>
      <c r="H38" s="366"/>
      <c r="I38" s="366"/>
      <c r="J38" s="366"/>
      <c r="K38" s="669"/>
      <c r="L38" s="1412"/>
    </row>
    <row r="39" spans="2:12" ht="18">
      <c r="B39" s="47"/>
      <c r="C39" s="50"/>
      <c r="D39" s="47"/>
      <c r="E39" s="52"/>
      <c r="F39" s="49"/>
      <c r="G39" s="366" t="s">
        <v>1566</v>
      </c>
      <c r="H39" s="675"/>
      <c r="I39" s="49"/>
      <c r="J39" s="676"/>
      <c r="K39" s="669"/>
      <c r="L39" s="1412"/>
    </row>
    <row r="40" spans="2:4" ht="15">
      <c r="B40" s="677"/>
      <c r="D40" s="56"/>
    </row>
    <row r="41" spans="2:4" ht="15">
      <c r="B41" s="677"/>
      <c r="D41" s="56"/>
    </row>
    <row r="42" spans="2:4" ht="15">
      <c r="B42" s="677"/>
      <c r="D42" s="56"/>
    </row>
    <row r="43" spans="2:4" ht="15">
      <c r="B43" s="677"/>
      <c r="D43" s="56"/>
    </row>
    <row r="44" spans="2:4" ht="15">
      <c r="B44" s="677"/>
      <c r="D44" s="56"/>
    </row>
    <row r="45" spans="2:4" ht="15">
      <c r="B45" s="677"/>
      <c r="D45" s="56"/>
    </row>
    <row r="46" spans="2:4" ht="15">
      <c r="B46" s="677"/>
      <c r="D46" s="56"/>
    </row>
    <row r="47" spans="2:4" ht="15">
      <c r="B47" s="677"/>
      <c r="D47" s="56"/>
    </row>
    <row r="48" spans="2:4" ht="15">
      <c r="B48" s="677"/>
      <c r="D48" s="56"/>
    </row>
    <row r="49" spans="2:4" ht="15">
      <c r="B49" s="677"/>
      <c r="D49" s="56"/>
    </row>
    <row r="50" spans="2:4" ht="15">
      <c r="B50" s="677"/>
      <c r="D50" s="56"/>
    </row>
    <row r="51" spans="2:4" ht="15">
      <c r="B51" s="677"/>
      <c r="D51" s="56"/>
    </row>
  </sheetData>
  <sheetProtection password="EC35" sheet="1" objects="1" scenarios="1"/>
  <mergeCells count="1">
    <mergeCell ref="L1:L39"/>
  </mergeCells>
  <hyperlinks>
    <hyperlink ref="L1:L39" location="'GO TO'!G9" display=" "/>
  </hyperlinks>
  <printOptions horizontalCentered="1"/>
  <pageMargins left="0" right="0" top="0" bottom="0" header="0.5" footer="0.5"/>
  <pageSetup fitToHeight="0" fitToWidth="1" horizontalDpi="600" verticalDpi="600" orientation="portrait" scale="66" r:id="rId1"/>
  <ignoredErrors>
    <ignoredError sqref="D19" numberStoredAsText="1"/>
  </ignoredErrors>
</worksheet>
</file>

<file path=xl/worksheets/sheet28.xml><?xml version="1.0" encoding="utf-8"?>
<worksheet xmlns="http://schemas.openxmlformats.org/spreadsheetml/2006/main" xmlns:r="http://schemas.openxmlformats.org/officeDocument/2006/relationships">
  <sheetPr codeName="Sheet2111111">
    <pageSetUpPr fitToPage="1"/>
  </sheetPr>
  <dimension ref="B1:L88"/>
  <sheetViews>
    <sheetView showGridLines="0" zoomScale="70" zoomScaleNormal="70" workbookViewId="0" topLeftCell="A1">
      <selection activeCell="B2" sqref="B2"/>
    </sheetView>
  </sheetViews>
  <sheetFormatPr defaultColWidth="8.88671875" defaultRowHeight="15"/>
  <cols>
    <col min="1" max="1" width="1.77734375" style="670" customWidth="1"/>
    <col min="2" max="2" width="8.3359375" style="670" customWidth="1"/>
    <col min="3" max="3" width="34.77734375" style="670" customWidth="1"/>
    <col min="4" max="4" width="7.99609375" style="670" customWidth="1"/>
    <col min="5" max="10" width="12.21484375" style="670" customWidth="1"/>
    <col min="11" max="11" width="1.88671875" style="670" customWidth="1"/>
    <col min="12" max="12" width="10.77734375" style="670" customWidth="1"/>
    <col min="13" max="16384" width="8.88671875" style="670" customWidth="1"/>
  </cols>
  <sheetData>
    <row r="1" spans="2:12" ht="18">
      <c r="B1" s="36"/>
      <c r="C1" s="34" t="str">
        <f>"T4E-"&amp;yeartext&amp;" SLIPS DATA ENTRY FORM"</f>
        <v>T4E-2006 SLIPS DATA ENTRY FORM</v>
      </c>
      <c r="D1" s="34"/>
      <c r="E1" s="358" t="s">
        <v>248</v>
      </c>
      <c r="F1" s="36"/>
      <c r="G1" s="36"/>
      <c r="H1" s="37"/>
      <c r="I1" s="36"/>
      <c r="J1" s="37" t="str">
        <f>yeartext</f>
        <v>2006</v>
      </c>
      <c r="K1" s="669"/>
      <c r="L1" s="1412" t="s">
        <v>1793</v>
      </c>
    </row>
    <row r="2" spans="2:12" ht="15.75">
      <c r="B2" s="36"/>
      <c r="C2" s="36"/>
      <c r="D2" s="38"/>
      <c r="E2" s="669"/>
      <c r="F2" s="36"/>
      <c r="G2" s="36"/>
      <c r="H2" s="36"/>
      <c r="I2" s="36"/>
      <c r="J2" s="36"/>
      <c r="K2" s="669"/>
      <c r="L2" s="1412"/>
    </row>
    <row r="3" spans="2:12" ht="18">
      <c r="B3" s="39"/>
      <c r="C3" s="39" t="s">
        <v>897</v>
      </c>
      <c r="D3" s="36"/>
      <c r="E3" s="38"/>
      <c r="F3" s="36"/>
      <c r="G3" s="36"/>
      <c r="H3" s="36"/>
      <c r="I3" s="36"/>
      <c r="J3" s="36"/>
      <c r="K3" s="669"/>
      <c r="L3" s="1412"/>
    </row>
    <row r="4" spans="2:12" ht="18">
      <c r="B4" s="39"/>
      <c r="C4" s="39" t="s">
        <v>898</v>
      </c>
      <c r="D4" s="36"/>
      <c r="E4" s="38"/>
      <c r="F4" s="36"/>
      <c r="G4" s="36"/>
      <c r="H4" s="36"/>
      <c r="I4" s="36"/>
      <c r="J4" s="36"/>
      <c r="K4" s="669"/>
      <c r="L4" s="1412"/>
    </row>
    <row r="5" spans="2:12" ht="18">
      <c r="B5" s="39"/>
      <c r="C5" s="39" t="s">
        <v>1025</v>
      </c>
      <c r="D5" s="36"/>
      <c r="E5" s="38"/>
      <c r="F5" s="36"/>
      <c r="G5" s="36"/>
      <c r="H5" s="36"/>
      <c r="I5" s="36"/>
      <c r="J5" s="36"/>
      <c r="K5" s="669"/>
      <c r="L5" s="1412"/>
    </row>
    <row r="6" spans="2:12" ht="18">
      <c r="B6" s="39"/>
      <c r="C6" s="39" t="s">
        <v>90</v>
      </c>
      <c r="D6" s="36"/>
      <c r="E6" s="38"/>
      <c r="F6" s="36"/>
      <c r="G6" s="36"/>
      <c r="H6" s="36"/>
      <c r="I6" s="36"/>
      <c r="J6" s="36"/>
      <c r="K6" s="669"/>
      <c r="L6" s="1412"/>
    </row>
    <row r="7" spans="2:12" ht="18">
      <c r="B7" s="39"/>
      <c r="C7" s="39" t="s">
        <v>473</v>
      </c>
      <c r="D7" s="36"/>
      <c r="E7" s="38"/>
      <c r="F7" s="36"/>
      <c r="G7" s="36"/>
      <c r="H7" s="36"/>
      <c r="I7" s="36"/>
      <c r="J7" s="36"/>
      <c r="K7" s="669"/>
      <c r="L7" s="1412"/>
    </row>
    <row r="8" spans="2:12" ht="18">
      <c r="B8" s="39"/>
      <c r="C8" s="39" t="s">
        <v>2147</v>
      </c>
      <c r="D8" s="36"/>
      <c r="E8" s="38"/>
      <c r="F8" s="36"/>
      <c r="G8" s="36"/>
      <c r="H8" s="36"/>
      <c r="I8" s="36"/>
      <c r="J8" s="36"/>
      <c r="K8" s="669"/>
      <c r="L8" s="1412"/>
    </row>
    <row r="9" spans="2:12" ht="18">
      <c r="B9" s="39"/>
      <c r="C9" s="39" t="s">
        <v>1286</v>
      </c>
      <c r="D9" s="36"/>
      <c r="E9" s="38"/>
      <c r="F9" s="36"/>
      <c r="G9" s="36"/>
      <c r="H9" s="36"/>
      <c r="I9" s="36"/>
      <c r="J9" s="36"/>
      <c r="K9" s="669"/>
      <c r="L9" s="1412"/>
    </row>
    <row r="10" spans="2:12" ht="18">
      <c r="B10" s="39"/>
      <c r="C10" s="39" t="s">
        <v>613</v>
      </c>
      <c r="D10" s="36"/>
      <c r="E10" s="38"/>
      <c r="F10" s="36"/>
      <c r="G10" s="36"/>
      <c r="H10" s="36"/>
      <c r="I10" s="36"/>
      <c r="J10" s="36"/>
      <c r="K10" s="669"/>
      <c r="L10" s="1412"/>
    </row>
    <row r="11" spans="2:12" ht="18">
      <c r="B11" s="39"/>
      <c r="C11" s="39" t="s">
        <v>1826</v>
      </c>
      <c r="D11" s="36"/>
      <c r="E11" s="38"/>
      <c r="F11" s="36"/>
      <c r="G11" s="36"/>
      <c r="H11" s="36"/>
      <c r="I11" s="36"/>
      <c r="J11" s="36"/>
      <c r="K11" s="669"/>
      <c r="L11" s="1412"/>
    </row>
    <row r="12" spans="2:12" ht="18">
      <c r="B12" s="39"/>
      <c r="C12" s="39" t="s">
        <v>1530</v>
      </c>
      <c r="D12" s="36"/>
      <c r="E12" s="38"/>
      <c r="F12" s="36"/>
      <c r="G12" s="36"/>
      <c r="H12" s="36"/>
      <c r="I12" s="36"/>
      <c r="J12" s="36"/>
      <c r="K12" s="669"/>
      <c r="L12" s="1412"/>
    </row>
    <row r="13" spans="2:12" ht="18">
      <c r="B13" s="39"/>
      <c r="C13" s="39"/>
      <c r="D13" s="36"/>
      <c r="E13" s="38"/>
      <c r="F13" s="36"/>
      <c r="G13" s="36"/>
      <c r="H13" s="36"/>
      <c r="I13" s="36"/>
      <c r="J13" s="36"/>
      <c r="K13" s="669"/>
      <c r="L13" s="1412"/>
    </row>
    <row r="14" spans="2:12" ht="18">
      <c r="B14" s="39"/>
      <c r="C14" s="39"/>
      <c r="D14" s="36"/>
      <c r="E14" s="38"/>
      <c r="F14" s="36"/>
      <c r="G14" s="36"/>
      <c r="H14" s="36"/>
      <c r="I14" s="36"/>
      <c r="J14" s="36"/>
      <c r="K14" s="669"/>
      <c r="L14" s="1412"/>
    </row>
    <row r="15" spans="2:12" ht="36">
      <c r="B15" s="42" t="s">
        <v>1829</v>
      </c>
      <c r="C15" s="42" t="s">
        <v>1742</v>
      </c>
      <c r="D15" s="42" t="s">
        <v>1737</v>
      </c>
      <c r="E15" s="42" t="s">
        <v>2148</v>
      </c>
      <c r="F15" s="42" t="s">
        <v>2149</v>
      </c>
      <c r="G15" s="42" t="s">
        <v>2150</v>
      </c>
      <c r="H15" s="42" t="s">
        <v>2151</v>
      </c>
      <c r="I15" s="42" t="s">
        <v>2152</v>
      </c>
      <c r="J15" s="43" t="s">
        <v>503</v>
      </c>
      <c r="K15" s="669"/>
      <c r="L15" s="1412"/>
    </row>
    <row r="16" spans="2:12" ht="18">
      <c r="B16" s="36"/>
      <c r="C16" s="39"/>
      <c r="D16" s="39"/>
      <c r="E16" s="38"/>
      <c r="F16" s="36"/>
      <c r="G16" s="36"/>
      <c r="H16" s="36"/>
      <c r="I16" s="36"/>
      <c r="J16" s="36"/>
      <c r="K16" s="669"/>
      <c r="L16" s="1412"/>
    </row>
    <row r="17" spans="2:12" ht="18">
      <c r="B17" s="47"/>
      <c r="C17" s="367" t="s">
        <v>631</v>
      </c>
      <c r="D17" s="349" t="s">
        <v>1560</v>
      </c>
      <c r="E17" s="373"/>
      <c r="F17" s="373"/>
      <c r="G17" s="373"/>
      <c r="H17" s="373"/>
      <c r="I17" s="373"/>
      <c r="J17" s="693">
        <f>MAX(0,E17,F17,G17,H17,I17)</f>
        <v>0</v>
      </c>
      <c r="K17" s="669"/>
      <c r="L17" s="1412"/>
    </row>
    <row r="18" spans="2:12" ht="18">
      <c r="B18" s="36"/>
      <c r="C18" s="39"/>
      <c r="D18" s="349"/>
      <c r="E18" s="38"/>
      <c r="F18" s="36"/>
      <c r="G18" s="36"/>
      <c r="H18" s="36"/>
      <c r="I18" s="36"/>
      <c r="J18" s="36"/>
      <c r="K18" s="669"/>
      <c r="L18" s="1412"/>
    </row>
    <row r="19" spans="2:12" ht="18">
      <c r="B19" s="47" t="s">
        <v>1609</v>
      </c>
      <c r="C19" s="363" t="s">
        <v>632</v>
      </c>
      <c r="D19" s="349" t="s">
        <v>506</v>
      </c>
      <c r="E19" s="364"/>
      <c r="F19" s="364"/>
      <c r="G19" s="364"/>
      <c r="H19" s="364"/>
      <c r="I19" s="364"/>
      <c r="J19" s="671">
        <f>SUM(E19:I19)</f>
        <v>0</v>
      </c>
      <c r="K19" s="669"/>
      <c r="L19" s="1412"/>
    </row>
    <row r="20" spans="2:12" ht="18">
      <c r="B20" s="47"/>
      <c r="C20" s="363"/>
      <c r="D20" s="349"/>
      <c r="E20" s="38"/>
      <c r="F20" s="36"/>
      <c r="G20" s="36"/>
      <c r="H20" s="36"/>
      <c r="I20" s="36"/>
      <c r="J20" s="36"/>
      <c r="K20" s="669"/>
      <c r="L20" s="1412"/>
    </row>
    <row r="21" spans="2:12" ht="18">
      <c r="B21" s="47"/>
      <c r="C21" s="363" t="s">
        <v>633</v>
      </c>
      <c r="D21" s="349" t="s">
        <v>1223</v>
      </c>
      <c r="E21" s="364"/>
      <c r="F21" s="364"/>
      <c r="G21" s="364"/>
      <c r="H21" s="364"/>
      <c r="I21" s="364"/>
      <c r="J21" s="671">
        <f>SUM(E21:I21)</f>
        <v>0</v>
      </c>
      <c r="K21" s="669"/>
      <c r="L21" s="1412"/>
    </row>
    <row r="22" spans="2:12" ht="18">
      <c r="B22" s="36"/>
      <c r="C22" s="39"/>
      <c r="D22" s="363"/>
      <c r="E22" s="34"/>
      <c r="F22" s="36"/>
      <c r="G22" s="36"/>
      <c r="H22" s="36"/>
      <c r="I22" s="36"/>
      <c r="J22" s="36"/>
      <c r="K22" s="669"/>
      <c r="L22" s="1412"/>
    </row>
    <row r="23" spans="2:12" ht="18">
      <c r="B23" s="47"/>
      <c r="C23" s="363" t="s">
        <v>830</v>
      </c>
      <c r="D23" s="349" t="s">
        <v>510</v>
      </c>
      <c r="E23" s="364"/>
      <c r="F23" s="364"/>
      <c r="G23" s="364"/>
      <c r="H23" s="364"/>
      <c r="I23" s="364"/>
      <c r="J23" s="671">
        <f>SUM(E23:I23)</f>
        <v>0</v>
      </c>
      <c r="K23" s="669"/>
      <c r="L23" s="1412"/>
    </row>
    <row r="24" spans="2:12" ht="18">
      <c r="B24" s="36"/>
      <c r="C24" s="363" t="s">
        <v>831</v>
      </c>
      <c r="D24" s="363"/>
      <c r="E24" s="34"/>
      <c r="F24" s="36"/>
      <c r="G24" s="36"/>
      <c r="H24" s="36"/>
      <c r="I24" s="36"/>
      <c r="J24" s="36"/>
      <c r="K24" s="669"/>
      <c r="L24" s="1412"/>
    </row>
    <row r="25" spans="2:12" ht="18">
      <c r="B25" s="47"/>
      <c r="C25" s="367" t="s">
        <v>973</v>
      </c>
      <c r="D25" s="349" t="s">
        <v>513</v>
      </c>
      <c r="E25" s="364"/>
      <c r="F25" s="364"/>
      <c r="G25" s="364"/>
      <c r="H25" s="364"/>
      <c r="I25" s="364"/>
      <c r="J25" s="671">
        <f>SUM(E25:I25)</f>
        <v>0</v>
      </c>
      <c r="K25" s="669"/>
      <c r="L25" s="1412"/>
    </row>
    <row r="26" spans="2:12" ht="18">
      <c r="B26" s="36"/>
      <c r="C26" s="363"/>
      <c r="D26" s="363"/>
      <c r="E26" s="34"/>
      <c r="F26" s="36"/>
      <c r="G26" s="36"/>
      <c r="H26" s="36"/>
      <c r="I26" s="36"/>
      <c r="J26" s="36"/>
      <c r="K26" s="669"/>
      <c r="L26" s="1412"/>
    </row>
    <row r="27" spans="2:12" ht="18">
      <c r="B27" s="47" t="s">
        <v>972</v>
      </c>
      <c r="C27" s="367" t="s">
        <v>974</v>
      </c>
      <c r="D27" s="349" t="s">
        <v>1224</v>
      </c>
      <c r="E27" s="364"/>
      <c r="F27" s="364"/>
      <c r="G27" s="364"/>
      <c r="H27" s="364"/>
      <c r="I27" s="364"/>
      <c r="J27" s="671">
        <f>SUM(E27:I27)</f>
        <v>0</v>
      </c>
      <c r="K27" s="669"/>
      <c r="L27" s="1412"/>
    </row>
    <row r="28" spans="2:12" ht="18">
      <c r="B28" s="36"/>
      <c r="C28" s="363"/>
      <c r="D28" s="363"/>
      <c r="E28" s="34"/>
      <c r="F28" s="36"/>
      <c r="G28" s="36"/>
      <c r="H28" s="36"/>
      <c r="I28" s="36"/>
      <c r="J28" s="36"/>
      <c r="K28" s="669"/>
      <c r="L28" s="1412"/>
    </row>
    <row r="29" spans="2:12" ht="18">
      <c r="B29" s="47" t="s">
        <v>516</v>
      </c>
      <c r="C29" s="367" t="s">
        <v>832</v>
      </c>
      <c r="D29" s="349">
        <v>22</v>
      </c>
      <c r="E29" s="364"/>
      <c r="F29" s="364"/>
      <c r="G29" s="364"/>
      <c r="H29" s="364"/>
      <c r="I29" s="364"/>
      <c r="J29" s="671">
        <f>SUM(E29:I29)</f>
        <v>0</v>
      </c>
      <c r="K29" s="669"/>
      <c r="L29" s="1412"/>
    </row>
    <row r="30" spans="2:12" ht="18">
      <c r="B30" s="36"/>
      <c r="C30" s="39"/>
      <c r="D30" s="349"/>
      <c r="E30" s="38"/>
      <c r="F30" s="36"/>
      <c r="G30" s="36"/>
      <c r="H30" s="36"/>
      <c r="I30" s="36"/>
      <c r="J30" s="36"/>
      <c r="K30" s="669"/>
      <c r="L30" s="1412"/>
    </row>
    <row r="31" spans="2:12" ht="18">
      <c r="B31" s="47" t="s">
        <v>516</v>
      </c>
      <c r="C31" s="363" t="s">
        <v>1631</v>
      </c>
      <c r="D31" s="349">
        <v>23</v>
      </c>
      <c r="E31" s="364"/>
      <c r="F31" s="364"/>
      <c r="G31" s="364"/>
      <c r="H31" s="364"/>
      <c r="I31" s="364"/>
      <c r="J31" s="671">
        <f>SUM(E31:I31)</f>
        <v>0</v>
      </c>
      <c r="K31" s="669"/>
      <c r="L31" s="1412"/>
    </row>
    <row r="32" spans="2:12" ht="18">
      <c r="B32" s="36"/>
      <c r="C32" s="39"/>
      <c r="D32" s="363"/>
      <c r="E32" s="38"/>
      <c r="F32" s="36"/>
      <c r="G32" s="36"/>
      <c r="H32" s="36"/>
      <c r="I32" s="36"/>
      <c r="J32" s="36"/>
      <c r="K32" s="669"/>
      <c r="L32" s="1412"/>
    </row>
    <row r="33" spans="2:12" ht="18">
      <c r="B33" s="47" t="s">
        <v>516</v>
      </c>
      <c r="C33" s="363" t="s">
        <v>210</v>
      </c>
      <c r="D33" s="349">
        <v>24</v>
      </c>
      <c r="E33" s="364"/>
      <c r="F33" s="364"/>
      <c r="G33" s="364"/>
      <c r="H33" s="364"/>
      <c r="I33" s="364"/>
      <c r="J33" s="671">
        <f>SUM(E33:I33)</f>
        <v>0</v>
      </c>
      <c r="K33" s="669"/>
      <c r="L33" s="1412"/>
    </row>
    <row r="34" spans="2:12" ht="18">
      <c r="B34" s="34"/>
      <c r="C34" s="34"/>
      <c r="D34" s="34"/>
      <c r="E34" s="34"/>
      <c r="F34" s="34"/>
      <c r="G34" s="34"/>
      <c r="H34" s="34"/>
      <c r="I34" s="34"/>
      <c r="J34" s="34"/>
      <c r="K34" s="669"/>
      <c r="L34" s="1412"/>
    </row>
    <row r="35" spans="2:12" ht="18">
      <c r="B35" s="47"/>
      <c r="C35" s="363" t="s">
        <v>1926</v>
      </c>
      <c r="D35" s="349">
        <v>26</v>
      </c>
      <c r="E35" s="364"/>
      <c r="F35" s="364"/>
      <c r="G35" s="364"/>
      <c r="H35" s="364"/>
      <c r="I35" s="364"/>
      <c r="J35" s="671">
        <f>SUM(E35:I35)</f>
        <v>0</v>
      </c>
      <c r="K35" s="669"/>
      <c r="L35" s="1412"/>
    </row>
    <row r="36" spans="2:12" ht="18">
      <c r="B36" s="36"/>
      <c r="C36" s="39"/>
      <c r="D36" s="363"/>
      <c r="E36" s="34"/>
      <c r="F36" s="36"/>
      <c r="G36" s="36"/>
      <c r="H36" s="36"/>
      <c r="I36" s="36"/>
      <c r="J36" s="36"/>
      <c r="K36" s="669"/>
      <c r="L36" s="1412"/>
    </row>
    <row r="37" spans="2:12" ht="18">
      <c r="B37" s="47"/>
      <c r="C37" s="363" t="s">
        <v>1927</v>
      </c>
      <c r="D37" s="349" t="s">
        <v>1350</v>
      </c>
      <c r="E37" s="364"/>
      <c r="F37" s="364"/>
      <c r="G37" s="364"/>
      <c r="H37" s="364"/>
      <c r="I37" s="364"/>
      <c r="J37" s="671">
        <f>SUM(E37:I37)</f>
        <v>0</v>
      </c>
      <c r="K37" s="669"/>
      <c r="L37" s="1412"/>
    </row>
    <row r="38" spans="2:12" ht="18">
      <c r="B38" s="36"/>
      <c r="C38" s="39"/>
      <c r="D38" s="363"/>
      <c r="E38" s="34"/>
      <c r="F38" s="36"/>
      <c r="G38" s="36"/>
      <c r="H38" s="36"/>
      <c r="I38" s="36"/>
      <c r="J38" s="36"/>
      <c r="K38" s="669"/>
      <c r="L38" s="1412"/>
    </row>
    <row r="39" spans="2:12" ht="18">
      <c r="B39" s="47" t="s">
        <v>1775</v>
      </c>
      <c r="C39" s="363" t="s">
        <v>1925</v>
      </c>
      <c r="D39" s="349" t="s">
        <v>1920</v>
      </c>
      <c r="E39" s="364"/>
      <c r="F39" s="364"/>
      <c r="G39" s="364"/>
      <c r="H39" s="364"/>
      <c r="I39" s="364"/>
      <c r="J39" s="671">
        <f>SUM(E39:I39)</f>
        <v>0</v>
      </c>
      <c r="K39" s="669"/>
      <c r="L39" s="1412"/>
    </row>
    <row r="40" spans="2:12" ht="18">
      <c r="B40" s="39"/>
      <c r="C40" s="39"/>
      <c r="D40" s="36"/>
      <c r="E40" s="38"/>
      <c r="F40" s="36"/>
      <c r="G40" s="36"/>
      <c r="H40" s="36"/>
      <c r="I40" s="36"/>
      <c r="J40" s="36"/>
      <c r="K40" s="669"/>
      <c r="L40" s="1412"/>
    </row>
    <row r="41" spans="2:12" ht="18.75" thickBot="1">
      <c r="B41" s="330"/>
      <c r="C41" s="331"/>
      <c r="D41" s="330"/>
      <c r="E41" s="332"/>
      <c r="F41" s="333"/>
      <c r="G41" s="333"/>
      <c r="H41" s="672"/>
      <c r="I41" s="333"/>
      <c r="J41" s="673"/>
      <c r="K41" s="674"/>
      <c r="L41" s="1412"/>
    </row>
    <row r="42" spans="2:12" ht="18">
      <c r="B42" s="47"/>
      <c r="C42" s="34" t="str">
        <f>"T4E-"&amp;yeartext&amp;" GENERAL DATA ENTRY"</f>
        <v>T4E-2006 GENERAL DATA ENTRY</v>
      </c>
      <c r="D42" s="34"/>
      <c r="E42" s="358" t="s">
        <v>248</v>
      </c>
      <c r="F42" s="36"/>
      <c r="G42" s="36"/>
      <c r="H42" s="37"/>
      <c r="I42" s="36"/>
      <c r="J42" s="37" t="str">
        <f>yeartext</f>
        <v>2006</v>
      </c>
      <c r="K42" s="669"/>
      <c r="L42" s="1412"/>
    </row>
    <row r="43" spans="2:12" ht="18">
      <c r="B43" s="47"/>
      <c r="C43" s="50"/>
      <c r="D43" s="47"/>
      <c r="E43" s="52"/>
      <c r="F43" s="49"/>
      <c r="G43" s="49"/>
      <c r="H43" s="675"/>
      <c r="I43" s="49"/>
      <c r="J43" s="676"/>
      <c r="K43" s="669"/>
      <c r="L43" s="1412"/>
    </row>
    <row r="44" spans="2:12" ht="18">
      <c r="B44" s="47"/>
      <c r="C44" s="42" t="s">
        <v>1210</v>
      </c>
      <c r="D44" s="42" t="s">
        <v>1829</v>
      </c>
      <c r="E44" s="42" t="s">
        <v>1211</v>
      </c>
      <c r="F44" s="365"/>
      <c r="G44" s="376" t="s">
        <v>1567</v>
      </c>
      <c r="H44" s="365"/>
      <c r="I44" s="365"/>
      <c r="J44" s="365"/>
      <c r="K44" s="669"/>
      <c r="L44" s="1412"/>
    </row>
    <row r="45" spans="2:12" ht="18">
      <c r="B45" s="47"/>
      <c r="C45" s="328" t="s">
        <v>1209</v>
      </c>
      <c r="D45" s="329" t="s">
        <v>1609</v>
      </c>
      <c r="E45" s="370">
        <f>J19</f>
        <v>0</v>
      </c>
      <c r="F45" s="365"/>
      <c r="G45" s="376" t="s">
        <v>1568</v>
      </c>
      <c r="H45" s="365"/>
      <c r="I45" s="365"/>
      <c r="J45" s="365"/>
      <c r="K45" s="669"/>
      <c r="L45" s="1412"/>
    </row>
    <row r="46" spans="2:12" ht="18">
      <c r="B46" s="47"/>
      <c r="C46" s="328" t="s">
        <v>1213</v>
      </c>
      <c r="D46" s="329" t="s">
        <v>1775</v>
      </c>
      <c r="E46" s="370">
        <f>J39</f>
        <v>0</v>
      </c>
      <c r="F46" s="365"/>
      <c r="G46" s="376"/>
      <c r="H46" s="365"/>
      <c r="I46" s="365"/>
      <c r="J46" s="365"/>
      <c r="K46" s="669"/>
      <c r="L46" s="1412"/>
    </row>
    <row r="47" spans="2:12" ht="18">
      <c r="B47" s="47"/>
      <c r="C47" s="328" t="s">
        <v>1213</v>
      </c>
      <c r="D47" s="329" t="s">
        <v>23</v>
      </c>
      <c r="E47" s="370">
        <f>E71</f>
        <v>0</v>
      </c>
      <c r="F47" s="365"/>
      <c r="G47" s="376"/>
      <c r="H47" s="365"/>
      <c r="I47" s="365"/>
      <c r="J47" s="365"/>
      <c r="K47" s="669"/>
      <c r="L47" s="1412"/>
    </row>
    <row r="48" spans="2:12" ht="18">
      <c r="B48" s="47"/>
      <c r="C48" s="328" t="s">
        <v>1213</v>
      </c>
      <c r="D48" s="329" t="s">
        <v>972</v>
      </c>
      <c r="E48" s="370">
        <f>J27</f>
        <v>0</v>
      </c>
      <c r="F48" s="365"/>
      <c r="G48" s="376"/>
      <c r="H48" s="365"/>
      <c r="I48" s="365"/>
      <c r="J48" s="365"/>
      <c r="K48" s="669"/>
      <c r="L48" s="1412"/>
    </row>
    <row r="49" spans="2:12" ht="18">
      <c r="B49" s="47"/>
      <c r="C49" s="328" t="s">
        <v>389</v>
      </c>
      <c r="D49" s="329" t="s">
        <v>24</v>
      </c>
      <c r="E49" s="370">
        <f>E71</f>
        <v>0</v>
      </c>
      <c r="F49" s="365"/>
      <c r="G49" s="376"/>
      <c r="H49" s="365"/>
      <c r="I49" s="365"/>
      <c r="J49" s="365"/>
      <c r="K49" s="669"/>
      <c r="L49" s="1412"/>
    </row>
    <row r="50" spans="2:12" ht="18">
      <c r="B50" s="47"/>
      <c r="C50" s="328" t="s">
        <v>389</v>
      </c>
      <c r="D50" s="329" t="s">
        <v>516</v>
      </c>
      <c r="E50" s="370">
        <f>J29+J31+J33</f>
        <v>0</v>
      </c>
      <c r="F50" s="365"/>
      <c r="G50" s="366" t="s">
        <v>1569</v>
      </c>
      <c r="H50" s="365"/>
      <c r="I50" s="365"/>
      <c r="J50" s="365"/>
      <c r="K50" s="669"/>
      <c r="L50" s="1412"/>
    </row>
    <row r="51" spans="2:12" ht="18">
      <c r="B51" s="47"/>
      <c r="C51" s="347"/>
      <c r="D51" s="348"/>
      <c r="E51" s="362"/>
      <c r="F51" s="366"/>
      <c r="G51" s="366" t="s">
        <v>1570</v>
      </c>
      <c r="H51" s="366"/>
      <c r="I51" s="366"/>
      <c r="J51" s="366"/>
      <c r="K51" s="669"/>
      <c r="L51" s="1412"/>
    </row>
    <row r="52" spans="2:12" ht="18">
      <c r="B52" s="47"/>
      <c r="C52" s="349"/>
      <c r="D52" s="47"/>
      <c r="E52" s="366"/>
      <c r="F52" s="366"/>
      <c r="G52" s="366"/>
      <c r="H52" s="366"/>
      <c r="I52" s="366"/>
      <c r="J52" s="366"/>
      <c r="K52" s="669"/>
      <c r="L52" s="1412"/>
    </row>
    <row r="53" spans="2:12" ht="18">
      <c r="B53" s="47"/>
      <c r="C53" s="349"/>
      <c r="D53" s="47"/>
      <c r="E53" s="366"/>
      <c r="F53" s="366"/>
      <c r="G53" s="366" t="s">
        <v>453</v>
      </c>
      <c r="H53" s="366"/>
      <c r="I53" s="366"/>
      <c r="J53" s="366"/>
      <c r="K53" s="669"/>
      <c r="L53" s="1412"/>
    </row>
    <row r="54" spans="2:12" ht="18">
      <c r="B54" s="47"/>
      <c r="C54" s="367" t="s">
        <v>682</v>
      </c>
      <c r="D54" s="47"/>
      <c r="E54" s="366"/>
      <c r="F54" s="366"/>
      <c r="G54" s="366" t="s">
        <v>1566</v>
      </c>
      <c r="H54" s="366"/>
      <c r="I54" s="366"/>
      <c r="J54" s="366"/>
      <c r="K54" s="669"/>
      <c r="L54" s="1412"/>
    </row>
    <row r="55" spans="2:12" ht="18">
      <c r="B55" s="47"/>
      <c r="C55" s="349"/>
      <c r="D55" s="47"/>
      <c r="E55" s="366"/>
      <c r="F55" s="366"/>
      <c r="G55" s="366"/>
      <c r="H55" s="366"/>
      <c r="I55" s="366"/>
      <c r="J55" s="366"/>
      <c r="K55" s="669"/>
      <c r="L55" s="1412"/>
    </row>
    <row r="56" spans="2:12" ht="18">
      <c r="B56" s="47"/>
      <c r="C56" s="368" t="s">
        <v>870</v>
      </c>
      <c r="D56" s="47"/>
      <c r="E56" s="366"/>
      <c r="F56" s="366"/>
      <c r="G56" s="366"/>
      <c r="H56" s="366"/>
      <c r="I56" s="366"/>
      <c r="J56" s="366"/>
      <c r="K56" s="669"/>
      <c r="L56" s="1412"/>
    </row>
    <row r="57" spans="2:12" ht="18">
      <c r="B57" s="47"/>
      <c r="C57" s="369" t="s">
        <v>875</v>
      </c>
      <c r="D57" s="47"/>
      <c r="E57" s="370">
        <f>IF(J17=0.3,J21,0)</f>
        <v>0</v>
      </c>
      <c r="F57" s="371"/>
      <c r="G57" s="366"/>
      <c r="H57" s="366"/>
      <c r="I57" s="366"/>
      <c r="J57" s="366"/>
      <c r="K57" s="669"/>
      <c r="L57" s="1412"/>
    </row>
    <row r="58" spans="2:12" ht="18">
      <c r="B58" s="47"/>
      <c r="C58" s="368"/>
      <c r="D58" s="47"/>
      <c r="E58" s="366"/>
      <c r="F58" s="366"/>
      <c r="G58" s="366"/>
      <c r="H58" s="366"/>
      <c r="I58" s="366"/>
      <c r="J58" s="366"/>
      <c r="K58" s="669"/>
      <c r="L58" s="1412"/>
    </row>
    <row r="59" spans="2:12" ht="18">
      <c r="B59" s="47"/>
      <c r="C59" s="369" t="s">
        <v>636</v>
      </c>
      <c r="D59" s="47"/>
      <c r="E59" s="370">
        <f>J39</f>
        <v>0</v>
      </c>
      <c r="F59" s="371"/>
      <c r="G59" s="366"/>
      <c r="H59" s="366"/>
      <c r="I59" s="366"/>
      <c r="J59" s="366"/>
      <c r="K59" s="669"/>
      <c r="L59" s="1412"/>
    </row>
    <row r="60" spans="2:12" ht="18">
      <c r="B60" s="47"/>
      <c r="C60" s="368" t="s">
        <v>873</v>
      </c>
      <c r="D60" s="47"/>
      <c r="E60" s="366"/>
      <c r="F60" s="366"/>
      <c r="G60" s="366"/>
      <c r="H60" s="366"/>
      <c r="I60" s="366"/>
      <c r="J60" s="366"/>
      <c r="K60" s="669"/>
      <c r="L60" s="1412"/>
    </row>
    <row r="61" spans="2:12" ht="18.75" thickBot="1">
      <c r="B61" s="47"/>
      <c r="C61" s="369" t="s">
        <v>872</v>
      </c>
      <c r="D61" s="47"/>
      <c r="E61" s="372">
        <f>MAX(E57-E59,0)</f>
        <v>0</v>
      </c>
      <c r="F61" s="371" t="s">
        <v>1409</v>
      </c>
      <c r="G61" s="366"/>
      <c r="H61" s="366"/>
      <c r="I61" s="366"/>
      <c r="J61" s="366"/>
      <c r="K61" s="669"/>
      <c r="L61" s="1412"/>
    </row>
    <row r="62" spans="2:12" ht="18.75" thickTop="1">
      <c r="B62" s="47"/>
      <c r="C62" s="368"/>
      <c r="D62" s="47"/>
      <c r="E62" s="366"/>
      <c r="F62" s="366"/>
      <c r="G62" s="366"/>
      <c r="H62" s="366"/>
      <c r="I62" s="366"/>
      <c r="J62" s="366"/>
      <c r="K62" s="669"/>
      <c r="L62" s="1412"/>
    </row>
    <row r="63" spans="2:12" ht="18">
      <c r="B63" s="47"/>
      <c r="C63" s="369" t="s">
        <v>637</v>
      </c>
      <c r="D63" s="47"/>
      <c r="E63" s="370">
        <f>'T1 GEN-2-3-4'!K83</f>
        <v>0</v>
      </c>
      <c r="F63" s="371"/>
      <c r="G63" s="366"/>
      <c r="H63" s="366"/>
      <c r="I63" s="366"/>
      <c r="J63" s="366"/>
      <c r="K63" s="669"/>
      <c r="L63" s="1412"/>
    </row>
    <row r="64" spans="2:12" ht="18">
      <c r="B64" s="47"/>
      <c r="C64" s="368"/>
      <c r="D64" s="47"/>
      <c r="E64" s="366"/>
      <c r="F64" s="366"/>
      <c r="G64" s="366"/>
      <c r="H64" s="366"/>
      <c r="I64" s="366"/>
      <c r="J64" s="366"/>
      <c r="K64" s="669"/>
      <c r="L64" s="1412"/>
    </row>
    <row r="65" spans="2:12" ht="18">
      <c r="B65" s="47"/>
      <c r="C65" s="369" t="s">
        <v>638</v>
      </c>
      <c r="D65" s="47"/>
      <c r="E65" s="370">
        <v>48750</v>
      </c>
      <c r="F65" s="371"/>
      <c r="G65" s="366"/>
      <c r="H65" s="366"/>
      <c r="I65" s="366"/>
      <c r="J65" s="366"/>
      <c r="K65" s="669"/>
      <c r="L65" s="1412"/>
    </row>
    <row r="66" spans="2:12" ht="18">
      <c r="B66" s="47"/>
      <c r="C66" s="368" t="s">
        <v>635</v>
      </c>
      <c r="D66" s="47"/>
      <c r="E66" s="366"/>
      <c r="F66" s="366"/>
      <c r="G66" s="366"/>
      <c r="H66" s="366"/>
      <c r="I66" s="366"/>
      <c r="J66" s="366"/>
      <c r="K66" s="669"/>
      <c r="L66" s="1412"/>
    </row>
    <row r="67" spans="2:12" ht="18.75" thickBot="1">
      <c r="B67" s="47"/>
      <c r="C67" s="369" t="s">
        <v>1004</v>
      </c>
      <c r="D67" s="47"/>
      <c r="E67" s="372">
        <f>MAX(E63-E65,0)</f>
        <v>0</v>
      </c>
      <c r="F67" s="371" t="s">
        <v>173</v>
      </c>
      <c r="G67" s="366"/>
      <c r="H67" s="366"/>
      <c r="I67" s="366"/>
      <c r="J67" s="366"/>
      <c r="K67" s="669"/>
      <c r="L67" s="1412"/>
    </row>
    <row r="68" spans="2:12" ht="18.75" thickTop="1">
      <c r="B68" s="47"/>
      <c r="C68" s="368"/>
      <c r="D68" s="47"/>
      <c r="E68" s="366"/>
      <c r="F68" s="366"/>
      <c r="G68" s="366"/>
      <c r="H68" s="366"/>
      <c r="I68" s="366"/>
      <c r="J68" s="366"/>
      <c r="K68" s="669"/>
      <c r="L68" s="1412"/>
    </row>
    <row r="69" spans="2:12" ht="18">
      <c r="B69" s="47"/>
      <c r="C69" s="369" t="s">
        <v>874</v>
      </c>
      <c r="D69" s="47"/>
      <c r="E69" s="370">
        <f>MIN(E61,E67)</f>
        <v>0</v>
      </c>
      <c r="F69" s="371" t="s">
        <v>1410</v>
      </c>
      <c r="G69" s="366"/>
      <c r="H69" s="366"/>
      <c r="I69" s="366"/>
      <c r="J69" s="366"/>
      <c r="K69" s="669"/>
      <c r="L69" s="1412"/>
    </row>
    <row r="70" spans="2:12" ht="18">
      <c r="B70" s="47"/>
      <c r="C70" s="368"/>
      <c r="D70" s="47"/>
      <c r="E70" s="374"/>
      <c r="F70" s="366"/>
      <c r="G70" s="366"/>
      <c r="H70" s="366"/>
      <c r="I70" s="366"/>
      <c r="J70" s="366"/>
      <c r="K70" s="669"/>
      <c r="L70" s="1412"/>
    </row>
    <row r="71" spans="2:12" ht="18">
      <c r="B71" s="47"/>
      <c r="C71" s="369" t="s">
        <v>871</v>
      </c>
      <c r="D71" s="47"/>
      <c r="E71" s="370">
        <f>0.3*E69</f>
        <v>0</v>
      </c>
      <c r="F71" s="371" t="s">
        <v>1411</v>
      </c>
      <c r="G71" s="366"/>
      <c r="H71" s="366"/>
      <c r="I71" s="366"/>
      <c r="J71" s="366"/>
      <c r="K71" s="669"/>
      <c r="L71" s="1412"/>
    </row>
    <row r="72" spans="2:12" ht="18">
      <c r="B72" s="47"/>
      <c r="C72" s="368"/>
      <c r="D72" s="47"/>
      <c r="E72" s="366"/>
      <c r="F72" s="366"/>
      <c r="G72" s="366"/>
      <c r="H72" s="366"/>
      <c r="I72" s="366"/>
      <c r="J72" s="366"/>
      <c r="K72" s="669"/>
      <c r="L72" s="1412"/>
    </row>
    <row r="73" spans="2:12" ht="18">
      <c r="B73" s="47"/>
      <c r="C73" s="367" t="s">
        <v>1068</v>
      </c>
      <c r="D73" s="47"/>
      <c r="E73" s="366"/>
      <c r="F73" s="366"/>
      <c r="G73" s="366"/>
      <c r="H73" s="366"/>
      <c r="I73" s="366"/>
      <c r="J73" s="366"/>
      <c r="K73" s="669"/>
      <c r="L73" s="1412"/>
    </row>
    <row r="74" spans="2:12" ht="18">
      <c r="B74" s="47"/>
      <c r="C74" s="367" t="s">
        <v>1069</v>
      </c>
      <c r="D74" s="47"/>
      <c r="E74" s="52"/>
      <c r="F74" s="49"/>
      <c r="G74" s="49"/>
      <c r="H74" s="675"/>
      <c r="I74" s="49"/>
      <c r="J74" s="676"/>
      <c r="K74" s="669"/>
      <c r="L74" s="1412"/>
    </row>
    <row r="75" spans="2:12" ht="18">
      <c r="B75" s="47"/>
      <c r="C75" s="367" t="s">
        <v>2143</v>
      </c>
      <c r="D75" s="47"/>
      <c r="E75" s="52"/>
      <c r="F75" s="49"/>
      <c r="G75" s="49"/>
      <c r="H75" s="675"/>
      <c r="I75" s="49"/>
      <c r="J75" s="676"/>
      <c r="K75" s="669"/>
      <c r="L75" s="1412"/>
    </row>
    <row r="76" spans="2:12" ht="18">
      <c r="B76" s="47"/>
      <c r="C76" s="368"/>
      <c r="D76" s="47"/>
      <c r="E76" s="52"/>
      <c r="F76" s="49"/>
      <c r="G76" s="49"/>
      <c r="H76" s="675"/>
      <c r="I76" s="49"/>
      <c r="J76" s="676"/>
      <c r="K76" s="669"/>
      <c r="L76" s="1412"/>
    </row>
    <row r="77" spans="2:4" ht="15">
      <c r="B77" s="677"/>
      <c r="D77" s="56"/>
    </row>
    <row r="78" spans="2:4" ht="15">
      <c r="B78" s="677"/>
      <c r="D78" s="56"/>
    </row>
    <row r="79" spans="2:4" ht="15">
      <c r="B79" s="677"/>
      <c r="D79" s="56"/>
    </row>
    <row r="80" spans="2:4" ht="15">
      <c r="B80" s="677"/>
      <c r="D80" s="56"/>
    </row>
    <row r="81" spans="2:4" ht="15">
      <c r="B81" s="677"/>
      <c r="D81" s="56"/>
    </row>
    <row r="82" spans="2:4" ht="15">
      <c r="B82" s="677"/>
      <c r="D82" s="56"/>
    </row>
    <row r="83" spans="2:4" ht="15">
      <c r="B83" s="677"/>
      <c r="D83" s="56"/>
    </row>
    <row r="84" spans="2:4" ht="15">
      <c r="B84" s="677"/>
      <c r="D84" s="56"/>
    </row>
    <row r="85" spans="2:4" ht="15">
      <c r="B85" s="677"/>
      <c r="D85" s="56"/>
    </row>
    <row r="86" spans="2:4" ht="15">
      <c r="B86" s="677"/>
      <c r="D86" s="56"/>
    </row>
    <row r="87" spans="2:4" ht="15">
      <c r="B87" s="677"/>
      <c r="D87" s="56"/>
    </row>
    <row r="88" spans="2:4" ht="15">
      <c r="B88" s="677"/>
      <c r="D88" s="56"/>
    </row>
  </sheetData>
  <sheetProtection password="EC35" sheet="1" objects="1" scenarios="1"/>
  <mergeCells count="1">
    <mergeCell ref="L1:L76"/>
  </mergeCells>
  <hyperlinks>
    <hyperlink ref="L1:L76" location="'GO TO'!G11" display=" "/>
  </hyperlinks>
  <printOptions horizontalCentered="1"/>
  <pageMargins left="0" right="0" top="0" bottom="0" header="0.5" footer="0.5"/>
  <pageSetup fitToHeight="0" fitToWidth="1" horizontalDpi="600" verticalDpi="600" orientation="portrait" scale="56" r:id="rId3"/>
  <ignoredErrors>
    <ignoredError sqref="D25" numberStoredAsText="1"/>
  </ignoredErrors>
  <legacyDrawing r:id="rId2"/>
</worksheet>
</file>

<file path=xl/worksheets/sheet29.xml><?xml version="1.0" encoding="utf-8"?>
<worksheet xmlns="http://schemas.openxmlformats.org/spreadsheetml/2006/main" xmlns:r="http://schemas.openxmlformats.org/officeDocument/2006/relationships">
  <sheetPr codeName="Sheet21111111">
    <pageSetUpPr fitToPage="1"/>
  </sheetPr>
  <dimension ref="B1:L73"/>
  <sheetViews>
    <sheetView showGridLines="0" zoomScale="75" zoomScaleNormal="75" workbookViewId="0" topLeftCell="A1">
      <selection activeCell="B2" sqref="B2"/>
    </sheetView>
  </sheetViews>
  <sheetFormatPr defaultColWidth="8.88671875" defaultRowHeight="15"/>
  <cols>
    <col min="1" max="1" width="1.77734375" style="670" customWidth="1"/>
    <col min="2" max="2" width="8.3359375" style="670" customWidth="1"/>
    <col min="3" max="3" width="37.664062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"T4PS-"&amp;yeartext&amp;" SLIPS DATA ENTRY"</f>
        <v>T4PS-2006 SLIPS DATA ENTRY</v>
      </c>
      <c r="D1" s="358" t="s">
        <v>594</v>
      </c>
      <c r="E1" s="358"/>
      <c r="F1" s="36"/>
      <c r="G1" s="36"/>
      <c r="H1" s="37"/>
      <c r="I1" s="36"/>
      <c r="J1" s="37"/>
      <c r="K1" s="37" t="str">
        <f>yeartext</f>
        <v>2006</v>
      </c>
      <c r="L1" s="1412" t="s">
        <v>1793</v>
      </c>
    </row>
    <row r="2" spans="2:12" ht="18">
      <c r="B2" s="36"/>
      <c r="C2" s="36"/>
      <c r="D2" s="358" t="s">
        <v>250</v>
      </c>
      <c r="E2" s="669"/>
      <c r="F2" s="36"/>
      <c r="G2" s="36"/>
      <c r="H2" s="36"/>
      <c r="I2" s="36"/>
      <c r="J2" s="36"/>
      <c r="K2" s="669"/>
      <c r="L2" s="1412"/>
    </row>
    <row r="3" spans="2:12" ht="18">
      <c r="B3" s="39"/>
      <c r="C3" s="39" t="s">
        <v>1531</v>
      </c>
      <c r="D3" s="36"/>
      <c r="E3" s="38"/>
      <c r="F3" s="36"/>
      <c r="G3" s="36"/>
      <c r="H3" s="36"/>
      <c r="I3" s="36"/>
      <c r="J3" s="36"/>
      <c r="K3" s="669"/>
      <c r="L3" s="1412"/>
    </row>
    <row r="4" spans="2:12" ht="18">
      <c r="B4" s="39"/>
      <c r="C4" s="39" t="s">
        <v>1532</v>
      </c>
      <c r="D4" s="36"/>
      <c r="E4" s="38"/>
      <c r="F4" s="36"/>
      <c r="G4" s="36"/>
      <c r="H4" s="36"/>
      <c r="I4" s="36"/>
      <c r="J4" s="36"/>
      <c r="K4" s="669"/>
      <c r="L4" s="1412"/>
    </row>
    <row r="5" spans="2:12" ht="18">
      <c r="B5" s="39"/>
      <c r="C5" s="39" t="s">
        <v>1533</v>
      </c>
      <c r="D5" s="36"/>
      <c r="E5" s="38"/>
      <c r="F5" s="36"/>
      <c r="G5" s="36"/>
      <c r="H5" s="36"/>
      <c r="I5" s="36"/>
      <c r="J5" s="36"/>
      <c r="K5" s="669"/>
      <c r="L5" s="1412"/>
    </row>
    <row r="6" spans="2:12" ht="18">
      <c r="B6" s="39"/>
      <c r="C6" s="39" t="s">
        <v>621</v>
      </c>
      <c r="D6" s="36"/>
      <c r="E6" s="38"/>
      <c r="F6" s="36"/>
      <c r="G6" s="36"/>
      <c r="H6" s="36"/>
      <c r="I6" s="36"/>
      <c r="J6" s="36"/>
      <c r="K6" s="669"/>
      <c r="L6" s="1412"/>
    </row>
    <row r="7" spans="2:12" ht="18">
      <c r="B7" s="39"/>
      <c r="C7" s="39" t="s">
        <v>473</v>
      </c>
      <c r="D7" s="36"/>
      <c r="E7" s="38"/>
      <c r="F7" s="36"/>
      <c r="G7" s="36"/>
      <c r="H7" s="36"/>
      <c r="I7" s="36"/>
      <c r="J7" s="36"/>
      <c r="K7" s="669"/>
      <c r="L7" s="1412"/>
    </row>
    <row r="8" spans="2:12" ht="18">
      <c r="B8" s="39"/>
      <c r="C8" s="39" t="s">
        <v>238</v>
      </c>
      <c r="D8" s="36"/>
      <c r="E8" s="38"/>
      <c r="F8" s="36"/>
      <c r="G8" s="36"/>
      <c r="H8" s="36"/>
      <c r="I8" s="36"/>
      <c r="J8" s="36"/>
      <c r="K8" s="669"/>
      <c r="L8" s="1412"/>
    </row>
    <row r="9" spans="2:12" ht="18">
      <c r="B9" s="39"/>
      <c r="C9" s="39" t="s">
        <v>455</v>
      </c>
      <c r="D9" s="36"/>
      <c r="E9" s="38"/>
      <c r="F9" s="36"/>
      <c r="G9" s="36"/>
      <c r="H9" s="36"/>
      <c r="I9" s="36"/>
      <c r="J9" s="36"/>
      <c r="K9" s="669"/>
      <c r="L9" s="1412"/>
    </row>
    <row r="10" spans="2:12" ht="18">
      <c r="B10" s="39"/>
      <c r="C10" s="39" t="s">
        <v>908</v>
      </c>
      <c r="D10" s="36"/>
      <c r="E10" s="38"/>
      <c r="F10" s="36"/>
      <c r="G10" s="36"/>
      <c r="H10" s="36"/>
      <c r="I10" s="36"/>
      <c r="J10" s="36"/>
      <c r="K10" s="669"/>
      <c r="L10" s="1412"/>
    </row>
    <row r="11" spans="2:12" ht="18">
      <c r="B11" s="39"/>
      <c r="C11" s="39" t="s">
        <v>1826</v>
      </c>
      <c r="D11" s="36"/>
      <c r="E11" s="38"/>
      <c r="F11" s="36"/>
      <c r="G11" s="36"/>
      <c r="H11" s="36"/>
      <c r="I11" s="36"/>
      <c r="J11" s="36"/>
      <c r="K11" s="669"/>
      <c r="L11" s="1412"/>
    </row>
    <row r="12" spans="2:12" ht="18">
      <c r="B12" s="39"/>
      <c r="C12" s="39" t="s">
        <v>1530</v>
      </c>
      <c r="D12" s="36"/>
      <c r="E12" s="38"/>
      <c r="F12" s="36"/>
      <c r="G12" s="36"/>
      <c r="H12" s="36"/>
      <c r="I12" s="36"/>
      <c r="J12" s="36"/>
      <c r="K12" s="669"/>
      <c r="L12" s="1412"/>
    </row>
    <row r="13" spans="2:12" ht="18">
      <c r="B13" s="39"/>
      <c r="C13" s="39"/>
      <c r="D13" s="36"/>
      <c r="E13" s="38"/>
      <c r="F13" s="36"/>
      <c r="G13" s="36"/>
      <c r="H13" s="36"/>
      <c r="I13" s="36"/>
      <c r="J13" s="36"/>
      <c r="K13" s="669"/>
      <c r="L13" s="1412"/>
    </row>
    <row r="14" spans="2:12" ht="18">
      <c r="B14" s="39"/>
      <c r="C14" s="39"/>
      <c r="D14" s="36"/>
      <c r="E14" s="38"/>
      <c r="F14" s="36"/>
      <c r="G14" s="36"/>
      <c r="H14" s="36"/>
      <c r="I14" s="36"/>
      <c r="J14" s="36"/>
      <c r="K14" s="669"/>
      <c r="L14" s="1412"/>
    </row>
    <row r="15" spans="2:12" ht="40.5" customHeight="1">
      <c r="B15" s="42" t="s">
        <v>1829</v>
      </c>
      <c r="C15" s="42" t="s">
        <v>1742</v>
      </c>
      <c r="D15" s="42" t="s">
        <v>1737</v>
      </c>
      <c r="E15" s="42" t="s">
        <v>239</v>
      </c>
      <c r="F15" s="42" t="s">
        <v>240</v>
      </c>
      <c r="G15" s="42" t="s">
        <v>241</v>
      </c>
      <c r="H15" s="42" t="s">
        <v>242</v>
      </c>
      <c r="I15" s="42" t="s">
        <v>454</v>
      </c>
      <c r="J15" s="43" t="s">
        <v>503</v>
      </c>
      <c r="K15" s="669"/>
      <c r="L15" s="1412"/>
    </row>
    <row r="16" spans="2:12" ht="18">
      <c r="B16" s="36"/>
      <c r="C16" s="39"/>
      <c r="D16" s="39"/>
      <c r="E16" s="38"/>
      <c r="F16" s="36"/>
      <c r="G16" s="36"/>
      <c r="H16" s="36"/>
      <c r="I16" s="36"/>
      <c r="J16" s="36"/>
      <c r="K16" s="669"/>
      <c r="L16" s="1412"/>
    </row>
    <row r="17" spans="2:12" ht="18">
      <c r="B17" s="36"/>
      <c r="C17" s="363" t="s">
        <v>1346</v>
      </c>
      <c r="D17" s="363"/>
      <c r="E17" s="381"/>
      <c r="F17" s="381"/>
      <c r="G17" s="381"/>
      <c r="H17" s="381"/>
      <c r="I17" s="381"/>
      <c r="J17" s="36" t="s">
        <v>1192</v>
      </c>
      <c r="K17" s="669"/>
      <c r="L17" s="1412"/>
    </row>
    <row r="18" spans="2:12" ht="18">
      <c r="B18" s="36"/>
      <c r="C18" s="363"/>
      <c r="D18" s="363"/>
      <c r="E18" s="38"/>
      <c r="F18" s="36"/>
      <c r="G18" s="36"/>
      <c r="H18" s="36"/>
      <c r="I18" s="36"/>
      <c r="J18" s="36"/>
      <c r="K18" s="669"/>
      <c r="L18" s="1412"/>
    </row>
    <row r="19" spans="2:12" ht="18">
      <c r="B19" s="36"/>
      <c r="C19" s="1413" t="s">
        <v>2099</v>
      </c>
      <c r="D19" s="363"/>
      <c r="E19" s="38"/>
      <c r="F19" s="36"/>
      <c r="G19" s="36"/>
      <c r="H19" s="36"/>
      <c r="I19" s="36"/>
      <c r="J19" s="36"/>
      <c r="K19" s="669"/>
      <c r="L19" s="1412"/>
    </row>
    <row r="20" spans="2:12" ht="18">
      <c r="B20" s="36"/>
      <c r="C20" s="1414"/>
      <c r="D20" s="1175" t="s">
        <v>1635</v>
      </c>
      <c r="E20" s="364"/>
      <c r="F20" s="293"/>
      <c r="G20" s="293"/>
      <c r="H20" s="293"/>
      <c r="I20" s="293"/>
      <c r="J20" s="671">
        <f>SUM(E20:I20)</f>
        <v>0</v>
      </c>
      <c r="K20" s="669"/>
      <c r="L20" s="1412"/>
    </row>
    <row r="21" spans="2:12" ht="18">
      <c r="B21" s="36"/>
      <c r="C21" s="363"/>
      <c r="D21" s="34"/>
      <c r="E21" s="38"/>
      <c r="F21" s="36"/>
      <c r="G21" s="36"/>
      <c r="H21" s="36"/>
      <c r="I21" s="36"/>
      <c r="J21" s="36"/>
      <c r="K21" s="669"/>
      <c r="L21" s="1412"/>
    </row>
    <row r="22" spans="2:12" ht="18">
      <c r="B22" s="58" t="s">
        <v>1136</v>
      </c>
      <c r="C22" s="1413" t="s">
        <v>2100</v>
      </c>
      <c r="D22" s="34"/>
      <c r="E22" s="38"/>
      <c r="F22" s="36"/>
      <c r="G22" s="36"/>
      <c r="H22" s="36"/>
      <c r="I22" s="36"/>
      <c r="J22" s="36"/>
      <c r="K22" s="669"/>
      <c r="L22" s="1412"/>
    </row>
    <row r="23" spans="2:12" ht="18">
      <c r="B23" s="58" t="s">
        <v>1610</v>
      </c>
      <c r="C23" s="1414"/>
      <c r="D23" s="1175" t="s">
        <v>1349</v>
      </c>
      <c r="E23" s="364"/>
      <c r="F23" s="293"/>
      <c r="G23" s="293"/>
      <c r="H23" s="293"/>
      <c r="I23" s="293"/>
      <c r="J23" s="671">
        <f>SUM(E23:I23)</f>
        <v>0</v>
      </c>
      <c r="K23" s="669"/>
      <c r="L23" s="1412"/>
    </row>
    <row r="24" spans="2:12" ht="18">
      <c r="B24" s="36"/>
      <c r="C24" s="363"/>
      <c r="D24" s="1175"/>
      <c r="E24" s="38"/>
      <c r="F24" s="36"/>
      <c r="G24" s="36"/>
      <c r="H24" s="36"/>
      <c r="I24" s="36"/>
      <c r="J24" s="36"/>
      <c r="K24" s="669"/>
      <c r="L24" s="1412"/>
    </row>
    <row r="25" spans="2:12" ht="18">
      <c r="B25" s="36"/>
      <c r="C25" s="1413" t="s">
        <v>1132</v>
      </c>
      <c r="D25" s="1175"/>
      <c r="E25" s="38"/>
      <c r="F25" s="36"/>
      <c r="G25" s="36"/>
      <c r="H25" s="36"/>
      <c r="I25" s="36"/>
      <c r="J25" s="36"/>
      <c r="K25" s="669"/>
      <c r="L25" s="1412"/>
    </row>
    <row r="26" spans="2:12" ht="18">
      <c r="B26" s="58" t="s">
        <v>1778</v>
      </c>
      <c r="C26" s="1414"/>
      <c r="D26" s="1175" t="s">
        <v>1637</v>
      </c>
      <c r="E26" s="364">
        <f>E23*0.133333</f>
        <v>0</v>
      </c>
      <c r="F26" s="364">
        <f>F23*0.133333</f>
        <v>0</v>
      </c>
      <c r="G26" s="364">
        <f>G23*0.133333</f>
        <v>0</v>
      </c>
      <c r="H26" s="364">
        <f>H23*0.133333</f>
        <v>0</v>
      </c>
      <c r="I26" s="364">
        <f>I23*0.133333</f>
        <v>0</v>
      </c>
      <c r="J26" s="671">
        <f>SUM(E26:I26)</f>
        <v>0</v>
      </c>
      <c r="K26" s="669"/>
      <c r="L26" s="1412"/>
    </row>
    <row r="27" spans="2:12" ht="18">
      <c r="B27" s="36"/>
      <c r="C27" s="39"/>
      <c r="D27" s="363"/>
      <c r="E27" s="38"/>
      <c r="F27" s="36"/>
      <c r="G27" s="36"/>
      <c r="H27" s="36"/>
      <c r="I27" s="36"/>
      <c r="J27" s="36"/>
      <c r="K27" s="669"/>
      <c r="L27" s="1412"/>
    </row>
    <row r="28" spans="2:12" ht="18">
      <c r="B28" s="47"/>
      <c r="C28" s="363" t="s">
        <v>1133</v>
      </c>
      <c r="D28" s="349" t="s">
        <v>1920</v>
      </c>
      <c r="E28" s="364"/>
      <c r="F28" s="364"/>
      <c r="G28" s="364"/>
      <c r="H28" s="364"/>
      <c r="I28" s="364"/>
      <c r="J28" s="671">
        <f>SUM(E28:I28)</f>
        <v>0</v>
      </c>
      <c r="K28" s="669"/>
      <c r="L28" s="1412"/>
    </row>
    <row r="29" spans="2:12" ht="18">
      <c r="B29" s="36"/>
      <c r="C29" s="39"/>
      <c r="D29" s="349"/>
      <c r="E29" s="38"/>
      <c r="F29" s="36"/>
      <c r="G29" s="36"/>
      <c r="H29" s="38"/>
      <c r="I29" s="36"/>
      <c r="J29" s="36"/>
      <c r="K29" s="669"/>
      <c r="L29" s="1412"/>
    </row>
    <row r="30" spans="2:12" ht="18">
      <c r="B30" s="58">
        <v>120</v>
      </c>
      <c r="C30" s="1176" t="s">
        <v>1134</v>
      </c>
      <c r="D30" s="349" t="s">
        <v>1921</v>
      </c>
      <c r="E30" s="364"/>
      <c r="F30" s="364"/>
      <c r="G30" s="364"/>
      <c r="H30" s="364"/>
      <c r="I30" s="364"/>
      <c r="J30" s="671">
        <f>SUM(E30:I30)</f>
        <v>0</v>
      </c>
      <c r="K30" s="669"/>
      <c r="L30" s="1412"/>
    </row>
    <row r="31" spans="2:12" ht="18">
      <c r="B31" s="34"/>
      <c r="C31" s="358"/>
      <c r="D31" s="349"/>
      <c r="E31" s="34"/>
      <c r="F31" s="34"/>
      <c r="G31" s="34"/>
      <c r="H31" s="34"/>
      <c r="I31" s="34"/>
      <c r="J31" s="34"/>
      <c r="K31" s="669"/>
      <c r="L31" s="1412"/>
    </row>
    <row r="32" spans="2:12" ht="18">
      <c r="B32" s="34"/>
      <c r="C32" s="1413" t="s">
        <v>1135</v>
      </c>
      <c r="D32" s="349"/>
      <c r="E32" s="34"/>
      <c r="F32" s="34"/>
      <c r="G32" s="34"/>
      <c r="H32" s="34"/>
      <c r="I32" s="34"/>
      <c r="J32" s="34"/>
      <c r="K32" s="669"/>
      <c r="L32" s="1412"/>
    </row>
    <row r="33" spans="2:12" ht="18">
      <c r="B33" s="58" t="s">
        <v>1778</v>
      </c>
      <c r="C33" s="1415"/>
      <c r="D33" s="349" t="s">
        <v>1922</v>
      </c>
      <c r="E33" s="364">
        <f>E30*0.189655</f>
        <v>0</v>
      </c>
      <c r="F33" s="364">
        <f>F30*0.189655</f>
        <v>0</v>
      </c>
      <c r="G33" s="364">
        <f>G30*0.189655</f>
        <v>0</v>
      </c>
      <c r="H33" s="364">
        <f>H30*0.189655</f>
        <v>0</v>
      </c>
      <c r="I33" s="364">
        <f>I30*0.189655</f>
        <v>0</v>
      </c>
      <c r="J33" s="671">
        <f>SUM(E33:I33)</f>
        <v>0</v>
      </c>
      <c r="K33" s="669"/>
      <c r="L33" s="1412"/>
    </row>
    <row r="34" spans="2:12" ht="18">
      <c r="B34" s="36"/>
      <c r="C34" s="39"/>
      <c r="D34" s="349"/>
      <c r="E34" s="34"/>
      <c r="F34" s="36"/>
      <c r="G34" s="36"/>
      <c r="H34" s="36"/>
      <c r="I34" s="36"/>
      <c r="J34" s="36"/>
      <c r="K34" s="669"/>
      <c r="L34" s="1412"/>
    </row>
    <row r="35" spans="2:12" ht="18">
      <c r="B35" s="58" t="s">
        <v>1814</v>
      </c>
      <c r="C35" s="363" t="s">
        <v>863</v>
      </c>
      <c r="D35" s="349" t="s">
        <v>1914</v>
      </c>
      <c r="E35" s="364"/>
      <c r="F35" s="364"/>
      <c r="G35" s="364"/>
      <c r="H35" s="364"/>
      <c r="I35" s="364"/>
      <c r="J35" s="671">
        <f>SUM(E35:I35)</f>
        <v>0</v>
      </c>
      <c r="K35" s="669"/>
      <c r="L35" s="1412"/>
    </row>
    <row r="36" spans="2:12" ht="18">
      <c r="B36" s="377"/>
      <c r="C36" s="39"/>
      <c r="D36" s="349"/>
      <c r="E36" s="34"/>
      <c r="F36" s="36"/>
      <c r="G36" s="36"/>
      <c r="H36" s="36"/>
      <c r="I36" s="36"/>
      <c r="J36" s="36"/>
      <c r="K36" s="669"/>
      <c r="L36" s="1412"/>
    </row>
    <row r="37" spans="2:12" ht="18">
      <c r="B37" s="47" t="s">
        <v>1212</v>
      </c>
      <c r="C37" s="363" t="s">
        <v>1418</v>
      </c>
      <c r="D37" s="349" t="s">
        <v>1915</v>
      </c>
      <c r="E37" s="364"/>
      <c r="F37" s="364"/>
      <c r="G37" s="364"/>
      <c r="H37" s="364"/>
      <c r="I37" s="364"/>
      <c r="J37" s="671">
        <f>SUM(E37:I37)</f>
        <v>0</v>
      </c>
      <c r="K37" s="669"/>
      <c r="L37" s="1412"/>
    </row>
    <row r="38" spans="2:12" ht="18">
      <c r="B38" s="36"/>
      <c r="C38" s="39"/>
      <c r="D38" s="363"/>
      <c r="E38" s="38"/>
      <c r="F38" s="36"/>
      <c r="G38" s="36"/>
      <c r="H38" s="36"/>
      <c r="I38" s="36"/>
      <c r="J38" s="36"/>
      <c r="K38" s="669"/>
      <c r="L38" s="1412"/>
    </row>
    <row r="39" spans="2:12" ht="18">
      <c r="B39" s="47" t="s">
        <v>1774</v>
      </c>
      <c r="C39" s="363" t="s">
        <v>861</v>
      </c>
      <c r="D39" s="349" t="s">
        <v>1919</v>
      </c>
      <c r="E39" s="364"/>
      <c r="F39" s="364"/>
      <c r="G39" s="364"/>
      <c r="H39" s="364"/>
      <c r="I39" s="364"/>
      <c r="J39" s="671">
        <f>SUM(E39:I39)</f>
        <v>0</v>
      </c>
      <c r="K39" s="669"/>
      <c r="L39" s="1412"/>
    </row>
    <row r="40" spans="2:12" ht="18">
      <c r="B40" s="36"/>
      <c r="C40" s="363" t="s">
        <v>862</v>
      </c>
      <c r="D40" s="349"/>
      <c r="E40" s="38"/>
      <c r="F40" s="36"/>
      <c r="G40" s="36"/>
      <c r="H40" s="38"/>
      <c r="I40" s="36"/>
      <c r="J40" s="36"/>
      <c r="K40" s="669"/>
      <c r="L40" s="1412"/>
    </row>
    <row r="41" spans="2:12" ht="18">
      <c r="B41" s="58">
        <v>433</v>
      </c>
      <c r="C41" s="363" t="s">
        <v>1485</v>
      </c>
      <c r="D41" s="349" t="s">
        <v>517</v>
      </c>
      <c r="E41" s="364"/>
      <c r="F41" s="364"/>
      <c r="G41" s="364"/>
      <c r="H41" s="364"/>
      <c r="I41" s="364"/>
      <c r="J41" s="671">
        <f>SUM(E41:I41)</f>
        <v>0</v>
      </c>
      <c r="K41" s="669"/>
      <c r="L41" s="1412"/>
    </row>
    <row r="42" spans="2:12" ht="18">
      <c r="B42" s="34"/>
      <c r="C42" s="358"/>
      <c r="D42" s="349"/>
      <c r="E42" s="34"/>
      <c r="F42" s="34"/>
      <c r="G42" s="34"/>
      <c r="H42" s="34"/>
      <c r="I42" s="34"/>
      <c r="J42" s="34"/>
      <c r="K42" s="669"/>
      <c r="L42" s="1412"/>
    </row>
    <row r="43" spans="2:12" ht="18">
      <c r="B43" s="58" t="s">
        <v>1780</v>
      </c>
      <c r="C43" s="363" t="s">
        <v>1486</v>
      </c>
      <c r="D43" s="349" t="s">
        <v>2171</v>
      </c>
      <c r="E43" s="364"/>
      <c r="F43" s="364"/>
      <c r="G43" s="364"/>
      <c r="H43" s="364"/>
      <c r="I43" s="364"/>
      <c r="J43" s="671">
        <f>SUM(E43:I43)</f>
        <v>0</v>
      </c>
      <c r="K43" s="669"/>
      <c r="L43" s="1412"/>
    </row>
    <row r="44" spans="2:12" ht="18">
      <c r="B44" s="36"/>
      <c r="C44" s="39"/>
      <c r="D44" s="349"/>
      <c r="E44" s="34"/>
      <c r="F44" s="36"/>
      <c r="G44" s="36"/>
      <c r="H44" s="36"/>
      <c r="I44" s="36"/>
      <c r="J44" s="36"/>
      <c r="K44" s="669"/>
      <c r="L44" s="1412"/>
    </row>
    <row r="45" spans="2:12" ht="18">
      <c r="B45" s="47" t="s">
        <v>1779</v>
      </c>
      <c r="C45" s="363" t="s">
        <v>1929</v>
      </c>
      <c r="D45" s="349" t="s">
        <v>1954</v>
      </c>
      <c r="E45" s="364"/>
      <c r="F45" s="364"/>
      <c r="G45" s="364"/>
      <c r="H45" s="364"/>
      <c r="I45" s="364"/>
      <c r="J45" s="671">
        <f>SUM(E45:I45)</f>
        <v>0</v>
      </c>
      <c r="K45" s="669"/>
      <c r="L45" s="1412"/>
    </row>
    <row r="46" spans="2:12" ht="18">
      <c r="B46" s="377" t="s">
        <v>1606</v>
      </c>
      <c r="C46" s="39"/>
      <c r="D46" s="36"/>
      <c r="E46" s="38"/>
      <c r="F46" s="36"/>
      <c r="G46" s="36"/>
      <c r="H46" s="36"/>
      <c r="I46" s="36"/>
      <c r="J46" s="36"/>
      <c r="K46" s="669"/>
      <c r="L46" s="1412"/>
    </row>
    <row r="47" spans="2:12" ht="18.75" thickBot="1">
      <c r="B47" s="330"/>
      <c r="C47" s="331"/>
      <c r="D47" s="330"/>
      <c r="E47" s="332"/>
      <c r="F47" s="333"/>
      <c r="G47" s="333"/>
      <c r="H47" s="672"/>
      <c r="I47" s="333"/>
      <c r="J47" s="673"/>
      <c r="K47" s="674"/>
      <c r="L47" s="1412"/>
    </row>
    <row r="48" spans="2:12" ht="18">
      <c r="B48" s="47"/>
      <c r="C48" s="34" t="str">
        <f>"T4PS-"&amp;yeartext&amp;" GENERAL DATA ENTRY"</f>
        <v>T4PS-2006 GENERAL DATA ENTRY</v>
      </c>
      <c r="D48" s="34"/>
      <c r="E48" s="358" t="s">
        <v>249</v>
      </c>
      <c r="F48" s="36"/>
      <c r="G48" s="36"/>
      <c r="H48" s="37"/>
      <c r="I48" s="36"/>
      <c r="J48" s="37" t="str">
        <f>yeartext</f>
        <v>2006</v>
      </c>
      <c r="K48" s="669"/>
      <c r="L48" s="1412"/>
    </row>
    <row r="49" spans="2:12" ht="18">
      <c r="B49" s="47"/>
      <c r="C49" s="50"/>
      <c r="D49" s="47"/>
      <c r="E49" s="358" t="s">
        <v>250</v>
      </c>
      <c r="F49" s="49"/>
      <c r="G49" s="49"/>
      <c r="H49" s="675"/>
      <c r="I49" s="49"/>
      <c r="J49" s="676"/>
      <c r="K49" s="669"/>
      <c r="L49" s="1412"/>
    </row>
    <row r="50" spans="2:12" ht="18">
      <c r="B50" s="47"/>
      <c r="C50" s="50"/>
      <c r="D50" s="47"/>
      <c r="E50" s="358"/>
      <c r="F50" s="49"/>
      <c r="G50" s="49"/>
      <c r="H50" s="675"/>
      <c r="I50" s="49"/>
      <c r="J50" s="676"/>
      <c r="K50" s="669"/>
      <c r="L50" s="1412"/>
    </row>
    <row r="51" spans="2:12" ht="18">
      <c r="B51" s="47"/>
      <c r="C51" s="42" t="s">
        <v>1210</v>
      </c>
      <c r="D51" s="42" t="s">
        <v>1829</v>
      </c>
      <c r="E51" s="42" t="s">
        <v>1211</v>
      </c>
      <c r="F51" s="365"/>
      <c r="G51" s="376" t="s">
        <v>1567</v>
      </c>
      <c r="H51" s="365"/>
      <c r="I51" s="365"/>
      <c r="J51" s="365"/>
      <c r="K51" s="669"/>
      <c r="L51" s="1412"/>
    </row>
    <row r="52" spans="2:12" ht="18">
      <c r="B52" s="47"/>
      <c r="C52" s="334" t="s">
        <v>1209</v>
      </c>
      <c r="D52" s="335" t="s">
        <v>1212</v>
      </c>
      <c r="E52" s="370">
        <f>J37</f>
        <v>0</v>
      </c>
      <c r="F52" s="366"/>
      <c r="G52" s="376" t="s">
        <v>1568</v>
      </c>
      <c r="H52" s="366"/>
      <c r="I52" s="366"/>
      <c r="J52" s="366"/>
      <c r="K52" s="669"/>
      <c r="L52" s="1412"/>
    </row>
    <row r="53" spans="2:12" ht="18">
      <c r="B53" s="47"/>
      <c r="C53" s="328" t="s">
        <v>1209</v>
      </c>
      <c r="D53" s="329" t="s">
        <v>1610</v>
      </c>
      <c r="E53" s="370">
        <f>J23+J30</f>
        <v>0</v>
      </c>
      <c r="F53" s="366"/>
      <c r="G53" s="376"/>
      <c r="H53" s="366"/>
      <c r="I53" s="366"/>
      <c r="J53" s="366"/>
      <c r="K53" s="669"/>
      <c r="L53" s="1412"/>
    </row>
    <row r="54" spans="2:12" ht="18">
      <c r="B54" s="47"/>
      <c r="C54" s="328" t="s">
        <v>1209</v>
      </c>
      <c r="D54" s="329" t="s">
        <v>1136</v>
      </c>
      <c r="E54" s="370">
        <f>J23</f>
        <v>0</v>
      </c>
      <c r="F54" s="366"/>
      <c r="G54" s="376"/>
      <c r="H54" s="366"/>
      <c r="I54" s="366"/>
      <c r="J54" s="366"/>
      <c r="K54" s="669"/>
      <c r="L54" s="1412"/>
    </row>
    <row r="55" spans="2:12" ht="18">
      <c r="B55" s="47"/>
      <c r="C55" s="328" t="s">
        <v>1213</v>
      </c>
      <c r="D55" s="329" t="s">
        <v>1774</v>
      </c>
      <c r="E55" s="370">
        <f>J39</f>
        <v>0</v>
      </c>
      <c r="F55" s="366"/>
      <c r="G55" s="366" t="s">
        <v>1569</v>
      </c>
      <c r="H55" s="366"/>
      <c r="I55" s="366"/>
      <c r="J55" s="366"/>
      <c r="K55" s="669"/>
      <c r="L55" s="1412"/>
    </row>
    <row r="56" spans="2:12" ht="18">
      <c r="B56" s="47"/>
      <c r="C56" s="328" t="s">
        <v>1606</v>
      </c>
      <c r="D56" s="329" t="s">
        <v>1778</v>
      </c>
      <c r="E56" s="370">
        <f>J26+J33</f>
        <v>0</v>
      </c>
      <c r="F56" s="376"/>
      <c r="G56" s="366" t="s">
        <v>1570</v>
      </c>
      <c r="H56" s="376"/>
      <c r="I56" s="376"/>
      <c r="J56" s="366"/>
      <c r="K56" s="669"/>
      <c r="L56" s="1412"/>
    </row>
    <row r="57" spans="2:12" ht="18">
      <c r="B57" s="47"/>
      <c r="C57" s="328" t="s">
        <v>1606</v>
      </c>
      <c r="D57" s="329" t="s">
        <v>1779</v>
      </c>
      <c r="E57" s="370">
        <f>J45</f>
        <v>0</v>
      </c>
      <c r="F57" s="376"/>
      <c r="G57" s="366"/>
      <c r="H57" s="376"/>
      <c r="I57" s="376"/>
      <c r="J57" s="366"/>
      <c r="K57" s="669"/>
      <c r="L57" s="1412"/>
    </row>
    <row r="58" spans="2:12" ht="18">
      <c r="B58" s="47"/>
      <c r="C58" s="328" t="s">
        <v>1606</v>
      </c>
      <c r="D58" s="329" t="s">
        <v>1780</v>
      </c>
      <c r="E58" s="370">
        <f>J41+J43</f>
        <v>0</v>
      </c>
      <c r="F58" s="376"/>
      <c r="G58" s="366" t="s">
        <v>453</v>
      </c>
      <c r="H58" s="376"/>
      <c r="I58" s="376"/>
      <c r="J58" s="366"/>
      <c r="K58" s="669"/>
      <c r="L58" s="1412"/>
    </row>
    <row r="59" spans="2:12" ht="18">
      <c r="B59" s="47"/>
      <c r="C59" s="328" t="s">
        <v>1777</v>
      </c>
      <c r="D59" s="329" t="s">
        <v>1814</v>
      </c>
      <c r="E59" s="370">
        <f>J35</f>
        <v>0</v>
      </c>
      <c r="F59" s="376"/>
      <c r="G59" s="366" t="s">
        <v>1566</v>
      </c>
      <c r="H59" s="366"/>
      <c r="I59" s="366"/>
      <c r="J59" s="366"/>
      <c r="K59" s="669"/>
      <c r="L59" s="1412"/>
    </row>
    <row r="60" spans="2:12" ht="18">
      <c r="B60" s="47"/>
      <c r="C60" s="50"/>
      <c r="D60" s="47"/>
      <c r="E60" s="52"/>
      <c r="F60" s="49"/>
      <c r="G60" s="49"/>
      <c r="H60" s="675"/>
      <c r="I60" s="49"/>
      <c r="J60" s="676"/>
      <c r="K60" s="669"/>
      <c r="L60" s="1412"/>
    </row>
    <row r="61" spans="2:12" ht="18">
      <c r="B61" s="47"/>
      <c r="C61" s="50"/>
      <c r="D61" s="47"/>
      <c r="E61" s="52"/>
      <c r="F61" s="49"/>
      <c r="G61" s="49"/>
      <c r="H61" s="675"/>
      <c r="I61" s="49"/>
      <c r="J61" s="676"/>
      <c r="K61" s="669"/>
      <c r="L61" s="1412"/>
    </row>
    <row r="62" spans="2:4" ht="15">
      <c r="B62" s="677"/>
      <c r="D62" s="56"/>
    </row>
    <row r="63" spans="2:4" ht="15">
      <c r="B63" s="677"/>
      <c r="D63" s="56"/>
    </row>
    <row r="64" spans="2:4" ht="15">
      <c r="B64" s="677"/>
      <c r="D64" s="56"/>
    </row>
    <row r="65" spans="2:4" ht="15">
      <c r="B65" s="677"/>
      <c r="D65" s="56"/>
    </row>
    <row r="66" spans="2:4" ht="15">
      <c r="B66" s="677"/>
      <c r="D66" s="56"/>
    </row>
    <row r="67" spans="2:4" ht="15">
      <c r="B67" s="677"/>
      <c r="D67" s="56"/>
    </row>
    <row r="68" spans="2:4" ht="15">
      <c r="B68" s="677"/>
      <c r="D68" s="56"/>
    </row>
    <row r="69" spans="2:4" ht="15">
      <c r="B69" s="677"/>
      <c r="D69" s="56"/>
    </row>
    <row r="70" spans="2:4" ht="15">
      <c r="B70" s="677"/>
      <c r="D70" s="56"/>
    </row>
    <row r="71" spans="2:4" ht="15">
      <c r="B71" s="677"/>
      <c r="D71" s="56"/>
    </row>
    <row r="72" spans="2:4" ht="15">
      <c r="B72" s="677"/>
      <c r="D72" s="56"/>
    </row>
    <row r="73" spans="2:4" ht="15">
      <c r="B73" s="677"/>
      <c r="D73" s="56"/>
    </row>
  </sheetData>
  <sheetProtection password="EC35" sheet="1" objects="1" scenarios="1"/>
  <mergeCells count="5">
    <mergeCell ref="L1:L61"/>
    <mergeCell ref="C19:C20"/>
    <mergeCell ref="C22:C23"/>
    <mergeCell ref="C25:C26"/>
    <mergeCell ref="C32:C33"/>
  </mergeCells>
  <hyperlinks>
    <hyperlink ref="L1:L61" location="'GO TO'!G13" display=" "/>
  </hyperlinks>
  <printOptions horizontalCentered="1"/>
  <pageMargins left="0" right="0" top="0" bottom="0" header="0.5" footer="0.5"/>
  <pageSetup fitToHeight="0" fitToWidth="1" horizontalDpi="600" verticalDpi="600" orientation="portrait" scale="65" r:id="rId3"/>
  <legacyDrawing r:id="rId2"/>
</worksheet>
</file>

<file path=xl/worksheets/sheet3.xml><?xml version="1.0" encoding="utf-8"?>
<worksheet xmlns="http://schemas.openxmlformats.org/spreadsheetml/2006/main" xmlns:r="http://schemas.openxmlformats.org/officeDocument/2006/relationships">
  <sheetPr codeName="Sheet110" transitionEvaluation="1">
    <pageSetUpPr fitToPage="1"/>
  </sheetPr>
  <dimension ref="A1:I75"/>
  <sheetViews>
    <sheetView zoomScale="75" zoomScaleNormal="75" workbookViewId="0" topLeftCell="A1">
      <selection activeCell="A2" sqref="A2"/>
    </sheetView>
  </sheetViews>
  <sheetFormatPr defaultColWidth="9.77734375" defaultRowHeight="15"/>
  <cols>
    <col min="1" max="1" width="13.3359375" style="0" customWidth="1"/>
    <col min="2" max="2" width="66.99609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9" ht="20.25">
      <c r="A1" s="768"/>
      <c r="B1" s="386" t="s">
        <v>1943</v>
      </c>
      <c r="C1" s="76"/>
      <c r="D1" s="76"/>
      <c r="E1" s="208"/>
      <c r="F1" s="76"/>
      <c r="G1" s="208"/>
      <c r="H1" s="80"/>
      <c r="I1" s="1269" t="s">
        <v>1793</v>
      </c>
    </row>
    <row r="2" spans="1:9" ht="20.25">
      <c r="A2" s="781" t="s">
        <v>1649</v>
      </c>
      <c r="B2" s="386"/>
      <c r="C2" s="76"/>
      <c r="D2" s="76"/>
      <c r="E2" s="208"/>
      <c r="F2" s="76"/>
      <c r="G2" s="208"/>
      <c r="H2" s="80"/>
      <c r="I2" s="1269"/>
    </row>
    <row r="3" spans="1:9" ht="20.25">
      <c r="A3" s="781" t="s">
        <v>1647</v>
      </c>
      <c r="B3" s="386"/>
      <c r="C3" s="76"/>
      <c r="D3" s="76"/>
      <c r="E3" s="208"/>
      <c r="F3" s="76"/>
      <c r="G3" s="208"/>
      <c r="H3" s="80"/>
      <c r="I3" s="1269"/>
    </row>
    <row r="4" spans="1:9" ht="38.25" customHeight="1">
      <c r="A4" s="1279" t="s">
        <v>217</v>
      </c>
      <c r="B4" s="1280"/>
      <c r="C4" s="76"/>
      <c r="D4" s="76"/>
      <c r="E4" s="208"/>
      <c r="F4" s="76"/>
      <c r="G4" s="208"/>
      <c r="H4" s="80"/>
      <c r="I4" s="1269"/>
    </row>
    <row r="5" spans="1:9" ht="20.25">
      <c r="A5" s="782" t="s">
        <v>1940</v>
      </c>
      <c r="B5" s="386"/>
      <c r="C5" s="76"/>
      <c r="D5" s="76"/>
      <c r="E5" s="208"/>
      <c r="F5" s="76"/>
      <c r="G5" s="208"/>
      <c r="H5" s="80"/>
      <c r="I5" s="1269"/>
    </row>
    <row r="6" spans="1:9" ht="18">
      <c r="A6" s="781" t="s">
        <v>1939</v>
      </c>
      <c r="B6" s="610"/>
      <c r="C6" s="80"/>
      <c r="D6" s="80"/>
      <c r="E6" s="80"/>
      <c r="F6" s="80"/>
      <c r="G6" s="80"/>
      <c r="H6" s="80"/>
      <c r="I6" s="1269"/>
    </row>
    <row r="7" spans="1:9" ht="18">
      <c r="A7" s="781" t="s">
        <v>2006</v>
      </c>
      <c r="B7" s="610"/>
      <c r="C7" s="80"/>
      <c r="D7" s="80"/>
      <c r="E7" s="80"/>
      <c r="F7" s="80"/>
      <c r="G7" s="80"/>
      <c r="H7" s="80"/>
      <c r="I7" s="1269"/>
    </row>
    <row r="8" spans="1:9" ht="18">
      <c r="A8" s="781" t="s">
        <v>1305</v>
      </c>
      <c r="B8" s="610"/>
      <c r="C8" s="80"/>
      <c r="D8" s="80"/>
      <c r="E8" s="80"/>
      <c r="F8" s="80"/>
      <c r="G8" s="80"/>
      <c r="H8" s="80"/>
      <c r="I8" s="1269"/>
    </row>
    <row r="9" spans="1:9" ht="18">
      <c r="A9" s="772" t="s">
        <v>2005</v>
      </c>
      <c r="B9" s="80"/>
      <c r="C9" s="80"/>
      <c r="D9" s="80"/>
      <c r="E9" s="80"/>
      <c r="F9" s="80"/>
      <c r="G9" s="80"/>
      <c r="H9" s="80"/>
      <c r="I9" s="1269"/>
    </row>
    <row r="10" spans="1:9" ht="18">
      <c r="A10" s="772"/>
      <c r="B10" s="80"/>
      <c r="C10" s="80"/>
      <c r="D10" s="80"/>
      <c r="E10" s="80"/>
      <c r="F10" s="80"/>
      <c r="G10" s="80"/>
      <c r="H10" s="80"/>
      <c r="I10" s="1269"/>
    </row>
    <row r="11" spans="1:9" ht="20.25">
      <c r="A11" s="782" t="s">
        <v>1942</v>
      </c>
      <c r="B11" s="80"/>
      <c r="C11" s="80"/>
      <c r="D11" s="80"/>
      <c r="E11" s="80"/>
      <c r="F11" s="80"/>
      <c r="G11" s="80"/>
      <c r="H11" s="80"/>
      <c r="I11" s="1269"/>
    </row>
    <row r="12" spans="1:9" ht="18">
      <c r="A12" s="1281" t="s">
        <v>533</v>
      </c>
      <c r="B12" s="1282"/>
      <c r="C12" s="80"/>
      <c r="D12" s="80"/>
      <c r="E12" s="80"/>
      <c r="F12" s="80"/>
      <c r="G12" s="80"/>
      <c r="H12" s="80"/>
      <c r="I12" s="1269"/>
    </row>
    <row r="13" spans="1:9" ht="18">
      <c r="A13" s="772"/>
      <c r="B13" s="80"/>
      <c r="C13" s="80"/>
      <c r="D13" s="80"/>
      <c r="E13" s="80"/>
      <c r="F13" s="80"/>
      <c r="G13" s="80"/>
      <c r="H13" s="80"/>
      <c r="I13" s="1269"/>
    </row>
    <row r="14" spans="1:9" ht="20.25">
      <c r="A14" s="782" t="s">
        <v>144</v>
      </c>
      <c r="B14" s="80"/>
      <c r="C14" s="80"/>
      <c r="D14" s="80"/>
      <c r="E14" s="80"/>
      <c r="F14" s="80"/>
      <c r="G14" s="80"/>
      <c r="H14" s="80"/>
      <c r="I14" s="1269"/>
    </row>
    <row r="15" spans="1:9" ht="18">
      <c r="A15" s="772"/>
      <c r="B15" s="80"/>
      <c r="C15" s="80"/>
      <c r="D15" s="80"/>
      <c r="E15" s="80"/>
      <c r="F15" s="80"/>
      <c r="G15" s="80"/>
      <c r="H15" s="80"/>
      <c r="I15" s="1269"/>
    </row>
    <row r="16" spans="1:9" ht="18">
      <c r="A16" s="774" t="s">
        <v>1307</v>
      </c>
      <c r="B16" s="80"/>
      <c r="C16" s="80"/>
      <c r="D16" s="80"/>
      <c r="E16" s="80"/>
      <c r="F16" s="80"/>
      <c r="G16" s="80"/>
      <c r="H16" s="80"/>
      <c r="I16" s="1269"/>
    </row>
    <row r="17" spans="1:9" ht="18">
      <c r="A17" s="774" t="s">
        <v>1080</v>
      </c>
      <c r="B17" s="80"/>
      <c r="C17" s="80"/>
      <c r="D17" s="80"/>
      <c r="E17" s="80"/>
      <c r="F17" s="80"/>
      <c r="G17" s="80"/>
      <c r="H17" s="80"/>
      <c r="I17" s="1269"/>
    </row>
    <row r="18" spans="1:9" ht="18">
      <c r="A18" s="772" t="s">
        <v>1306</v>
      </c>
      <c r="B18" s="80"/>
      <c r="C18" s="80"/>
      <c r="D18" s="80"/>
      <c r="E18" s="80"/>
      <c r="F18" s="80"/>
      <c r="G18" s="80"/>
      <c r="H18" s="80"/>
      <c r="I18" s="1269"/>
    </row>
    <row r="19" spans="1:9" ht="18">
      <c r="A19" s="772" t="s">
        <v>954</v>
      </c>
      <c r="B19" s="80"/>
      <c r="C19" s="80"/>
      <c r="D19" s="80"/>
      <c r="E19" s="80"/>
      <c r="F19" s="80"/>
      <c r="G19" s="80"/>
      <c r="H19" s="80"/>
      <c r="I19" s="1269"/>
    </row>
    <row r="20" spans="1:9" ht="18">
      <c r="A20" s="772" t="s">
        <v>953</v>
      </c>
      <c r="B20" s="80"/>
      <c r="C20" s="80"/>
      <c r="D20" s="80"/>
      <c r="E20" s="80"/>
      <c r="F20" s="80"/>
      <c r="G20" s="80"/>
      <c r="H20" s="80"/>
      <c r="I20" s="1269"/>
    </row>
    <row r="21" spans="1:9" ht="15.75">
      <c r="A21" s="775" t="s">
        <v>1624</v>
      </c>
      <c r="B21" s="80"/>
      <c r="C21" s="107" t="s">
        <v>441</v>
      </c>
      <c r="D21" s="80"/>
      <c r="E21" s="80"/>
      <c r="F21" s="80"/>
      <c r="G21" s="80"/>
      <c r="H21" s="80"/>
      <c r="I21" s="1269"/>
    </row>
    <row r="22" spans="1:9" ht="18">
      <c r="A22" s="772" t="s">
        <v>442</v>
      </c>
      <c r="B22" s="80"/>
      <c r="C22" s="231"/>
      <c r="D22" s="80"/>
      <c r="E22" s="80" t="s">
        <v>2</v>
      </c>
      <c r="F22" s="80"/>
      <c r="G22" s="80"/>
      <c r="H22" s="80"/>
      <c r="I22" s="1269"/>
    </row>
    <row r="23" spans="1:9" ht="18">
      <c r="A23" s="772" t="s">
        <v>848</v>
      </c>
      <c r="B23" s="80"/>
      <c r="C23" s="77"/>
      <c r="D23" s="80"/>
      <c r="E23" s="80" t="s">
        <v>2</v>
      </c>
      <c r="F23" s="80"/>
      <c r="G23" s="80"/>
      <c r="H23" s="80"/>
      <c r="I23" s="1269"/>
    </row>
    <row r="24" spans="1:9" ht="18">
      <c r="A24" s="772" t="s">
        <v>849</v>
      </c>
      <c r="B24" s="80"/>
      <c r="C24" s="282"/>
      <c r="D24" s="80"/>
      <c r="E24" s="80" t="s">
        <v>2</v>
      </c>
      <c r="F24" s="80"/>
      <c r="G24" s="80"/>
      <c r="H24" s="80"/>
      <c r="I24" s="1269"/>
    </row>
    <row r="25" spans="1:9" ht="15">
      <c r="A25" s="776" t="s">
        <v>5</v>
      </c>
      <c r="B25" s="80"/>
      <c r="C25" s="283"/>
      <c r="D25" s="80"/>
      <c r="E25" s="80" t="s">
        <v>48</v>
      </c>
      <c r="F25" s="80"/>
      <c r="G25" s="80"/>
      <c r="H25" s="80"/>
      <c r="I25" s="1269"/>
    </row>
    <row r="26" spans="1:9" ht="18">
      <c r="A26" s="772" t="s">
        <v>1075</v>
      </c>
      <c r="B26" s="80"/>
      <c r="C26" s="462"/>
      <c r="D26" s="80"/>
      <c r="E26" s="80"/>
      <c r="F26" s="80"/>
      <c r="G26" s="80"/>
      <c r="H26" s="80"/>
      <c r="I26" s="1269"/>
    </row>
    <row r="27" spans="1:9" ht="18">
      <c r="A27" s="772" t="s">
        <v>443</v>
      </c>
      <c r="B27" s="80"/>
      <c r="C27" s="84"/>
      <c r="D27" s="80"/>
      <c r="E27" s="80"/>
      <c r="F27" s="80"/>
      <c r="G27" s="80"/>
      <c r="H27" s="80"/>
      <c r="I27" s="1269"/>
    </row>
    <row r="28" spans="1:9" ht="18">
      <c r="A28" s="772"/>
      <c r="B28" s="80"/>
      <c r="C28" s="80"/>
      <c r="D28" s="80"/>
      <c r="E28" s="80"/>
      <c r="F28" s="80"/>
      <c r="G28" s="80"/>
      <c r="H28" s="80"/>
      <c r="I28" s="1269"/>
    </row>
    <row r="29" spans="1:9" ht="18">
      <c r="A29" s="774" t="s">
        <v>1081</v>
      </c>
      <c r="B29" s="80"/>
      <c r="C29" s="80"/>
      <c r="D29" s="80"/>
      <c r="E29" s="80"/>
      <c r="F29" s="80"/>
      <c r="G29" s="80"/>
      <c r="H29" s="80"/>
      <c r="I29" s="1269"/>
    </row>
    <row r="30" spans="1:9" ht="18">
      <c r="A30" s="774" t="s">
        <v>626</v>
      </c>
      <c r="B30" s="80"/>
      <c r="C30" s="80"/>
      <c r="D30" s="80"/>
      <c r="E30" s="80"/>
      <c r="F30" s="80"/>
      <c r="G30" s="80"/>
      <c r="H30" s="80"/>
      <c r="I30" s="1269"/>
    </row>
    <row r="31" spans="1:9" ht="18">
      <c r="A31" s="772" t="s">
        <v>624</v>
      </c>
      <c r="B31" s="80"/>
      <c r="C31" s="80"/>
      <c r="D31" s="80"/>
      <c r="E31" s="80"/>
      <c r="F31" s="80"/>
      <c r="G31" s="80"/>
      <c r="H31" s="80"/>
      <c r="I31" s="1269"/>
    </row>
    <row r="32" spans="1:9" ht="18">
      <c r="A32" s="772" t="s">
        <v>955</v>
      </c>
      <c r="B32" s="80"/>
      <c r="C32" s="80"/>
      <c r="D32" s="80"/>
      <c r="E32" s="80"/>
      <c r="F32" s="80"/>
      <c r="G32" s="80"/>
      <c r="H32" s="80"/>
      <c r="I32" s="1269"/>
    </row>
    <row r="33" spans="1:9" ht="18">
      <c r="A33" s="772" t="s">
        <v>625</v>
      </c>
      <c r="B33" s="80"/>
      <c r="C33" s="80"/>
      <c r="D33" s="80"/>
      <c r="E33" s="80"/>
      <c r="F33" s="80"/>
      <c r="G33" s="80"/>
      <c r="H33" s="80"/>
      <c r="I33" s="1269"/>
    </row>
    <row r="34" spans="1:9" ht="18">
      <c r="A34" s="772"/>
      <c r="B34" s="80"/>
      <c r="C34" s="80"/>
      <c r="D34" s="80"/>
      <c r="E34" s="80"/>
      <c r="F34" s="80"/>
      <c r="G34" s="80"/>
      <c r="H34" s="80"/>
      <c r="I34" s="1269"/>
    </row>
    <row r="35" spans="1:9" ht="18">
      <c r="A35" s="774" t="s">
        <v>1936</v>
      </c>
      <c r="B35" s="89"/>
      <c r="C35" s="89"/>
      <c r="D35" s="89"/>
      <c r="E35" s="89"/>
      <c r="F35" s="89"/>
      <c r="G35" s="89"/>
      <c r="H35" s="89"/>
      <c r="I35" s="1269"/>
    </row>
    <row r="36" spans="1:9" ht="15" customHeight="1">
      <c r="A36" s="774" t="s">
        <v>956</v>
      </c>
      <c r="B36" s="89"/>
      <c r="C36" s="89"/>
      <c r="D36" s="89"/>
      <c r="E36" s="89"/>
      <c r="F36" s="89"/>
      <c r="G36" s="89"/>
      <c r="H36" s="89"/>
      <c r="I36" s="1269"/>
    </row>
    <row r="37" spans="1:9" ht="15" customHeight="1">
      <c r="A37" s="772" t="s">
        <v>1937</v>
      </c>
      <c r="B37" s="118"/>
      <c r="C37" s="118"/>
      <c r="D37" s="118"/>
      <c r="E37" s="118"/>
      <c r="F37" s="118"/>
      <c r="G37" s="118"/>
      <c r="H37" s="118"/>
      <c r="I37" s="1269"/>
    </row>
    <row r="38" spans="1:9" ht="15" customHeight="1">
      <c r="A38" s="772" t="s">
        <v>1993</v>
      </c>
      <c r="B38" s="118"/>
      <c r="C38" s="118"/>
      <c r="D38" s="118"/>
      <c r="E38" s="118"/>
      <c r="F38" s="118"/>
      <c r="G38" s="118"/>
      <c r="H38" s="118"/>
      <c r="I38" s="1269"/>
    </row>
    <row r="39" spans="1:9" ht="15" customHeight="1">
      <c r="A39" s="772" t="s">
        <v>1938</v>
      </c>
      <c r="B39" s="118"/>
      <c r="C39" s="118"/>
      <c r="D39" s="118"/>
      <c r="E39" s="118"/>
      <c r="F39" s="118"/>
      <c r="G39" s="118"/>
      <c r="H39" s="118"/>
      <c r="I39" s="1269"/>
    </row>
    <row r="40" spans="1:9" ht="15" customHeight="1">
      <c r="A40" s="772" t="s">
        <v>1634</v>
      </c>
      <c r="B40" s="118"/>
      <c r="C40" s="118"/>
      <c r="D40" s="118"/>
      <c r="E40" s="118"/>
      <c r="F40" s="118"/>
      <c r="G40" s="118"/>
      <c r="H40" s="118"/>
      <c r="I40" s="1269"/>
    </row>
    <row r="41" spans="1:9" ht="15" customHeight="1">
      <c r="A41" s="772" t="s">
        <v>2007</v>
      </c>
      <c r="B41" s="118"/>
      <c r="C41" s="118"/>
      <c r="D41" s="118"/>
      <c r="E41" s="118"/>
      <c r="F41" s="118"/>
      <c r="G41" s="118"/>
      <c r="H41" s="118"/>
      <c r="I41" s="1269"/>
    </row>
    <row r="42" spans="1:9" ht="15" customHeight="1">
      <c r="A42" s="772" t="s">
        <v>143</v>
      </c>
      <c r="B42" s="118"/>
      <c r="C42" s="118"/>
      <c r="D42" s="118"/>
      <c r="E42" s="118"/>
      <c r="F42" s="118"/>
      <c r="G42" s="118"/>
      <c r="H42" s="118"/>
      <c r="I42" s="1269"/>
    </row>
    <row r="43" spans="1:9" ht="18">
      <c r="A43" s="772"/>
      <c r="B43" s="118"/>
      <c r="C43" s="118"/>
      <c r="D43" s="118"/>
      <c r="E43" s="118"/>
      <c r="F43" s="118"/>
      <c r="G43" s="118"/>
      <c r="H43" s="118"/>
      <c r="I43" s="1269"/>
    </row>
    <row r="44" spans="1:9" ht="18">
      <c r="A44" s="774"/>
      <c r="B44" s="80"/>
      <c r="C44" s="80"/>
      <c r="D44" s="80"/>
      <c r="E44" s="80"/>
      <c r="F44" s="80"/>
      <c r="G44" s="80"/>
      <c r="H44" s="80"/>
      <c r="I44" s="1269"/>
    </row>
    <row r="45" spans="1:9" ht="18.75" customHeight="1">
      <c r="A45" s="782" t="s">
        <v>1357</v>
      </c>
      <c r="B45" s="80"/>
      <c r="C45" s="125"/>
      <c r="D45" s="80"/>
      <c r="E45" s="80"/>
      <c r="F45" s="80"/>
      <c r="G45" s="80"/>
      <c r="H45" s="80"/>
      <c r="I45" s="1269"/>
    </row>
    <row r="46" spans="1:9" ht="18.75" customHeight="1">
      <c r="A46" s="782"/>
      <c r="B46" s="80"/>
      <c r="C46" s="125"/>
      <c r="D46" s="80"/>
      <c r="E46" s="80"/>
      <c r="F46" s="80"/>
      <c r="G46" s="80"/>
      <c r="H46" s="80"/>
      <c r="I46" s="1269"/>
    </row>
    <row r="47" spans="1:9" ht="18.75" customHeight="1">
      <c r="A47" s="927" t="s">
        <v>1979</v>
      </c>
      <c r="B47" s="927" t="s">
        <v>1980</v>
      </c>
      <c r="C47" s="125"/>
      <c r="D47" s="80"/>
      <c r="E47" s="80"/>
      <c r="F47" s="80"/>
      <c r="G47" s="80"/>
      <c r="H47" s="80"/>
      <c r="I47" s="1269"/>
    </row>
    <row r="48" spans="1:9" ht="18">
      <c r="A48" s="774"/>
      <c r="B48" s="80"/>
      <c r="C48" s="80"/>
      <c r="D48" s="80"/>
      <c r="E48" s="80"/>
      <c r="F48" s="80"/>
      <c r="G48" s="80"/>
      <c r="H48" s="80"/>
      <c r="I48" s="1269"/>
    </row>
    <row r="49" spans="1:9" ht="18">
      <c r="A49" s="928" t="s">
        <v>1978</v>
      </c>
      <c r="B49" s="774" t="s">
        <v>481</v>
      </c>
      <c r="C49" s="80"/>
      <c r="D49" s="80"/>
      <c r="E49" s="80"/>
      <c r="F49" s="80"/>
      <c r="G49" s="80"/>
      <c r="H49" s="80"/>
      <c r="I49" s="1269"/>
    </row>
    <row r="50" spans="1:9" ht="18">
      <c r="A50" s="928" t="s">
        <v>1978</v>
      </c>
      <c r="B50" s="774" t="s">
        <v>865</v>
      </c>
      <c r="C50" s="80"/>
      <c r="D50" s="80"/>
      <c r="E50" s="80"/>
      <c r="F50" s="80"/>
      <c r="G50" s="80"/>
      <c r="H50" s="80"/>
      <c r="I50" s="1269"/>
    </row>
    <row r="51" spans="1:9" ht="18">
      <c r="A51" s="774"/>
      <c r="B51" s="772" t="s">
        <v>864</v>
      </c>
      <c r="C51" s="80"/>
      <c r="D51" s="80"/>
      <c r="E51" s="80"/>
      <c r="F51" s="80"/>
      <c r="G51" s="80"/>
      <c r="H51" s="80"/>
      <c r="I51" s="1269"/>
    </row>
    <row r="52" spans="1:9" ht="18">
      <c r="A52" s="928" t="s">
        <v>1978</v>
      </c>
      <c r="B52" s="774" t="s">
        <v>1356</v>
      </c>
      <c r="C52" s="80"/>
      <c r="D52" s="80"/>
      <c r="E52" s="80"/>
      <c r="F52" s="80"/>
      <c r="G52" s="80"/>
      <c r="H52" s="80"/>
      <c r="I52" s="1269"/>
    </row>
    <row r="53" spans="1:9" ht="18">
      <c r="A53" s="928" t="s">
        <v>1978</v>
      </c>
      <c r="B53" s="774" t="s">
        <v>301</v>
      </c>
      <c r="C53" s="80"/>
      <c r="D53" s="80"/>
      <c r="E53" s="80"/>
      <c r="F53" s="80"/>
      <c r="G53" s="80"/>
      <c r="H53" s="80"/>
      <c r="I53" s="1269"/>
    </row>
    <row r="54" spans="1:9" ht="18">
      <c r="A54" s="928" t="s">
        <v>1978</v>
      </c>
      <c r="B54" s="774" t="s">
        <v>213</v>
      </c>
      <c r="C54" s="80"/>
      <c r="D54" s="80"/>
      <c r="E54" s="80"/>
      <c r="F54" s="80"/>
      <c r="G54" s="80"/>
      <c r="H54" s="80"/>
      <c r="I54" s="1269"/>
    </row>
    <row r="55" spans="1:9" ht="18">
      <c r="A55" s="928" t="s">
        <v>1978</v>
      </c>
      <c r="B55" s="774" t="s">
        <v>214</v>
      </c>
      <c r="C55" s="80"/>
      <c r="D55" s="80"/>
      <c r="E55" s="80"/>
      <c r="F55" s="80"/>
      <c r="G55" s="80"/>
      <c r="H55" s="80"/>
      <c r="I55" s="1269"/>
    </row>
    <row r="56" spans="1:9" ht="18">
      <c r="A56" s="774"/>
      <c r="B56" s="772" t="s">
        <v>145</v>
      </c>
      <c r="C56" s="80"/>
      <c r="D56" s="80"/>
      <c r="E56" s="80"/>
      <c r="F56" s="80"/>
      <c r="G56" s="80"/>
      <c r="H56" s="80"/>
      <c r="I56" s="1269"/>
    </row>
    <row r="57" spans="1:9" ht="18">
      <c r="A57" s="928" t="s">
        <v>1978</v>
      </c>
      <c r="B57" s="777" t="s">
        <v>215</v>
      </c>
      <c r="C57" s="80"/>
      <c r="D57" s="80"/>
      <c r="E57" s="80"/>
      <c r="F57" s="80"/>
      <c r="G57" s="80"/>
      <c r="H57" s="80"/>
      <c r="I57" s="1269"/>
    </row>
    <row r="58" spans="1:9" ht="18">
      <c r="A58" s="928" t="s">
        <v>1978</v>
      </c>
      <c r="B58" s="777" t="s">
        <v>297</v>
      </c>
      <c r="C58" s="80"/>
      <c r="D58" s="80"/>
      <c r="E58" s="80"/>
      <c r="F58" s="80"/>
      <c r="G58" s="80"/>
      <c r="H58" s="80"/>
      <c r="I58" s="1269"/>
    </row>
    <row r="59" spans="1:9" ht="18">
      <c r="A59" s="774"/>
      <c r="B59" s="777" t="s">
        <v>1138</v>
      </c>
      <c r="C59" s="80"/>
      <c r="D59" s="80"/>
      <c r="E59" s="80"/>
      <c r="F59" s="80"/>
      <c r="G59" s="80"/>
      <c r="H59" s="80"/>
      <c r="I59" s="1269"/>
    </row>
    <row r="60" spans="1:9" ht="18">
      <c r="A60" s="774"/>
      <c r="B60" s="777" t="s">
        <v>1137</v>
      </c>
      <c r="C60" s="80"/>
      <c r="D60" s="80"/>
      <c r="E60" s="80"/>
      <c r="F60" s="80"/>
      <c r="G60" s="80"/>
      <c r="H60" s="80"/>
      <c r="I60" s="1269"/>
    </row>
    <row r="61" spans="1:9" ht="18.75" customHeight="1">
      <c r="A61" s="774"/>
      <c r="B61" s="774" t="s">
        <v>1139</v>
      </c>
      <c r="C61" s="80"/>
      <c r="D61" s="80"/>
      <c r="E61" s="80"/>
      <c r="F61" s="80"/>
      <c r="G61" s="80"/>
      <c r="H61" s="80"/>
      <c r="I61" s="1269"/>
    </row>
    <row r="62" spans="1:9" ht="18.75" customHeight="1">
      <c r="A62" s="774"/>
      <c r="B62" s="774" t="s">
        <v>1140</v>
      </c>
      <c r="C62" s="80"/>
      <c r="D62" s="80"/>
      <c r="E62" s="80"/>
      <c r="F62" s="80"/>
      <c r="G62" s="80"/>
      <c r="H62" s="80"/>
      <c r="I62" s="1269"/>
    </row>
    <row r="63" spans="1:9" ht="18.75" customHeight="1">
      <c r="A63" s="928" t="s">
        <v>1978</v>
      </c>
      <c r="B63" s="774" t="s">
        <v>298</v>
      </c>
      <c r="C63" s="80"/>
      <c r="D63" s="80"/>
      <c r="E63" s="80"/>
      <c r="F63" s="80"/>
      <c r="G63" s="80"/>
      <c r="H63" s="80"/>
      <c r="I63" s="1269"/>
    </row>
    <row r="64" spans="1:9" ht="18.75" customHeight="1">
      <c r="A64" s="774"/>
      <c r="B64" s="774" t="s">
        <v>1141</v>
      </c>
      <c r="C64" s="80"/>
      <c r="D64" s="80"/>
      <c r="E64" s="80"/>
      <c r="F64" s="80"/>
      <c r="G64" s="80"/>
      <c r="H64" s="80"/>
      <c r="I64" s="1269"/>
    </row>
    <row r="65" spans="1:9" ht="18.75" customHeight="1">
      <c r="A65" s="774"/>
      <c r="B65" s="774" t="s">
        <v>1142</v>
      </c>
      <c r="C65" s="80"/>
      <c r="D65" s="80"/>
      <c r="E65" s="80"/>
      <c r="F65" s="80"/>
      <c r="G65" s="80"/>
      <c r="H65" s="80"/>
      <c r="I65" s="1269"/>
    </row>
    <row r="66" spans="1:9" ht="18.75" customHeight="1">
      <c r="A66" s="774"/>
      <c r="B66" s="774" t="s">
        <v>299</v>
      </c>
      <c r="C66" s="80"/>
      <c r="D66" s="80"/>
      <c r="E66" s="80"/>
      <c r="F66" s="80"/>
      <c r="G66" s="80"/>
      <c r="H66" s="80"/>
      <c r="I66" s="1269"/>
    </row>
    <row r="67" spans="1:9" ht="18.75" customHeight="1">
      <c r="A67" s="774"/>
      <c r="B67" s="774"/>
      <c r="C67" s="80"/>
      <c r="D67" s="80"/>
      <c r="E67" s="80"/>
      <c r="F67" s="80"/>
      <c r="G67" s="80"/>
      <c r="H67" s="80"/>
      <c r="I67" s="1269"/>
    </row>
    <row r="68" spans="1:9" ht="18.75" customHeight="1">
      <c r="A68" s="774"/>
      <c r="B68" s="939" t="s">
        <v>300</v>
      </c>
      <c r="C68" s="80"/>
      <c r="D68" s="80"/>
      <c r="E68" s="80"/>
      <c r="F68" s="80"/>
      <c r="G68" s="80"/>
      <c r="H68" s="80"/>
      <c r="I68" s="1269"/>
    </row>
    <row r="69" spans="1:9" ht="18.75" customHeight="1">
      <c r="A69" s="774"/>
      <c r="B69" s="80"/>
      <c r="C69" s="80"/>
      <c r="D69" s="80"/>
      <c r="E69" s="80"/>
      <c r="F69" s="80"/>
      <c r="G69" s="80"/>
      <c r="H69" s="80"/>
      <c r="I69" s="1269"/>
    </row>
    <row r="70" spans="1:9" ht="18">
      <c r="A70" s="772"/>
      <c r="B70" s="80"/>
      <c r="C70" s="80"/>
      <c r="D70" s="80"/>
      <c r="E70" s="80"/>
      <c r="F70" s="80"/>
      <c r="G70" s="80"/>
      <c r="H70" s="80"/>
      <c r="I70" s="1269"/>
    </row>
    <row r="71" spans="1:9" ht="18">
      <c r="A71" s="772" t="s">
        <v>1312</v>
      </c>
      <c r="B71" s="80"/>
      <c r="C71" s="80"/>
      <c r="D71" s="80"/>
      <c r="E71" s="80"/>
      <c r="F71" s="80"/>
      <c r="G71" s="80"/>
      <c r="H71" s="80"/>
      <c r="I71" s="1269"/>
    </row>
    <row r="72" spans="1:9" ht="18">
      <c r="A72" s="772" t="s">
        <v>1284</v>
      </c>
      <c r="B72" s="80"/>
      <c r="C72" s="80"/>
      <c r="D72" s="80"/>
      <c r="E72" s="80"/>
      <c r="F72" s="80"/>
      <c r="G72" s="80"/>
      <c r="H72" s="80"/>
      <c r="I72" s="1269"/>
    </row>
    <row r="73" spans="1:9" ht="30.75" customHeight="1">
      <c r="A73" s="776"/>
      <c r="B73" s="80"/>
      <c r="C73" s="80"/>
      <c r="D73" s="80"/>
      <c r="E73" s="80"/>
      <c r="F73" s="80"/>
      <c r="G73" s="80"/>
      <c r="H73" s="80"/>
      <c r="I73" s="1269"/>
    </row>
    <row r="74" spans="1:9" ht="15.75">
      <c r="A74" s="780"/>
      <c r="B74" s="80"/>
      <c r="C74" s="80"/>
      <c r="D74" s="80"/>
      <c r="E74" s="80"/>
      <c r="F74" s="80"/>
      <c r="G74" s="80"/>
      <c r="H74" s="80"/>
      <c r="I74" s="1269"/>
    </row>
    <row r="75" spans="1:9" ht="15">
      <c r="A75" s="116"/>
      <c r="B75" s="80"/>
      <c r="C75" s="80"/>
      <c r="D75" s="80"/>
      <c r="E75" s="80"/>
      <c r="F75" s="80"/>
      <c r="G75" s="119"/>
      <c r="H75" s="80"/>
      <c r="I75" s="1269"/>
    </row>
  </sheetData>
  <sheetProtection password="EC35" sheet="1" objects="1" scenarios="1"/>
  <mergeCells count="3">
    <mergeCell ref="I1:I75"/>
    <mergeCell ref="A4:B4"/>
    <mergeCell ref="A12:B12"/>
  </mergeCells>
  <hyperlinks>
    <hyperlink ref="A49" location="'T4'!E14" display="GO THERE"/>
    <hyperlink ref="A50" location="Sch7!E13" display="GO THERE"/>
    <hyperlink ref="A52" location="'T1 GEN-1'!T25" display="GO THERE"/>
    <hyperlink ref="A54" location="'Sch4-2'!C34" display="GO THERE"/>
    <hyperlink ref="A55" location="MISC!E72" display="GO THERE"/>
    <hyperlink ref="A57" location="'T778'!B18" display="GO THERE"/>
    <hyperlink ref="A58" location="Sch1!F47" display="GO THERE"/>
    <hyperlink ref="A63" location="Sch11!I13" display="GO THERE"/>
    <hyperlink ref="I1:I75" location="'GO TO'!G25" display=" "/>
    <hyperlink ref="A4" location="HELP!A49" display="Common Data Items &amp; Where to Put Them"/>
    <hyperlink ref="A53" location="'T778'!B18" display="GO THERE"/>
    <hyperlink ref="A4:B4" location="HELP!A64" display="Common Data Items &amp; Where to Put Them"/>
    <hyperlink ref="A12:B12" location="README!A1" display="Go to the README sheet for the basic set of instructions"/>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6" r:id="rId2"/>
  <drawing r:id="rId1"/>
</worksheet>
</file>

<file path=xl/worksheets/sheet30.xml><?xml version="1.0" encoding="utf-8"?>
<worksheet xmlns="http://schemas.openxmlformats.org/spreadsheetml/2006/main" xmlns:r="http://schemas.openxmlformats.org/officeDocument/2006/relationships">
  <sheetPr codeName="Sheet2111111112">
    <pageSetUpPr fitToPage="1"/>
  </sheetPr>
  <dimension ref="B1:M74"/>
  <sheetViews>
    <sheetView showGridLines="0" zoomScale="70" zoomScaleNormal="70" workbookViewId="0" topLeftCell="C1">
      <selection activeCell="C2" sqref="C2"/>
    </sheetView>
  </sheetViews>
  <sheetFormatPr defaultColWidth="8.88671875" defaultRowHeight="15"/>
  <cols>
    <col min="1" max="1" width="1.77734375" style="670" customWidth="1"/>
    <col min="2" max="2" width="8.3359375" style="670" customWidth="1"/>
    <col min="3" max="3" width="37.8867187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"T4RIF-"&amp;yeartext&amp;" SLIPS DATA ENTRY FOR"</f>
        <v>T4RIF-2006 SLIPS DATA ENTRY FOR</v>
      </c>
      <c r="D1" s="34"/>
      <c r="E1" s="358" t="s">
        <v>590</v>
      </c>
      <c r="F1" s="36"/>
      <c r="G1" s="36"/>
      <c r="H1" s="37"/>
      <c r="I1" s="36"/>
      <c r="J1" s="37" t="str">
        <f>yeartext</f>
        <v>2006</v>
      </c>
      <c r="K1" s="669"/>
      <c r="L1" s="1412" t="s">
        <v>1793</v>
      </c>
    </row>
    <row r="2" spans="2:12" ht="18">
      <c r="B2" s="36"/>
      <c r="C2" s="36"/>
      <c r="D2" s="38"/>
      <c r="E2" s="358" t="s">
        <v>591</v>
      </c>
      <c r="F2" s="36"/>
      <c r="G2" s="36"/>
      <c r="H2" s="36"/>
      <c r="I2" s="36"/>
      <c r="J2" s="36"/>
      <c r="K2" s="669"/>
      <c r="L2" s="1412"/>
    </row>
    <row r="3" spans="2:12" ht="27" customHeight="1">
      <c r="B3" s="39"/>
      <c r="C3" s="39" t="s">
        <v>400</v>
      </c>
      <c r="D3" s="36"/>
      <c r="E3" s="38"/>
      <c r="F3" s="36"/>
      <c r="G3" s="36"/>
      <c r="H3" s="36"/>
      <c r="I3" s="36"/>
      <c r="J3" s="36"/>
      <c r="K3" s="669"/>
      <c r="L3" s="1412"/>
    </row>
    <row r="4" spans="2:12" ht="18">
      <c r="B4" s="39"/>
      <c r="C4" s="39" t="s">
        <v>674</v>
      </c>
      <c r="D4" s="36"/>
      <c r="E4" s="38"/>
      <c r="F4" s="36"/>
      <c r="G4" s="36"/>
      <c r="H4" s="36"/>
      <c r="I4" s="36"/>
      <c r="J4" s="36"/>
      <c r="K4" s="669"/>
      <c r="L4" s="1412"/>
    </row>
    <row r="5" spans="2:12" ht="18">
      <c r="B5" s="39"/>
      <c r="C5" s="39" t="s">
        <v>975</v>
      </c>
      <c r="D5" s="36"/>
      <c r="E5" s="38"/>
      <c r="F5" s="36"/>
      <c r="G5" s="36"/>
      <c r="H5" s="36"/>
      <c r="I5" s="36"/>
      <c r="J5" s="36"/>
      <c r="K5" s="669"/>
      <c r="L5" s="1412"/>
    </row>
    <row r="6" spans="2:12" ht="18">
      <c r="B6" s="39"/>
      <c r="C6" s="39" t="s">
        <v>19</v>
      </c>
      <c r="D6" s="36"/>
      <c r="E6" s="38"/>
      <c r="F6" s="36"/>
      <c r="G6" s="36"/>
      <c r="H6" s="36"/>
      <c r="I6" s="36"/>
      <c r="J6" s="36"/>
      <c r="K6" s="669"/>
      <c r="L6" s="1412"/>
    </row>
    <row r="7" spans="2:12" ht="18">
      <c r="B7" s="39"/>
      <c r="C7" s="39" t="s">
        <v>473</v>
      </c>
      <c r="D7" s="36"/>
      <c r="E7" s="38"/>
      <c r="F7" s="36"/>
      <c r="G7" s="36"/>
      <c r="H7" s="36"/>
      <c r="I7" s="36"/>
      <c r="J7" s="36"/>
      <c r="K7" s="669"/>
      <c r="L7" s="1412"/>
    </row>
    <row r="8" spans="2:12" ht="18">
      <c r="B8" s="39"/>
      <c r="C8" s="39" t="s">
        <v>456</v>
      </c>
      <c r="D8" s="36"/>
      <c r="E8" s="38"/>
      <c r="F8" s="36"/>
      <c r="G8" s="36"/>
      <c r="H8" s="36"/>
      <c r="I8" s="36"/>
      <c r="J8" s="36"/>
      <c r="K8" s="669"/>
      <c r="L8" s="1412"/>
    </row>
    <row r="9" spans="2:12" ht="18">
      <c r="B9" s="39"/>
      <c r="C9" s="39" t="s">
        <v>772</v>
      </c>
      <c r="D9" s="36"/>
      <c r="E9" s="38"/>
      <c r="F9" s="36"/>
      <c r="G9" s="36"/>
      <c r="H9" s="36"/>
      <c r="I9" s="36"/>
      <c r="J9" s="36"/>
      <c r="K9" s="669"/>
      <c r="L9" s="1412"/>
    </row>
    <row r="10" spans="2:12" ht="18">
      <c r="B10" s="39"/>
      <c r="C10" s="39" t="s">
        <v>1096</v>
      </c>
      <c r="D10" s="36"/>
      <c r="E10" s="38"/>
      <c r="F10" s="36"/>
      <c r="G10" s="36"/>
      <c r="H10" s="36"/>
      <c r="I10" s="36"/>
      <c r="J10" s="36"/>
      <c r="K10" s="669"/>
      <c r="L10" s="1412"/>
    </row>
    <row r="11" spans="2:12" ht="18">
      <c r="B11" s="39"/>
      <c r="C11" s="39" t="s">
        <v>1826</v>
      </c>
      <c r="D11" s="36"/>
      <c r="E11" s="38"/>
      <c r="F11" s="36"/>
      <c r="G11" s="36"/>
      <c r="H11" s="36"/>
      <c r="I11" s="36"/>
      <c r="J11" s="36"/>
      <c r="K11" s="669"/>
      <c r="L11" s="1412"/>
    </row>
    <row r="12" spans="2:12" ht="33" customHeight="1">
      <c r="B12" s="39"/>
      <c r="C12" s="595" t="s">
        <v>1530</v>
      </c>
      <c r="D12" s="36"/>
      <c r="E12" s="38"/>
      <c r="F12" s="36"/>
      <c r="G12" s="36"/>
      <c r="H12" s="36"/>
      <c r="I12" s="36"/>
      <c r="J12" s="36"/>
      <c r="K12" s="669"/>
      <c r="L12" s="1412"/>
    </row>
    <row r="13" spans="2:12" ht="36">
      <c r="B13" s="42" t="s">
        <v>1829</v>
      </c>
      <c r="C13" s="42" t="s">
        <v>1742</v>
      </c>
      <c r="D13" s="42" t="s">
        <v>1737</v>
      </c>
      <c r="E13" s="42" t="s">
        <v>457</v>
      </c>
      <c r="F13" s="42" t="s">
        <v>458</v>
      </c>
      <c r="G13" s="42" t="s">
        <v>459</v>
      </c>
      <c r="H13" s="42" t="s">
        <v>460</v>
      </c>
      <c r="I13" s="42" t="s">
        <v>461</v>
      </c>
      <c r="J13" s="43" t="s">
        <v>503</v>
      </c>
      <c r="K13" s="669"/>
      <c r="L13" s="1412"/>
    </row>
    <row r="14" spans="2:12" ht="18">
      <c r="B14" s="36"/>
      <c r="C14" s="39"/>
      <c r="D14" s="39"/>
      <c r="E14" s="38"/>
      <c r="F14" s="36"/>
      <c r="G14" s="36"/>
      <c r="H14" s="36"/>
      <c r="I14" s="36"/>
      <c r="J14" s="36"/>
      <c r="K14" s="669"/>
      <c r="L14" s="1412"/>
    </row>
    <row r="15" spans="2:12" ht="18">
      <c r="B15" s="47" t="s">
        <v>2270</v>
      </c>
      <c r="C15" s="367" t="s">
        <v>324</v>
      </c>
      <c r="D15" s="349" t="s">
        <v>508</v>
      </c>
      <c r="E15" s="364"/>
      <c r="F15" s="364"/>
      <c r="G15" s="364"/>
      <c r="H15" s="364"/>
      <c r="I15" s="364"/>
      <c r="J15" s="671">
        <f>SUM(E15:I15)</f>
        <v>0</v>
      </c>
      <c r="K15" s="669"/>
      <c r="L15" s="1412"/>
    </row>
    <row r="16" spans="2:12" ht="18">
      <c r="B16" s="36"/>
      <c r="C16" s="363"/>
      <c r="D16" s="349"/>
      <c r="E16" s="38"/>
      <c r="F16" s="36"/>
      <c r="G16" s="36"/>
      <c r="H16" s="36"/>
      <c r="I16" s="36"/>
      <c r="J16" s="36"/>
      <c r="K16" s="669"/>
      <c r="L16" s="1412"/>
    </row>
    <row r="17" spans="2:12" ht="18">
      <c r="B17" s="47" t="s">
        <v>1988</v>
      </c>
      <c r="C17" s="363" t="s">
        <v>765</v>
      </c>
      <c r="D17" s="349" t="s">
        <v>511</v>
      </c>
      <c r="E17" s="364"/>
      <c r="F17" s="364"/>
      <c r="G17" s="364"/>
      <c r="H17" s="364"/>
      <c r="I17" s="364"/>
      <c r="J17" s="671">
        <f>SUM(E17:I17)</f>
        <v>0</v>
      </c>
      <c r="K17" s="669"/>
      <c r="L17" s="1412"/>
    </row>
    <row r="18" spans="2:12" ht="18">
      <c r="B18" s="47"/>
      <c r="C18" s="363" t="s">
        <v>766</v>
      </c>
      <c r="D18" s="349"/>
      <c r="E18" s="407"/>
      <c r="F18" s="36"/>
      <c r="G18" s="36"/>
      <c r="H18" s="36"/>
      <c r="I18" s="36"/>
      <c r="J18" s="36"/>
      <c r="K18" s="669"/>
      <c r="L18" s="1412"/>
    </row>
    <row r="19" spans="2:12" ht="18">
      <c r="B19" s="47" t="s">
        <v>2270</v>
      </c>
      <c r="C19" s="363" t="s">
        <v>347</v>
      </c>
      <c r="D19" s="349" t="s">
        <v>513</v>
      </c>
      <c r="E19" s="364"/>
      <c r="F19" s="364"/>
      <c r="G19" s="364"/>
      <c r="H19" s="364"/>
      <c r="I19" s="364"/>
      <c r="J19" s="671">
        <f>SUM(E19:I19)</f>
        <v>0</v>
      </c>
      <c r="K19" s="669"/>
      <c r="L19" s="1412"/>
    </row>
    <row r="20" spans="2:12" ht="18">
      <c r="B20" s="34"/>
      <c r="C20" s="358" t="s">
        <v>348</v>
      </c>
      <c r="D20" s="34"/>
      <c r="E20" s="34"/>
      <c r="F20" s="34"/>
      <c r="G20" s="34"/>
      <c r="H20" s="34"/>
      <c r="I20" s="34"/>
      <c r="J20" s="34"/>
      <c r="K20" s="669"/>
      <c r="L20" s="1412"/>
    </row>
    <row r="21" spans="2:12" ht="18">
      <c r="B21" s="375" t="s">
        <v>2270</v>
      </c>
      <c r="C21" s="363" t="s">
        <v>1418</v>
      </c>
      <c r="D21" s="349" t="s">
        <v>515</v>
      </c>
      <c r="E21" s="364"/>
      <c r="F21" s="364"/>
      <c r="G21" s="364"/>
      <c r="H21" s="364"/>
      <c r="I21" s="364"/>
      <c r="J21" s="671">
        <f>SUM(E21:I21)</f>
        <v>0</v>
      </c>
      <c r="K21" s="669"/>
      <c r="L21" s="1412"/>
    </row>
    <row r="22" spans="2:12" ht="18">
      <c r="B22" s="375">
        <v>232</v>
      </c>
      <c r="C22" s="39"/>
      <c r="D22" s="363"/>
      <c r="E22" s="34"/>
      <c r="F22" s="36"/>
      <c r="G22" s="36"/>
      <c r="H22" s="36"/>
      <c r="I22" s="36"/>
      <c r="J22" s="36"/>
      <c r="K22" s="669"/>
      <c r="L22" s="1412"/>
    </row>
    <row r="23" spans="2:12" ht="18">
      <c r="B23" s="47"/>
      <c r="C23" s="363" t="s">
        <v>1841</v>
      </c>
      <c r="D23" s="349" t="s">
        <v>1635</v>
      </c>
      <c r="E23" s="364"/>
      <c r="F23" s="364"/>
      <c r="G23" s="364"/>
      <c r="H23" s="364"/>
      <c r="I23" s="364"/>
      <c r="J23" s="671">
        <f>SUM(E23:I23)</f>
        <v>0</v>
      </c>
      <c r="K23" s="669"/>
      <c r="L23" s="1412"/>
    </row>
    <row r="24" spans="2:12" ht="18">
      <c r="B24" s="36"/>
      <c r="C24" s="363"/>
      <c r="D24" s="363"/>
      <c r="E24" s="34"/>
      <c r="F24" s="36"/>
      <c r="G24" s="36"/>
      <c r="H24" s="36"/>
      <c r="I24" s="36"/>
      <c r="J24" s="36"/>
      <c r="K24" s="669"/>
      <c r="L24" s="1412"/>
    </row>
    <row r="25" spans="2:12" ht="18">
      <c r="B25" s="47"/>
      <c r="C25" s="367" t="s">
        <v>1204</v>
      </c>
      <c r="D25" s="349" t="s">
        <v>1637</v>
      </c>
      <c r="E25" s="584" t="s">
        <v>399</v>
      </c>
      <c r="F25" s="584" t="s">
        <v>399</v>
      </c>
      <c r="G25" s="584" t="s">
        <v>399</v>
      </c>
      <c r="H25" s="584" t="s">
        <v>399</v>
      </c>
      <c r="I25" s="584" t="s">
        <v>399</v>
      </c>
      <c r="J25" s="36"/>
      <c r="K25" s="669"/>
      <c r="L25" s="1412"/>
    </row>
    <row r="26" spans="2:12" ht="18">
      <c r="B26" s="36"/>
      <c r="C26" s="39" t="s">
        <v>760</v>
      </c>
      <c r="D26" s="349"/>
      <c r="E26" s="38"/>
      <c r="F26" s="36"/>
      <c r="G26" s="36"/>
      <c r="H26" s="36"/>
      <c r="I26" s="36"/>
      <c r="J26" s="36"/>
      <c r="K26" s="669"/>
      <c r="L26" s="1412"/>
    </row>
    <row r="27" spans="2:12" ht="27" customHeight="1">
      <c r="B27" s="583" t="s">
        <v>516</v>
      </c>
      <c r="C27" s="363" t="s">
        <v>1828</v>
      </c>
      <c r="D27" s="961" t="s">
        <v>1351</v>
      </c>
      <c r="E27" s="364"/>
      <c r="F27" s="364"/>
      <c r="G27" s="364"/>
      <c r="H27" s="364"/>
      <c r="I27" s="364"/>
      <c r="J27" s="671">
        <f>SUM(E27:I27)</f>
        <v>0</v>
      </c>
      <c r="K27" s="669"/>
      <c r="L27" s="1412"/>
    </row>
    <row r="28" spans="2:12" ht="18">
      <c r="B28" s="36"/>
      <c r="C28" s="39"/>
      <c r="D28" s="363"/>
      <c r="E28" s="38"/>
      <c r="F28" s="36"/>
      <c r="G28" s="36"/>
      <c r="H28" s="36"/>
      <c r="I28" s="36"/>
      <c r="J28" s="36"/>
      <c r="K28" s="669"/>
      <c r="L28" s="1412"/>
    </row>
    <row r="29" spans="2:12" ht="18">
      <c r="B29" s="58"/>
      <c r="C29" s="363" t="s">
        <v>320</v>
      </c>
      <c r="D29" s="349" t="s">
        <v>1920</v>
      </c>
      <c r="E29" s="590"/>
      <c r="F29" s="590"/>
      <c r="G29" s="590"/>
      <c r="H29" s="590"/>
      <c r="I29" s="590"/>
      <c r="J29" s="36"/>
      <c r="K29" s="669"/>
      <c r="L29" s="1412"/>
    </row>
    <row r="30" spans="2:12" ht="18">
      <c r="B30" s="34"/>
      <c r="C30" s="34" t="s">
        <v>321</v>
      </c>
      <c r="D30" s="34"/>
      <c r="E30" s="34"/>
      <c r="F30" s="34"/>
      <c r="G30" s="34"/>
      <c r="H30" s="34"/>
      <c r="I30" s="34"/>
      <c r="J30" s="34"/>
      <c r="K30" s="669"/>
      <c r="L30" s="1412"/>
    </row>
    <row r="31" spans="2:12" ht="18">
      <c r="B31" s="47"/>
      <c r="C31" s="363" t="s">
        <v>1205</v>
      </c>
      <c r="D31" s="349" t="s">
        <v>1922</v>
      </c>
      <c r="E31" s="566"/>
      <c r="F31" s="566"/>
      <c r="G31" s="566"/>
      <c r="H31" s="566"/>
      <c r="I31" s="566"/>
      <c r="J31" s="36"/>
      <c r="K31" s="669"/>
      <c r="L31" s="1412"/>
    </row>
    <row r="32" spans="2:12" ht="18">
      <c r="B32" s="36"/>
      <c r="C32" s="39"/>
      <c r="D32" s="363"/>
      <c r="E32" s="34"/>
      <c r="F32" s="36"/>
      <c r="G32" s="36"/>
      <c r="H32" s="36"/>
      <c r="I32" s="36"/>
      <c r="J32" s="36"/>
      <c r="K32" s="669"/>
      <c r="L32" s="1412"/>
    </row>
    <row r="33" spans="2:12" ht="18">
      <c r="B33" s="36"/>
      <c r="C33" s="39" t="s">
        <v>1645</v>
      </c>
      <c r="D33" s="349" t="s">
        <v>1915</v>
      </c>
      <c r="E33" s="364"/>
      <c r="F33" s="364"/>
      <c r="G33" s="364"/>
      <c r="H33" s="364"/>
      <c r="I33" s="364"/>
      <c r="J33" s="671">
        <f>SUM(E33:I33)</f>
        <v>0</v>
      </c>
      <c r="K33" s="669"/>
      <c r="L33" s="1412"/>
    </row>
    <row r="34" spans="2:12" ht="18">
      <c r="B34" s="36"/>
      <c r="C34" s="39" t="s">
        <v>1646</v>
      </c>
      <c r="D34" s="363"/>
      <c r="E34" s="34"/>
      <c r="F34" s="36"/>
      <c r="G34" s="36"/>
      <c r="H34" s="36"/>
      <c r="I34" s="36"/>
      <c r="J34" s="36"/>
      <c r="K34" s="669"/>
      <c r="L34" s="1412"/>
    </row>
    <row r="35" spans="2:12" ht="28.5" customHeight="1">
      <c r="B35" s="47"/>
      <c r="C35" s="363" t="s">
        <v>1840</v>
      </c>
      <c r="D35" s="349" t="s">
        <v>1919</v>
      </c>
      <c r="E35" s="364"/>
      <c r="F35" s="364"/>
      <c r="G35" s="364"/>
      <c r="H35" s="364"/>
      <c r="I35" s="364"/>
      <c r="J35" s="671">
        <f>SUM(E35:I35)</f>
        <v>0</v>
      </c>
      <c r="K35" s="669"/>
      <c r="L35" s="1412"/>
    </row>
    <row r="36" spans="2:12" ht="18">
      <c r="B36" s="39"/>
      <c r="C36" s="39"/>
      <c r="D36" s="36"/>
      <c r="E36" s="34"/>
      <c r="F36" s="36"/>
      <c r="G36" s="36"/>
      <c r="H36" s="36"/>
      <c r="I36" s="36"/>
      <c r="J36" s="36"/>
      <c r="K36" s="669"/>
      <c r="L36" s="1412"/>
    </row>
    <row r="37" spans="2:12" ht="18">
      <c r="B37" s="39"/>
      <c r="C37" s="39" t="s">
        <v>768</v>
      </c>
      <c r="D37" s="585"/>
      <c r="E37" s="586" t="str">
        <f>IF(OR(E25="Yes",AND(E31&lt;&gt;"",E31='T1 GEN-1'!$T$26)),"Yes","No")</f>
        <v>No</v>
      </c>
      <c r="F37" s="586" t="str">
        <f>IF(OR(F25="Yes",AND(F31&lt;&gt;"",F31='T1 GEN-1'!$T$26)),"Yes","No")</f>
        <v>No</v>
      </c>
      <c r="G37" s="586" t="str">
        <f>IF(OR(G25="Yes",AND(G31&lt;&gt;"",G31='T1 GEN-1'!$T$26)),"Yes","No")</f>
        <v>No</v>
      </c>
      <c r="H37" s="586" t="str">
        <f>IF(OR(H25="Yes",AND(H31&lt;&gt;"",H31='T1 GEN-1'!$T$26)),"Yes","No")</f>
        <v>No</v>
      </c>
      <c r="I37" s="586" t="str">
        <f>IF(OR(I25="Yes",AND(I31&lt;&gt;"",I31='T1 GEN-1'!$T$26)),"Yes","No")</f>
        <v>No</v>
      </c>
      <c r="J37" s="36"/>
      <c r="K37" s="669"/>
      <c r="L37" s="1412"/>
    </row>
    <row r="38" spans="2:12" ht="18.75" thickBot="1">
      <c r="B38" s="330"/>
      <c r="C38" s="333"/>
      <c r="D38" s="593"/>
      <c r="E38" s="332"/>
      <c r="F38" s="593"/>
      <c r="G38" s="593"/>
      <c r="H38" s="593"/>
      <c r="I38" s="593"/>
      <c r="J38" s="673"/>
      <c r="K38" s="674"/>
      <c r="L38" s="1412"/>
    </row>
    <row r="39" spans="2:12" ht="18">
      <c r="B39" s="47"/>
      <c r="C39" s="50"/>
      <c r="D39" s="47"/>
      <c r="E39" s="50"/>
      <c r="F39" s="50"/>
      <c r="G39" s="50"/>
      <c r="H39" s="50"/>
      <c r="I39" s="50"/>
      <c r="J39" s="694"/>
      <c r="K39" s="683"/>
      <c r="L39" s="1412"/>
    </row>
    <row r="40" spans="2:12" ht="18">
      <c r="B40" s="47"/>
      <c r="C40" s="34" t="str">
        <f>"T4RIF-"&amp;yeartext&amp;" GENERAL DATA SUMMARY"</f>
        <v>T4RIF-2006 GENERAL DATA SUMMARY</v>
      </c>
      <c r="D40" s="34"/>
      <c r="E40" s="358" t="s">
        <v>590</v>
      </c>
      <c r="F40" s="36"/>
      <c r="G40" s="36"/>
      <c r="H40" s="37"/>
      <c r="I40" s="36"/>
      <c r="J40" s="37" t="str">
        <f>yeartext</f>
        <v>2006</v>
      </c>
      <c r="K40" s="669"/>
      <c r="L40" s="1412"/>
    </row>
    <row r="41" spans="2:12" ht="18">
      <c r="B41" s="47"/>
      <c r="C41" s="34"/>
      <c r="D41" s="34"/>
      <c r="E41" s="358" t="s">
        <v>591</v>
      </c>
      <c r="F41" s="36"/>
      <c r="G41" s="36"/>
      <c r="H41" s="37"/>
      <c r="I41" s="36"/>
      <c r="J41" s="37"/>
      <c r="K41" s="669"/>
      <c r="L41" s="1412"/>
    </row>
    <row r="42" spans="2:12" ht="10.5" customHeight="1">
      <c r="B42" s="47"/>
      <c r="C42" s="34"/>
      <c r="D42" s="34"/>
      <c r="E42" s="358"/>
      <c r="F42" s="36"/>
      <c r="G42" s="36"/>
      <c r="H42" s="37"/>
      <c r="I42" s="36"/>
      <c r="J42" s="37"/>
      <c r="K42" s="669"/>
      <c r="L42" s="1412"/>
    </row>
    <row r="43" spans="2:12" ht="18">
      <c r="B43" s="47"/>
      <c r="C43" s="50" t="s">
        <v>1028</v>
      </c>
      <c r="D43" s="585"/>
      <c r="E43" s="695">
        <f>IF(OR(E25="Yes",E31='T1 GEN-1'!$T$26),3,IF(OR(AND(E29&gt;0,E37="Yes"),age&gt;=65),1,2))</f>
        <v>3</v>
      </c>
      <c r="F43" s="695">
        <f>IF(OR(F25="Yes",F31='T1 GEN-1'!$T$26),3,IF(OR(AND(F29&gt;0,F37="Yes"),age&gt;=65),1,2))</f>
        <v>3</v>
      </c>
      <c r="G43" s="695">
        <f>IF(OR(G25="Yes",G31='T1 GEN-1'!$T$26),3,IF(OR(AND(G29&gt;0,G37="Yes"),age&gt;=65),1,2))</f>
        <v>3</v>
      </c>
      <c r="H43" s="695">
        <f>IF(OR(H25="Yes",H31='T1 GEN-1'!$T$26),3,IF(OR(AND(H29&gt;0,H37="Yes"),age&gt;=65),1,2))</f>
        <v>3</v>
      </c>
      <c r="I43" s="695">
        <f>IF(OR(I25="Yes",I31='T1 GEN-1'!$T$26),3,IF(OR(AND(I29&gt;0,I37="Yes"),age&gt;=65),1,2))</f>
        <v>3</v>
      </c>
      <c r="J43" s="37"/>
      <c r="K43" s="669"/>
      <c r="L43" s="1412"/>
    </row>
    <row r="44" spans="2:12" ht="18">
      <c r="B44" s="47"/>
      <c r="C44" s="592" t="s">
        <v>1029</v>
      </c>
      <c r="D44" s="47"/>
      <c r="E44" s="695">
        <f>IF(E29&gt;0,IF(OR(E37="Yes",age&gt;=65),1,IF(E21&gt;0,2,3)),IF(E21&gt;0,2,3))</f>
        <v>3</v>
      </c>
      <c r="F44" s="695">
        <f>IF(F29&gt;0,IF(OR(F37="Yes",age&gt;=65),1,IF(F21&gt;0,2,3)),IF(F21&gt;0,2,3))</f>
        <v>3</v>
      </c>
      <c r="G44" s="695">
        <f>IF(G29&gt;0,IF(OR(G37="Yes",age&gt;=65),1,IF(G21&gt;0,2,3)),IF(G21&gt;0,2,3))</f>
        <v>3</v>
      </c>
      <c r="H44" s="695">
        <f>IF(H29&gt;0,IF(OR(H37="Yes",age&gt;=65),1,IF(H21&gt;0,2,3)),IF(H21&gt;0,2,3))</f>
        <v>3</v>
      </c>
      <c r="I44" s="695">
        <f>IF(I29&gt;0,IF(OR(I37="Yes",age&gt;=65),1,IF(I21&gt;0,2,3)),IF(I21&gt;0,2,3))</f>
        <v>3</v>
      </c>
      <c r="J44" s="37"/>
      <c r="K44" s="669"/>
      <c r="L44" s="1412"/>
    </row>
    <row r="45" spans="2:12" ht="9.75" customHeight="1">
      <c r="B45" s="47"/>
      <c r="C45" s="50"/>
      <c r="D45" s="47"/>
      <c r="E45" s="358"/>
      <c r="F45" s="49"/>
      <c r="G45" s="49"/>
      <c r="H45" s="675"/>
      <c r="I45" s="49"/>
      <c r="J45" s="676"/>
      <c r="K45" s="669"/>
      <c r="L45" s="1412"/>
    </row>
    <row r="46" spans="2:13" ht="54">
      <c r="B46" s="47"/>
      <c r="C46" s="42" t="s">
        <v>1238</v>
      </c>
      <c r="D46" s="42" t="s">
        <v>1829</v>
      </c>
      <c r="E46" s="42" t="s">
        <v>2211</v>
      </c>
      <c r="F46" s="42" t="s">
        <v>331</v>
      </c>
      <c r="G46" s="42" t="s">
        <v>332</v>
      </c>
      <c r="H46" s="42" t="s">
        <v>334</v>
      </c>
      <c r="I46" s="42" t="s">
        <v>333</v>
      </c>
      <c r="J46" s="591" t="s">
        <v>335</v>
      </c>
      <c r="K46" s="669"/>
      <c r="L46" s="365"/>
      <c r="M46" s="376"/>
    </row>
    <row r="47" spans="2:13" ht="18">
      <c r="B47" s="47"/>
      <c r="C47" s="328" t="s">
        <v>336</v>
      </c>
      <c r="D47" s="329" t="s">
        <v>1987</v>
      </c>
      <c r="E47" s="370">
        <f>IF(E43=1,E15,0)</f>
        <v>0</v>
      </c>
      <c r="F47" s="370">
        <f>IF(F43=1,F15,0)</f>
        <v>0</v>
      </c>
      <c r="G47" s="370">
        <f>IF(G43=1,G15,0)</f>
        <v>0</v>
      </c>
      <c r="H47" s="370">
        <f>IF(H43=1,H15,0)</f>
        <v>0</v>
      </c>
      <c r="I47" s="370">
        <f>IF(I43=1,I15,0)</f>
        <v>0</v>
      </c>
      <c r="J47" s="669"/>
      <c r="K47" s="669"/>
      <c r="L47" s="594" t="s">
        <v>1867</v>
      </c>
      <c r="M47" s="376"/>
    </row>
    <row r="48" spans="2:13" ht="18">
      <c r="B48" s="47"/>
      <c r="C48" s="328" t="s">
        <v>337</v>
      </c>
      <c r="D48" s="329" t="s">
        <v>1987</v>
      </c>
      <c r="E48" s="370">
        <f>IF(E43=1,E19,0)</f>
        <v>0</v>
      </c>
      <c r="F48" s="370">
        <f>IF(F43=1,F19,0)</f>
        <v>0</v>
      </c>
      <c r="G48" s="370">
        <f>IF(G43=1,G19,0)</f>
        <v>0</v>
      </c>
      <c r="H48" s="370">
        <f>IF(H43=1,H19,0)</f>
        <v>0</v>
      </c>
      <c r="I48" s="370">
        <f>IF(I43=1,I19,0)</f>
        <v>0</v>
      </c>
      <c r="J48" s="696">
        <f>SUM(E47:I49)</f>
        <v>0</v>
      </c>
      <c r="K48" s="669"/>
      <c r="L48" s="594" t="s">
        <v>1868</v>
      </c>
      <c r="M48" s="376"/>
    </row>
    <row r="49" spans="2:13" ht="18">
      <c r="B49" s="47"/>
      <c r="C49" s="328" t="s">
        <v>2207</v>
      </c>
      <c r="D49" s="329" t="s">
        <v>1987</v>
      </c>
      <c r="E49" s="370">
        <f>IF(E44=1,E21,0)</f>
        <v>0</v>
      </c>
      <c r="F49" s="370">
        <f>IF(F44=1,F21,0)</f>
        <v>0</v>
      </c>
      <c r="G49" s="370">
        <f>IF(G44=1,G21,0)</f>
        <v>0</v>
      </c>
      <c r="H49" s="370">
        <f>IF(H44=1,H21,0)</f>
        <v>0</v>
      </c>
      <c r="I49" s="370">
        <f>IF(I44=1,I21,0)</f>
        <v>0</v>
      </c>
      <c r="J49" s="366"/>
      <c r="K49" s="669"/>
      <c r="L49" s="594" t="s">
        <v>1877</v>
      </c>
      <c r="M49" s="376"/>
    </row>
    <row r="50" spans="2:13" ht="18">
      <c r="B50" s="47"/>
      <c r="C50" s="347"/>
      <c r="D50" s="348"/>
      <c r="E50" s="366"/>
      <c r="F50" s="366"/>
      <c r="G50" s="366"/>
      <c r="H50" s="366"/>
      <c r="I50" s="366"/>
      <c r="J50" s="366"/>
      <c r="K50" s="669"/>
      <c r="L50" s="594" t="s">
        <v>1871</v>
      </c>
      <c r="M50" s="376"/>
    </row>
    <row r="51" spans="2:13" ht="18">
      <c r="B51" s="47"/>
      <c r="C51" s="334" t="s">
        <v>336</v>
      </c>
      <c r="D51" s="335" t="s">
        <v>1988</v>
      </c>
      <c r="E51" s="370">
        <f>IF(E43=2,E15,0)</f>
        <v>0</v>
      </c>
      <c r="F51" s="370">
        <f>IF(F43=2,F15,0)</f>
        <v>0</v>
      </c>
      <c r="G51" s="370">
        <f>IF(G43=2,G15,0)</f>
        <v>0</v>
      </c>
      <c r="H51" s="370">
        <f>IF(H43=2,H15,0)</f>
        <v>0</v>
      </c>
      <c r="I51" s="370">
        <f>IF(I43=2,I15,0)</f>
        <v>0</v>
      </c>
      <c r="J51" s="683"/>
      <c r="K51" s="669"/>
      <c r="L51" s="594" t="s">
        <v>1874</v>
      </c>
      <c r="M51" s="376"/>
    </row>
    <row r="52" spans="2:13" ht="18">
      <c r="B52" s="47"/>
      <c r="C52" s="328" t="s">
        <v>2209</v>
      </c>
      <c r="D52" s="329" t="s">
        <v>1988</v>
      </c>
      <c r="E52" s="370">
        <f>E17</f>
        <v>0</v>
      </c>
      <c r="F52" s="370">
        <f>F17</f>
        <v>0</v>
      </c>
      <c r="G52" s="370">
        <f>G17</f>
        <v>0</v>
      </c>
      <c r="H52" s="370">
        <f>H17</f>
        <v>0</v>
      </c>
      <c r="I52" s="370">
        <f>I17</f>
        <v>0</v>
      </c>
      <c r="J52" s="696">
        <f>SUM(E51:I54)</f>
        <v>0</v>
      </c>
      <c r="K52" s="669"/>
      <c r="L52" s="594" t="s">
        <v>1878</v>
      </c>
      <c r="M52" s="376"/>
    </row>
    <row r="53" spans="2:13" ht="18">
      <c r="B53" s="47"/>
      <c r="C53" s="328" t="s">
        <v>337</v>
      </c>
      <c r="D53" s="329" t="s">
        <v>1988</v>
      </c>
      <c r="E53" s="370">
        <f>IF(E43=2,E19,0)</f>
        <v>0</v>
      </c>
      <c r="F53" s="370">
        <f>IF(F43=2,F19,0)</f>
        <v>0</v>
      </c>
      <c r="G53" s="370">
        <f>IF(G43=2,G19,0)</f>
        <v>0</v>
      </c>
      <c r="H53" s="370">
        <f>IF(H43=2,H19,0)</f>
        <v>0</v>
      </c>
      <c r="I53" s="370">
        <f>IF(I43=2,I19,0)</f>
        <v>0</v>
      </c>
      <c r="J53" s="366"/>
      <c r="K53" s="669"/>
      <c r="L53" s="594" t="s">
        <v>1876</v>
      </c>
      <c r="M53" s="376"/>
    </row>
    <row r="54" spans="2:13" ht="18">
      <c r="B54" s="47"/>
      <c r="C54" s="328" t="s">
        <v>2207</v>
      </c>
      <c r="D54" s="329" t="s">
        <v>1988</v>
      </c>
      <c r="E54" s="370">
        <f>IF(E44=2,E21,0)</f>
        <v>0</v>
      </c>
      <c r="F54" s="370">
        <f>IF(F44=2,F21,0)</f>
        <v>0</v>
      </c>
      <c r="G54" s="370">
        <f>IF(G44=2,G21,0)</f>
        <v>0</v>
      </c>
      <c r="H54" s="370">
        <f>IF(H44=2,H21,0)</f>
        <v>0</v>
      </c>
      <c r="I54" s="370">
        <f>IF(I44=2,I21,0)</f>
        <v>0</v>
      </c>
      <c r="J54" s="366"/>
      <c r="K54" s="669"/>
      <c r="L54" s="594" t="s">
        <v>1884</v>
      </c>
      <c r="M54" s="376"/>
    </row>
    <row r="55" spans="2:13" ht="18">
      <c r="B55" s="47"/>
      <c r="C55" s="347"/>
      <c r="D55" s="348"/>
      <c r="E55" s="366"/>
      <c r="F55" s="366"/>
      <c r="G55" s="366"/>
      <c r="H55" s="366"/>
      <c r="I55" s="366"/>
      <c r="J55" s="366"/>
      <c r="K55" s="669"/>
      <c r="L55" s="565"/>
      <c r="M55" s="376"/>
    </row>
    <row r="56" spans="2:13" ht="18">
      <c r="B56" s="47"/>
      <c r="C56" s="334" t="s">
        <v>2207</v>
      </c>
      <c r="D56" s="335" t="s">
        <v>1775</v>
      </c>
      <c r="E56" s="370">
        <f>IF(E44=3,-E21,0)</f>
        <v>0</v>
      </c>
      <c r="F56" s="370">
        <f>IF(F44=3,-F21,0)</f>
        <v>0</v>
      </c>
      <c r="G56" s="370">
        <f>IF(G44=3,-G21,0)</f>
        <v>0</v>
      </c>
      <c r="H56" s="370">
        <f>IF(H44=3,-H21,0)</f>
        <v>0</v>
      </c>
      <c r="I56" s="370">
        <f>IF(I44=3,-I21,0)</f>
        <v>0</v>
      </c>
      <c r="J56" s="370">
        <f>SUM(E56:I56)</f>
        <v>0</v>
      </c>
      <c r="K56" s="669"/>
      <c r="L56" s="366" t="s">
        <v>1879</v>
      </c>
      <c r="M56" s="366"/>
    </row>
    <row r="57" spans="2:13" ht="18">
      <c r="B57" s="47"/>
      <c r="C57" s="328" t="s">
        <v>2208</v>
      </c>
      <c r="D57" s="329" t="s">
        <v>516</v>
      </c>
      <c r="E57" s="370">
        <f>E27</f>
        <v>0</v>
      </c>
      <c r="F57" s="370">
        <f>F27</f>
        <v>0</v>
      </c>
      <c r="G57" s="370">
        <f>G27</f>
        <v>0</v>
      </c>
      <c r="H57" s="370">
        <f>H27</f>
        <v>0</v>
      </c>
      <c r="I57" s="370">
        <f>I27</f>
        <v>0</v>
      </c>
      <c r="J57" s="370">
        <f>SUM(E57:I57)</f>
        <v>0</v>
      </c>
      <c r="K57" s="669"/>
      <c r="L57" s="366" t="s">
        <v>1880</v>
      </c>
      <c r="M57" s="366"/>
    </row>
    <row r="58" spans="2:13" ht="18">
      <c r="B58" s="47"/>
      <c r="C58" s="328" t="s">
        <v>1009</v>
      </c>
      <c r="D58" s="329" t="s">
        <v>511</v>
      </c>
      <c r="E58" s="370">
        <f>IF(E43=3,E15,0)</f>
        <v>0</v>
      </c>
      <c r="F58" s="370">
        <f>IF(F43=3,F15,0)</f>
        <v>0</v>
      </c>
      <c r="G58" s="370">
        <f>IF(G43=3,G15,0)</f>
        <v>0</v>
      </c>
      <c r="H58" s="370">
        <f>IF(H43=3,H15,0)</f>
        <v>0</v>
      </c>
      <c r="I58" s="370">
        <f>IF(I43=3,I15,0)</f>
        <v>0</v>
      </c>
      <c r="J58" s="370">
        <f>SUM(E58:I58)</f>
        <v>0</v>
      </c>
      <c r="K58" s="669"/>
      <c r="L58" s="366" t="s">
        <v>1886</v>
      </c>
      <c r="M58" s="366"/>
    </row>
    <row r="59" spans="2:13" ht="18">
      <c r="B59" s="47"/>
      <c r="C59" s="328" t="s">
        <v>1010</v>
      </c>
      <c r="D59" s="329" t="s">
        <v>767</v>
      </c>
      <c r="E59" s="370">
        <f>IF(E43=3,E19,0)</f>
        <v>0</v>
      </c>
      <c r="F59" s="370">
        <f>IF(F43=3,F19,0)</f>
        <v>0</v>
      </c>
      <c r="G59" s="370">
        <f>IF(G43=3,G19,0)</f>
        <v>0</v>
      </c>
      <c r="H59" s="370">
        <f>IF(H43=3,H19,0)</f>
        <v>0</v>
      </c>
      <c r="I59" s="370">
        <f>IF(I43=3,I19,0)</f>
        <v>0</v>
      </c>
      <c r="J59" s="370">
        <f>SUM(E59:I59)</f>
        <v>0</v>
      </c>
      <c r="K59" s="669"/>
      <c r="L59" s="366" t="s">
        <v>1885</v>
      </c>
      <c r="M59" s="366"/>
    </row>
    <row r="60" spans="2:13" ht="18">
      <c r="B60" s="47"/>
      <c r="C60" s="328" t="s">
        <v>1011</v>
      </c>
      <c r="D60" s="329" t="s">
        <v>980</v>
      </c>
      <c r="E60" s="370">
        <f>IF(E43=3,E23,0)</f>
        <v>0</v>
      </c>
      <c r="F60" s="370">
        <f>IF(F43=3,F23,0)</f>
        <v>0</v>
      </c>
      <c r="G60" s="370">
        <f>IF(G43=3,G23,0)</f>
        <v>0</v>
      </c>
      <c r="H60" s="370">
        <f>IF(H43=3,H23,0)</f>
        <v>0</v>
      </c>
      <c r="I60" s="370">
        <f>IF(I43=3,I23,0)</f>
        <v>0</v>
      </c>
      <c r="J60" s="370">
        <f>SUM(E60:I60)</f>
        <v>0</v>
      </c>
      <c r="K60" s="669"/>
      <c r="L60" s="366" t="s">
        <v>1881</v>
      </c>
      <c r="M60" s="366"/>
    </row>
    <row r="61" spans="2:13" ht="18">
      <c r="B61" s="47"/>
      <c r="C61" s="669"/>
      <c r="D61" s="329"/>
      <c r="E61" s="587"/>
      <c r="F61" s="587"/>
      <c r="G61" s="587"/>
      <c r="H61" s="587"/>
      <c r="I61" s="587"/>
      <c r="J61" s="587"/>
      <c r="K61" s="669"/>
      <c r="L61" s="366" t="s">
        <v>1882</v>
      </c>
      <c r="M61" s="366"/>
    </row>
    <row r="62" spans="2:13" ht="18">
      <c r="B62" s="47"/>
      <c r="C62" s="581" t="s">
        <v>2210</v>
      </c>
      <c r="D62" s="582"/>
      <c r="E62" s="370">
        <f>E35</f>
        <v>0</v>
      </c>
      <c r="F62" s="370">
        <f>F35</f>
        <v>0</v>
      </c>
      <c r="G62" s="370">
        <f>G35</f>
        <v>0</v>
      </c>
      <c r="H62" s="370">
        <f>H35</f>
        <v>0</v>
      </c>
      <c r="I62" s="370">
        <f>I35</f>
        <v>0</v>
      </c>
      <c r="J62" s="370">
        <f>SUM(E62:I62)</f>
        <v>0</v>
      </c>
      <c r="K62" s="669"/>
      <c r="L62" s="366" t="s">
        <v>1883</v>
      </c>
      <c r="M62" s="366"/>
    </row>
    <row r="63" spans="2:13" ht="18">
      <c r="B63" s="47"/>
      <c r="C63" s="50"/>
      <c r="D63" s="47"/>
      <c r="E63" s="52"/>
      <c r="F63" s="49"/>
      <c r="G63" s="49"/>
      <c r="H63" s="675"/>
      <c r="I63" s="49"/>
      <c r="J63" s="676"/>
      <c r="K63" s="669"/>
      <c r="L63" s="366"/>
      <c r="M63" s="366"/>
    </row>
    <row r="64" spans="2:13" ht="18">
      <c r="B64" s="47"/>
      <c r="C64" s="50"/>
      <c r="D64" s="47"/>
      <c r="E64" s="52"/>
      <c r="F64" s="49"/>
      <c r="G64" s="49"/>
      <c r="H64" s="675"/>
      <c r="I64" s="49"/>
      <c r="J64" s="676"/>
      <c r="K64" s="669"/>
      <c r="L64" s="366"/>
      <c r="M64" s="366"/>
    </row>
    <row r="65" spans="2:4" ht="15">
      <c r="B65" s="677"/>
      <c r="D65" s="56"/>
    </row>
    <row r="66" spans="2:4" ht="15">
      <c r="B66" s="677"/>
      <c r="D66" s="56"/>
    </row>
    <row r="67" spans="2:4" ht="15">
      <c r="B67" s="677"/>
      <c r="D67" s="56"/>
    </row>
    <row r="68" spans="2:4" ht="15">
      <c r="B68" s="677"/>
      <c r="D68" s="56"/>
    </row>
    <row r="69" spans="2:4" ht="15">
      <c r="B69" s="677"/>
      <c r="D69" s="56"/>
    </row>
    <row r="70" spans="2:4" ht="15">
      <c r="B70" s="677"/>
      <c r="D70" s="56"/>
    </row>
    <row r="71" spans="2:4" ht="15">
      <c r="B71" s="677"/>
      <c r="D71" s="56"/>
    </row>
    <row r="72" spans="2:4" ht="15">
      <c r="B72" s="677"/>
      <c r="D72" s="56"/>
    </row>
    <row r="73" spans="2:4" ht="15">
      <c r="B73" s="677"/>
      <c r="D73" s="56"/>
    </row>
    <row r="74" spans="2:4" ht="15">
      <c r="B74" s="677"/>
      <c r="D74" s="56"/>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hyperlinks>
    <hyperlink ref="L1:L45" location="'GO TO'!G14" display=" "/>
  </hyperlinks>
  <printOptions horizontalCentered="1"/>
  <pageMargins left="0" right="0" top="0" bottom="0" header="0.5" footer="0.5"/>
  <pageSetup fitToHeight="0" fitToWidth="1" horizontalDpi="600" verticalDpi="600" orientation="portrait" scale="58" r:id="rId3"/>
  <legacyDrawing r:id="rId2"/>
</worksheet>
</file>

<file path=xl/worksheets/sheet31.xml><?xml version="1.0" encoding="utf-8"?>
<worksheet xmlns="http://schemas.openxmlformats.org/spreadsheetml/2006/main" xmlns:r="http://schemas.openxmlformats.org/officeDocument/2006/relationships">
  <sheetPr codeName="Sheet211111111">
    <pageSetUpPr fitToPage="1"/>
  </sheetPr>
  <dimension ref="A1:IV90"/>
  <sheetViews>
    <sheetView showGridLines="0" zoomScale="70" zoomScaleNormal="70" workbookViewId="0" topLeftCell="A1">
      <selection activeCell="A2" sqref="A2"/>
    </sheetView>
  </sheetViews>
  <sheetFormatPr defaultColWidth="8.88671875" defaultRowHeight="15"/>
  <cols>
    <col min="1" max="1" width="4.5546875" style="670" customWidth="1"/>
    <col min="2" max="2" width="8.3359375" style="670" customWidth="1"/>
    <col min="3" max="3" width="34.7773437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"T4RSP-"&amp;yeartext&amp;" SLIPS DATA ENTRY FOR"</f>
        <v>T4RSP-2006 SLIPS DATA ENTRY FOR</v>
      </c>
      <c r="D1" s="34"/>
      <c r="E1" s="358" t="s">
        <v>592</v>
      </c>
      <c r="F1" s="36"/>
      <c r="G1" s="36"/>
      <c r="H1" s="37"/>
      <c r="I1" s="36"/>
      <c r="J1" s="37" t="str">
        <f>yeartext</f>
        <v>2006</v>
      </c>
      <c r="K1" s="669"/>
      <c r="L1" s="1412" t="s">
        <v>1793</v>
      </c>
    </row>
    <row r="2" spans="2:12" ht="15.75">
      <c r="B2" s="36"/>
      <c r="C2" s="36"/>
      <c r="D2" s="38"/>
      <c r="E2" s="669"/>
      <c r="F2" s="36"/>
      <c r="G2" s="36"/>
      <c r="H2" s="36"/>
      <c r="I2" s="36"/>
      <c r="J2" s="36"/>
      <c r="K2" s="669"/>
      <c r="L2" s="1270"/>
    </row>
    <row r="3" spans="2:12" ht="18">
      <c r="B3" s="39"/>
      <c r="C3" s="39" t="s">
        <v>0</v>
      </c>
      <c r="D3" s="36"/>
      <c r="E3" s="38"/>
      <c r="F3" s="36"/>
      <c r="G3" s="36"/>
      <c r="H3" s="36"/>
      <c r="I3" s="36"/>
      <c r="J3" s="36"/>
      <c r="K3" s="669"/>
      <c r="L3" s="1270"/>
    </row>
    <row r="4" spans="2:12" ht="18">
      <c r="B4" s="39"/>
      <c r="C4" s="39" t="s">
        <v>1384</v>
      </c>
      <c r="D4" s="36"/>
      <c r="E4" s="38"/>
      <c r="F4" s="36"/>
      <c r="G4" s="36"/>
      <c r="H4" s="36"/>
      <c r="I4" s="36"/>
      <c r="J4" s="36"/>
      <c r="K4" s="669"/>
      <c r="L4" s="1270"/>
    </row>
    <row r="5" spans="2:12" ht="18">
      <c r="B5" s="39"/>
      <c r="C5" s="39" t="s">
        <v>921</v>
      </c>
      <c r="D5" s="36"/>
      <c r="E5" s="38"/>
      <c r="F5" s="36"/>
      <c r="G5" s="36"/>
      <c r="H5" s="36"/>
      <c r="I5" s="36"/>
      <c r="J5" s="36"/>
      <c r="K5" s="669"/>
      <c r="L5" s="1270"/>
    </row>
    <row r="6" spans="2:12" ht="18">
      <c r="B6" s="39"/>
      <c r="C6" s="39" t="s">
        <v>922</v>
      </c>
      <c r="D6" s="36"/>
      <c r="E6" s="38"/>
      <c r="F6" s="36"/>
      <c r="G6" s="36"/>
      <c r="H6" s="36"/>
      <c r="I6" s="36"/>
      <c r="J6" s="36"/>
      <c r="K6" s="669"/>
      <c r="L6" s="1270"/>
    </row>
    <row r="7" spans="2:12" ht="18">
      <c r="B7" s="39"/>
      <c r="C7" s="39" t="s">
        <v>473</v>
      </c>
      <c r="D7" s="36"/>
      <c r="E7" s="38"/>
      <c r="F7" s="36"/>
      <c r="G7" s="36"/>
      <c r="H7" s="36"/>
      <c r="I7" s="36"/>
      <c r="J7" s="36"/>
      <c r="K7" s="669"/>
      <c r="L7" s="1270"/>
    </row>
    <row r="8" spans="2:12" ht="18">
      <c r="B8" s="39"/>
      <c r="C8" s="39" t="s">
        <v>398</v>
      </c>
      <c r="D8" s="36"/>
      <c r="E8" s="38"/>
      <c r="F8" s="36"/>
      <c r="G8" s="36"/>
      <c r="H8" s="36"/>
      <c r="I8" s="36"/>
      <c r="J8" s="36"/>
      <c r="K8" s="669"/>
      <c r="L8" s="1270"/>
    </row>
    <row r="9" spans="2:12" ht="18">
      <c r="B9" s="39"/>
      <c r="C9" s="39" t="s">
        <v>772</v>
      </c>
      <c r="D9" s="36"/>
      <c r="E9" s="38"/>
      <c r="F9" s="36"/>
      <c r="G9" s="36"/>
      <c r="H9" s="36"/>
      <c r="I9" s="36"/>
      <c r="J9" s="36"/>
      <c r="K9" s="669"/>
      <c r="L9" s="1270"/>
    </row>
    <row r="10" spans="2:12" ht="18">
      <c r="B10" s="39"/>
      <c r="C10" s="39" t="s">
        <v>581</v>
      </c>
      <c r="D10" s="36"/>
      <c r="E10" s="38"/>
      <c r="F10" s="36"/>
      <c r="G10" s="36"/>
      <c r="H10" s="36"/>
      <c r="I10" s="36"/>
      <c r="J10" s="36"/>
      <c r="K10" s="669"/>
      <c r="L10" s="1270"/>
    </row>
    <row r="11" spans="2:12" ht="18">
      <c r="B11" s="39"/>
      <c r="C11" s="39" t="s">
        <v>1826</v>
      </c>
      <c r="D11" s="36"/>
      <c r="E11" s="38"/>
      <c r="F11" s="36"/>
      <c r="G11" s="36"/>
      <c r="H11" s="36"/>
      <c r="I11" s="36"/>
      <c r="J11" s="36"/>
      <c r="K11" s="669"/>
      <c r="L11" s="1270"/>
    </row>
    <row r="12" spans="2:12" ht="18">
      <c r="B12" s="39"/>
      <c r="C12" s="39" t="s">
        <v>1530</v>
      </c>
      <c r="D12" s="36"/>
      <c r="E12" s="38"/>
      <c r="F12" s="36"/>
      <c r="G12" s="36"/>
      <c r="H12" s="36"/>
      <c r="I12" s="36"/>
      <c r="J12" s="36"/>
      <c r="K12" s="669"/>
      <c r="L12" s="1270"/>
    </row>
    <row r="13" spans="2:12" ht="23.25">
      <c r="B13" s="409"/>
      <c r="C13" s="39"/>
      <c r="D13" s="36"/>
      <c r="E13" s="406"/>
      <c r="F13" s="36"/>
      <c r="G13" s="36"/>
      <c r="H13" s="36"/>
      <c r="I13" s="36"/>
      <c r="J13" s="36"/>
      <c r="K13" s="669"/>
      <c r="L13" s="1270"/>
    </row>
    <row r="14" spans="2:12" ht="36">
      <c r="B14" s="42" t="s">
        <v>1829</v>
      </c>
      <c r="C14" s="42" t="s">
        <v>1742</v>
      </c>
      <c r="D14" s="42" t="s">
        <v>1737</v>
      </c>
      <c r="E14" s="42" t="s">
        <v>1534</v>
      </c>
      <c r="F14" s="42" t="s">
        <v>1535</v>
      </c>
      <c r="G14" s="42" t="s">
        <v>1536</v>
      </c>
      <c r="H14" s="42" t="s">
        <v>1537</v>
      </c>
      <c r="I14" s="42" t="s">
        <v>1538</v>
      </c>
      <c r="J14" s="43" t="s">
        <v>503</v>
      </c>
      <c r="K14" s="669"/>
      <c r="L14" s="1270"/>
    </row>
    <row r="15" spans="2:12" ht="18">
      <c r="B15" s="365"/>
      <c r="C15" s="365"/>
      <c r="D15" s="365"/>
      <c r="E15" s="365"/>
      <c r="F15" s="365"/>
      <c r="G15" s="365"/>
      <c r="H15" s="365"/>
      <c r="I15" s="365"/>
      <c r="J15" s="378"/>
      <c r="K15" s="669"/>
      <c r="L15" s="1270"/>
    </row>
    <row r="16" spans="2:12" ht="18">
      <c r="B16" s="47" t="s">
        <v>1612</v>
      </c>
      <c r="C16" s="363" t="s">
        <v>1031</v>
      </c>
      <c r="D16" s="349" t="s">
        <v>508</v>
      </c>
      <c r="E16" s="364"/>
      <c r="F16" s="364"/>
      <c r="G16" s="364"/>
      <c r="H16" s="364"/>
      <c r="I16" s="364"/>
      <c r="J16" s="671">
        <f>SUM(E16:I16)</f>
        <v>0</v>
      </c>
      <c r="K16" s="669"/>
      <c r="L16" s="1270"/>
    </row>
    <row r="17" spans="2:12" ht="18">
      <c r="B17" s="47"/>
      <c r="C17" s="39" t="s">
        <v>1032</v>
      </c>
      <c r="D17" s="349"/>
      <c r="E17" s="600" t="s">
        <v>399</v>
      </c>
      <c r="F17" s="600" t="s">
        <v>399</v>
      </c>
      <c r="G17" s="600" t="s">
        <v>399</v>
      </c>
      <c r="H17" s="600" t="s">
        <v>399</v>
      </c>
      <c r="I17" s="600" t="s">
        <v>399</v>
      </c>
      <c r="J17" s="671"/>
      <c r="K17" s="669"/>
      <c r="L17" s="1270"/>
    </row>
    <row r="18" spans="2:12" ht="18">
      <c r="B18" s="36"/>
      <c r="C18" s="39"/>
      <c r="D18" s="349"/>
      <c r="E18" s="38"/>
      <c r="F18" s="36"/>
      <c r="G18" s="36"/>
      <c r="H18" s="38"/>
      <c r="I18" s="36"/>
      <c r="J18" s="36"/>
      <c r="K18" s="669"/>
      <c r="L18" s="1270"/>
    </row>
    <row r="19" spans="2:12" ht="18">
      <c r="B19" s="58" t="s">
        <v>1612</v>
      </c>
      <c r="C19" s="363" t="s">
        <v>788</v>
      </c>
      <c r="D19" s="349" t="s">
        <v>511</v>
      </c>
      <c r="E19" s="364"/>
      <c r="F19" s="364"/>
      <c r="G19" s="364"/>
      <c r="H19" s="364"/>
      <c r="I19" s="364"/>
      <c r="J19" s="671">
        <f>SUM(E19:I19)</f>
        <v>0</v>
      </c>
      <c r="K19" s="669"/>
      <c r="L19" s="1270"/>
    </row>
    <row r="20" spans="2:12" ht="18">
      <c r="B20" s="34"/>
      <c r="C20" s="358"/>
      <c r="D20" s="349"/>
      <c r="E20" s="34"/>
      <c r="F20" s="34"/>
      <c r="G20" s="34"/>
      <c r="H20" s="34"/>
      <c r="I20" s="34"/>
      <c r="J20" s="34"/>
      <c r="K20" s="669"/>
      <c r="L20" s="1270"/>
    </row>
    <row r="21" spans="2:256" s="697" customFormat="1" ht="18">
      <c r="B21" s="58" t="s">
        <v>1229</v>
      </c>
      <c r="C21" s="363" t="s">
        <v>2266</v>
      </c>
      <c r="D21" s="349" t="s">
        <v>513</v>
      </c>
      <c r="E21" s="364"/>
      <c r="F21" s="364"/>
      <c r="G21" s="364"/>
      <c r="H21" s="364"/>
      <c r="I21" s="364"/>
      <c r="J21" s="671">
        <f>SUM(E21:I21)</f>
        <v>0</v>
      </c>
      <c r="K21" s="669"/>
      <c r="L21" s="1270"/>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8"/>
      <c r="GD21" s="408"/>
      <c r="GE21" s="408"/>
      <c r="GF21" s="408"/>
      <c r="GG21" s="408"/>
      <c r="GH21" s="408"/>
      <c r="GI21" s="408"/>
      <c r="GJ21" s="408"/>
      <c r="GK21" s="408"/>
      <c r="GL21" s="408"/>
      <c r="GM21" s="408"/>
      <c r="GN21" s="408"/>
      <c r="GO21" s="408"/>
      <c r="GP21" s="408"/>
      <c r="GQ21" s="408"/>
      <c r="GR21" s="408"/>
      <c r="GS21" s="408"/>
      <c r="GT21" s="408"/>
      <c r="GU21" s="408"/>
      <c r="GV21" s="408"/>
      <c r="GW21" s="408"/>
      <c r="GX21" s="408"/>
      <c r="GY21" s="408"/>
      <c r="GZ21" s="408"/>
      <c r="HA21" s="408"/>
      <c r="HB21" s="408"/>
      <c r="HC21" s="408"/>
      <c r="HD21" s="408"/>
      <c r="HE21" s="408"/>
      <c r="HF21" s="408"/>
      <c r="HG21" s="408"/>
      <c r="HH21" s="408"/>
      <c r="HI21" s="408"/>
      <c r="HJ21" s="408"/>
      <c r="HK21" s="408"/>
      <c r="HL21" s="408"/>
      <c r="HM21" s="408"/>
      <c r="HN21" s="408"/>
      <c r="HO21" s="408"/>
      <c r="HP21" s="408"/>
      <c r="HQ21" s="408"/>
      <c r="HR21" s="408"/>
      <c r="HS21" s="408"/>
      <c r="HT21" s="408"/>
      <c r="HU21" s="408"/>
      <c r="HV21" s="408"/>
      <c r="HW21" s="408"/>
      <c r="HX21" s="408"/>
      <c r="HY21" s="408"/>
      <c r="HZ21" s="408"/>
      <c r="IA21" s="408"/>
      <c r="IB21" s="408"/>
      <c r="IC21" s="408"/>
      <c r="ID21" s="408"/>
      <c r="IE21" s="408"/>
      <c r="IF21" s="408"/>
      <c r="IG21" s="408"/>
      <c r="IH21" s="408"/>
      <c r="II21" s="408"/>
      <c r="IJ21" s="408"/>
      <c r="IK21" s="408"/>
      <c r="IL21" s="408"/>
      <c r="IM21" s="408"/>
      <c r="IN21" s="408"/>
      <c r="IO21" s="408"/>
      <c r="IP21" s="408"/>
      <c r="IQ21" s="408"/>
      <c r="IR21" s="408"/>
      <c r="IS21" s="408"/>
      <c r="IT21" s="408"/>
      <c r="IU21" s="408"/>
      <c r="IV21" s="408"/>
    </row>
    <row r="22" spans="2:256" s="697" customFormat="1" ht="36">
      <c r="B22" s="962" t="s">
        <v>174</v>
      </c>
      <c r="C22" s="523" t="s">
        <v>608</v>
      </c>
      <c r="D22" s="349"/>
      <c r="E22" s="600" t="s">
        <v>399</v>
      </c>
      <c r="F22" s="600" t="s">
        <v>399</v>
      </c>
      <c r="G22" s="600" t="s">
        <v>399</v>
      </c>
      <c r="H22" s="600" t="s">
        <v>399</v>
      </c>
      <c r="I22" s="600" t="s">
        <v>399</v>
      </c>
      <c r="J22" s="36"/>
      <c r="K22" s="669"/>
      <c r="L22" s="1270"/>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c r="DV22" s="408"/>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8"/>
      <c r="FO22" s="408"/>
      <c r="FP22" s="408"/>
      <c r="FQ22" s="408"/>
      <c r="FR22" s="408"/>
      <c r="FS22" s="408"/>
      <c r="FT22" s="408"/>
      <c r="FU22" s="408"/>
      <c r="FV22" s="408"/>
      <c r="FW22" s="408"/>
      <c r="FX22" s="408"/>
      <c r="FY22" s="408"/>
      <c r="FZ22" s="408"/>
      <c r="GA22" s="408"/>
      <c r="GB22" s="408"/>
      <c r="GC22" s="408"/>
      <c r="GD22" s="408"/>
      <c r="GE22" s="408"/>
      <c r="GF22" s="408"/>
      <c r="GG22" s="408"/>
      <c r="GH22" s="408"/>
      <c r="GI22" s="408"/>
      <c r="GJ22" s="408"/>
      <c r="GK22" s="408"/>
      <c r="GL22" s="408"/>
      <c r="GM22" s="408"/>
      <c r="GN22" s="408"/>
      <c r="GO22" s="408"/>
      <c r="GP22" s="408"/>
      <c r="GQ22" s="408"/>
      <c r="GR22" s="408"/>
      <c r="GS22" s="408"/>
      <c r="GT22" s="408"/>
      <c r="GU22" s="408"/>
      <c r="GV22" s="408"/>
      <c r="GW22" s="408"/>
      <c r="GX22" s="408"/>
      <c r="GY22" s="408"/>
      <c r="GZ22" s="408"/>
      <c r="HA22" s="408"/>
      <c r="HB22" s="408"/>
      <c r="HC22" s="408"/>
      <c r="HD22" s="408"/>
      <c r="HE22" s="408"/>
      <c r="HF22" s="408"/>
      <c r="HG22" s="408"/>
      <c r="HH22" s="408"/>
      <c r="HI22" s="408"/>
      <c r="HJ22" s="408"/>
      <c r="HK22" s="408"/>
      <c r="HL22" s="408"/>
      <c r="HM22" s="408"/>
      <c r="HN22" s="408"/>
      <c r="HO22" s="408"/>
      <c r="HP22" s="408"/>
      <c r="HQ22" s="408"/>
      <c r="HR22" s="408"/>
      <c r="HS22" s="408"/>
      <c r="HT22" s="408"/>
      <c r="HU22" s="408"/>
      <c r="HV22" s="408"/>
      <c r="HW22" s="408"/>
      <c r="HX22" s="408"/>
      <c r="HY22" s="408"/>
      <c r="HZ22" s="408"/>
      <c r="IA22" s="408"/>
      <c r="IB22" s="408"/>
      <c r="IC22" s="408"/>
      <c r="ID22" s="408"/>
      <c r="IE22" s="408"/>
      <c r="IF22" s="408"/>
      <c r="IG22" s="408"/>
      <c r="IH22" s="408"/>
      <c r="II22" s="408"/>
      <c r="IJ22" s="408"/>
      <c r="IK22" s="408"/>
      <c r="IL22" s="408"/>
      <c r="IM22" s="408"/>
      <c r="IN22" s="408"/>
      <c r="IO22" s="408"/>
      <c r="IP22" s="408"/>
      <c r="IQ22" s="408"/>
      <c r="IR22" s="408"/>
      <c r="IS22" s="408"/>
      <c r="IT22" s="408"/>
      <c r="IU22" s="408"/>
      <c r="IV22" s="408"/>
    </row>
    <row r="23" spans="2:12" ht="18">
      <c r="B23" s="379"/>
      <c r="C23" s="39"/>
      <c r="D23" s="349"/>
      <c r="E23" s="34"/>
      <c r="F23" s="36"/>
      <c r="G23" s="36"/>
      <c r="H23" s="36"/>
      <c r="I23" s="36"/>
      <c r="J23" s="36"/>
      <c r="K23" s="669"/>
      <c r="L23" s="1270"/>
    </row>
    <row r="24" spans="2:12" ht="18">
      <c r="B24" s="58" t="s">
        <v>1612</v>
      </c>
      <c r="C24" s="363" t="s">
        <v>1230</v>
      </c>
      <c r="D24" s="349" t="s">
        <v>515</v>
      </c>
      <c r="E24" s="364"/>
      <c r="F24" s="364"/>
      <c r="G24" s="364"/>
      <c r="H24" s="364"/>
      <c r="I24" s="364"/>
      <c r="J24" s="671">
        <f>SUM(E24:I24)</f>
        <v>0</v>
      </c>
      <c r="K24" s="669"/>
      <c r="L24" s="1270"/>
    </row>
    <row r="25" spans="2:12" ht="18">
      <c r="B25" s="377" t="s">
        <v>450</v>
      </c>
      <c r="C25" s="363" t="s">
        <v>1231</v>
      </c>
      <c r="D25" s="349"/>
      <c r="E25" s="34"/>
      <c r="F25" s="36"/>
      <c r="G25" s="36"/>
      <c r="H25" s="36"/>
      <c r="I25" s="36"/>
      <c r="J25" s="36"/>
      <c r="K25" s="669"/>
      <c r="L25" s="1270"/>
    </row>
    <row r="26" spans="2:12" ht="18">
      <c r="B26" s="58"/>
      <c r="C26" s="363" t="s">
        <v>761</v>
      </c>
      <c r="D26" s="349" t="s">
        <v>1635</v>
      </c>
      <c r="E26" s="1229" t="s">
        <v>399</v>
      </c>
      <c r="F26" s="1229" t="s">
        <v>399</v>
      </c>
      <c r="G26" s="1229" t="s">
        <v>399</v>
      </c>
      <c r="H26" s="1229" t="s">
        <v>399</v>
      </c>
      <c r="I26" s="1229" t="s">
        <v>399</v>
      </c>
      <c r="J26" s="36"/>
      <c r="K26" s="669"/>
      <c r="L26" s="1270"/>
    </row>
    <row r="27" spans="2:12" ht="18">
      <c r="B27" s="377"/>
      <c r="C27" s="363" t="s">
        <v>762</v>
      </c>
      <c r="D27" s="349"/>
      <c r="E27" s="34"/>
      <c r="F27" s="36"/>
      <c r="G27" s="36"/>
      <c r="H27" s="36"/>
      <c r="I27" s="36"/>
      <c r="J27" s="36"/>
      <c r="K27" s="669"/>
      <c r="L27" s="1270"/>
    </row>
    <row r="28" spans="2:12" ht="18">
      <c r="B28" s="47" t="s">
        <v>510</v>
      </c>
      <c r="C28" s="363" t="s">
        <v>2102</v>
      </c>
      <c r="D28" s="349" t="s">
        <v>1349</v>
      </c>
      <c r="E28" s="364"/>
      <c r="F28" s="364"/>
      <c r="G28" s="364"/>
      <c r="H28" s="364"/>
      <c r="I28" s="364"/>
      <c r="J28" s="671">
        <f>SUM(E28:I28)</f>
        <v>0</v>
      </c>
      <c r="K28" s="669"/>
      <c r="L28" s="1270"/>
    </row>
    <row r="29" spans="2:12" ht="18">
      <c r="B29" s="36"/>
      <c r="C29" s="39"/>
      <c r="D29" s="363"/>
      <c r="E29" s="38"/>
      <c r="F29" s="36"/>
      <c r="G29" s="36"/>
      <c r="H29" s="36"/>
      <c r="I29" s="36"/>
      <c r="J29" s="36"/>
      <c r="K29" s="669"/>
      <c r="L29" s="1270"/>
    </row>
    <row r="30" spans="2:12" ht="18">
      <c r="B30" s="47" t="s">
        <v>1612</v>
      </c>
      <c r="C30" s="363" t="s">
        <v>1226</v>
      </c>
      <c r="D30" s="349" t="s">
        <v>1637</v>
      </c>
      <c r="E30" s="364"/>
      <c r="F30" s="364"/>
      <c r="G30" s="364"/>
      <c r="H30" s="364"/>
      <c r="I30" s="364"/>
      <c r="J30" s="671">
        <f>SUM(E30:I30)</f>
        <v>0</v>
      </c>
      <c r="K30" s="669"/>
      <c r="L30" s="1270"/>
    </row>
    <row r="31" spans="2:12" ht="25.5" customHeight="1">
      <c r="B31" s="521" t="s">
        <v>450</v>
      </c>
      <c r="C31" s="522" t="s">
        <v>1227</v>
      </c>
      <c r="D31" s="349"/>
      <c r="E31" s="38"/>
      <c r="F31" s="36"/>
      <c r="G31" s="36"/>
      <c r="H31" s="38"/>
      <c r="I31" s="36"/>
      <c r="J31" s="36"/>
      <c r="K31" s="669"/>
      <c r="L31" s="1270"/>
    </row>
    <row r="32" spans="2:12" ht="25.5" customHeight="1">
      <c r="B32" s="763" t="s">
        <v>1223</v>
      </c>
      <c r="C32" s="363" t="s">
        <v>2101</v>
      </c>
      <c r="D32" s="349" t="s">
        <v>1350</v>
      </c>
      <c r="E32" s="364"/>
      <c r="F32" s="364"/>
      <c r="G32" s="364"/>
      <c r="H32" s="364"/>
      <c r="I32" s="364"/>
      <c r="J32" s="671">
        <f>SUM(E32:I32)</f>
        <v>0</v>
      </c>
      <c r="K32" s="669"/>
      <c r="L32" s="1270"/>
    </row>
    <row r="33" spans="2:12" ht="25.5" customHeight="1">
      <c r="B33" s="521"/>
      <c r="C33" s="522"/>
      <c r="D33" s="349"/>
      <c r="E33" s="38"/>
      <c r="F33" s="36"/>
      <c r="G33" s="36"/>
      <c r="H33" s="38"/>
      <c r="I33" s="36"/>
      <c r="J33" s="36"/>
      <c r="K33" s="669"/>
      <c r="L33" s="1270"/>
    </row>
    <row r="34" spans="2:12" ht="18">
      <c r="B34" s="58" t="s">
        <v>1229</v>
      </c>
      <c r="C34" s="363" t="s">
        <v>1228</v>
      </c>
      <c r="D34" s="349" t="s">
        <v>1351</v>
      </c>
      <c r="E34" s="364"/>
      <c r="F34" s="364"/>
      <c r="G34" s="364"/>
      <c r="H34" s="364"/>
      <c r="I34" s="364"/>
      <c r="J34" s="671">
        <f>SUM(E34:I34)</f>
        <v>0</v>
      </c>
      <c r="K34" s="669"/>
      <c r="L34" s="1270"/>
    </row>
    <row r="35" spans="2:12" ht="18">
      <c r="B35" s="34"/>
      <c r="C35" s="358"/>
      <c r="D35" s="349"/>
      <c r="E35" s="34"/>
      <c r="F35" s="34"/>
      <c r="G35" s="34"/>
      <c r="H35" s="34"/>
      <c r="I35" s="34"/>
      <c r="J35" s="34"/>
      <c r="K35" s="669"/>
      <c r="L35" s="1270"/>
    </row>
    <row r="36" spans="2:12" ht="18">
      <c r="B36" s="58" t="s">
        <v>516</v>
      </c>
      <c r="C36" s="363" t="s">
        <v>1828</v>
      </c>
      <c r="D36" s="349" t="s">
        <v>1920</v>
      </c>
      <c r="E36" s="364"/>
      <c r="F36" s="364"/>
      <c r="G36" s="364"/>
      <c r="H36" s="364"/>
      <c r="I36" s="364"/>
      <c r="J36" s="671">
        <f>SUM(E36:I36)</f>
        <v>0</v>
      </c>
      <c r="K36" s="669"/>
      <c r="L36" s="1270"/>
    </row>
    <row r="37" spans="2:12" ht="18">
      <c r="B37" s="36"/>
      <c r="C37" s="39"/>
      <c r="D37" s="349"/>
      <c r="E37" s="34"/>
      <c r="F37" s="34"/>
      <c r="G37" s="34"/>
      <c r="H37" s="34"/>
      <c r="I37" s="34"/>
      <c r="J37" s="36"/>
      <c r="K37" s="669"/>
      <c r="L37" s="1270"/>
    </row>
    <row r="38" spans="2:12" ht="18">
      <c r="B38" s="47" t="s">
        <v>1612</v>
      </c>
      <c r="C38" s="363" t="s">
        <v>1226</v>
      </c>
      <c r="D38" s="349" t="s">
        <v>1914</v>
      </c>
      <c r="E38" s="364"/>
      <c r="F38" s="364"/>
      <c r="G38" s="364"/>
      <c r="H38" s="364"/>
      <c r="I38" s="364"/>
      <c r="J38" s="671">
        <f>SUM(E38:I38)</f>
        <v>0</v>
      </c>
      <c r="K38" s="669"/>
      <c r="L38" s="1270"/>
    </row>
    <row r="39" spans="2:12" ht="24" customHeight="1">
      <c r="B39" s="36"/>
      <c r="C39" s="522" t="s">
        <v>1888</v>
      </c>
      <c r="D39" s="363"/>
      <c r="E39" s="34"/>
      <c r="F39" s="36"/>
      <c r="G39" s="36"/>
      <c r="H39" s="36"/>
      <c r="I39" s="36"/>
      <c r="J39" s="36"/>
      <c r="K39" s="669"/>
      <c r="L39" s="1270"/>
    </row>
    <row r="40" spans="2:12" ht="24" customHeight="1">
      <c r="B40" s="36"/>
      <c r="C40" s="1416" t="s">
        <v>2103</v>
      </c>
      <c r="D40" s="349">
        <v>35</v>
      </c>
      <c r="E40" s="364"/>
      <c r="F40" s="364"/>
      <c r="G40" s="364"/>
      <c r="H40" s="364"/>
      <c r="I40" s="364"/>
      <c r="J40" s="671">
        <f>SUM(E40:I40)</f>
        <v>0</v>
      </c>
      <c r="K40" s="669"/>
      <c r="L40" s="1270"/>
    </row>
    <row r="41" spans="2:12" ht="24" customHeight="1">
      <c r="B41" s="36"/>
      <c r="C41" s="1416"/>
      <c r="D41" s="363"/>
      <c r="E41" s="34"/>
      <c r="F41" s="36"/>
      <c r="G41" s="36"/>
      <c r="H41" s="36"/>
      <c r="I41" s="36"/>
      <c r="J41" s="36"/>
      <c r="K41" s="669"/>
      <c r="L41" s="1270"/>
    </row>
    <row r="42" spans="2:12" ht="18">
      <c r="B42" s="58"/>
      <c r="C42" s="363" t="s">
        <v>2169</v>
      </c>
      <c r="D42" s="349" t="s">
        <v>1919</v>
      </c>
      <c r="E42" s="520"/>
      <c r="F42" s="520"/>
      <c r="G42" s="520"/>
      <c r="H42" s="520"/>
      <c r="I42" s="520"/>
      <c r="J42" s="36"/>
      <c r="K42" s="669"/>
      <c r="L42" s="1270"/>
    </row>
    <row r="43" spans="2:12" ht="18">
      <c r="B43" s="36"/>
      <c r="C43" s="39"/>
      <c r="D43" s="349"/>
      <c r="E43" s="34"/>
      <c r="F43" s="36"/>
      <c r="G43" s="36"/>
      <c r="H43" s="36"/>
      <c r="I43" s="36"/>
      <c r="J43" s="36"/>
      <c r="K43" s="669"/>
      <c r="L43" s="1270"/>
    </row>
    <row r="44" spans="2:12" ht="18">
      <c r="B44" s="47"/>
      <c r="C44" s="363" t="s">
        <v>1840</v>
      </c>
      <c r="D44" s="349" t="s">
        <v>2173</v>
      </c>
      <c r="E44" s="364"/>
      <c r="F44" s="364"/>
      <c r="G44" s="364"/>
      <c r="H44" s="364"/>
      <c r="I44" s="364"/>
      <c r="J44" s="671">
        <f>SUM(E44:I44)</f>
        <v>0</v>
      </c>
      <c r="K44" s="669"/>
      <c r="L44" s="1270"/>
    </row>
    <row r="45" spans="2:12" ht="18">
      <c r="B45" s="39"/>
      <c r="C45" s="39"/>
      <c r="D45" s="36"/>
      <c r="E45" s="34"/>
      <c r="F45" s="36"/>
      <c r="G45" s="36"/>
      <c r="H45" s="36"/>
      <c r="I45" s="36"/>
      <c r="J45" s="36"/>
      <c r="K45" s="669"/>
      <c r="L45" s="1270"/>
    </row>
    <row r="46" spans="2:12" ht="18">
      <c r="B46" s="39"/>
      <c r="C46" s="39"/>
      <c r="D46" s="36"/>
      <c r="E46" s="38"/>
      <c r="F46" s="36"/>
      <c r="G46" s="36"/>
      <c r="H46" s="36"/>
      <c r="I46" s="36"/>
      <c r="J46" s="36"/>
      <c r="K46" s="669"/>
      <c r="L46" s="1270"/>
    </row>
    <row r="47" spans="2:12" ht="18">
      <c r="B47" s="39"/>
      <c r="C47" s="39"/>
      <c r="D47" s="36"/>
      <c r="E47" s="38"/>
      <c r="F47" s="36"/>
      <c r="G47" s="36"/>
      <c r="H47" s="36"/>
      <c r="I47" s="36"/>
      <c r="J47" s="36"/>
      <c r="K47" s="669"/>
      <c r="L47" s="1270"/>
    </row>
    <row r="48" spans="2:12" ht="18.75" thickBot="1">
      <c r="B48" s="330"/>
      <c r="C48" s="331"/>
      <c r="D48" s="330"/>
      <c r="E48" s="332"/>
      <c r="F48" s="333"/>
      <c r="G48" s="333"/>
      <c r="H48" s="672"/>
      <c r="I48" s="333"/>
      <c r="J48" s="673"/>
      <c r="K48" s="674"/>
      <c r="L48" s="1270"/>
    </row>
    <row r="49" spans="2:12" ht="18">
      <c r="B49" s="47"/>
      <c r="C49" s="34" t="str">
        <f>"T4RSP-"&amp;yeartext&amp;" GENERAL DATA SUMMARY"</f>
        <v>T4RSP-2006 GENERAL DATA SUMMARY</v>
      </c>
      <c r="D49" s="34"/>
      <c r="E49" s="358" t="s">
        <v>592</v>
      </c>
      <c r="F49" s="36"/>
      <c r="G49" s="36"/>
      <c r="H49" s="37"/>
      <c r="I49" s="36"/>
      <c r="J49" s="37" t="str">
        <f>yeartext</f>
        <v>2006</v>
      </c>
      <c r="K49" s="669"/>
      <c r="L49" s="376"/>
    </row>
    <row r="50" spans="2:12" ht="18">
      <c r="B50" s="47"/>
      <c r="C50" s="34"/>
      <c r="D50" s="34"/>
      <c r="E50" s="358"/>
      <c r="F50" s="36"/>
      <c r="G50" s="36"/>
      <c r="H50" s="37"/>
      <c r="I50" s="36"/>
      <c r="J50" s="37"/>
      <c r="K50" s="669"/>
      <c r="L50" s="376"/>
    </row>
    <row r="51" spans="2:12" ht="18">
      <c r="B51" s="47"/>
      <c r="C51" s="34" t="s">
        <v>114</v>
      </c>
      <c r="D51" s="34"/>
      <c r="E51" s="598">
        <f>IF(OR(E26="Yes",AND(E42&gt;0,E42='T1 GEN-1'!$T$26)),2,1)</f>
        <v>1</v>
      </c>
      <c r="F51" s="598">
        <f>IF(OR(F26="Yes",AND(F42&gt;0,F42='T1 GEN-1'!$T$26)),2,1)</f>
        <v>1</v>
      </c>
      <c r="G51" s="598">
        <f>IF(OR(G26="Yes",AND(G42&gt;0,G42='T1 GEN-1'!$T$26)),2,1)</f>
        <v>1</v>
      </c>
      <c r="H51" s="598">
        <f>IF(OR(H26="Yes",AND(H42&gt;0,H42='T1 GEN-1'!$T$26)),2,1)</f>
        <v>1</v>
      </c>
      <c r="I51" s="598">
        <f>IF(OR(I26="Yes",AND(I42&gt;0,I42='T1 GEN-1'!$T$26)),2,1)</f>
        <v>1</v>
      </c>
      <c r="J51" s="37"/>
      <c r="K51" s="669"/>
      <c r="L51" s="376"/>
    </row>
    <row r="52" spans="2:12" ht="18">
      <c r="B52" s="47"/>
      <c r="C52" s="50" t="s">
        <v>116</v>
      </c>
      <c r="D52" s="47"/>
      <c r="E52" s="599">
        <f>IF(OR(age&gt;=65,E17="Yes"),2,1)</f>
        <v>1</v>
      </c>
      <c r="F52" s="599">
        <f>IF(OR(age&gt;=65,F17="Yes"),2,1)</f>
        <v>1</v>
      </c>
      <c r="G52" s="599">
        <f>IF(OR(age&gt;=65,G17="Yes"),2,1)</f>
        <v>1</v>
      </c>
      <c r="H52" s="599">
        <f>IF(OR(age&gt;=65,H17="Yes"),2,1)</f>
        <v>1</v>
      </c>
      <c r="I52" s="599">
        <f>IF(OR(age&gt;=65,I17="Yes"),2,1)</f>
        <v>1</v>
      </c>
      <c r="J52" s="676"/>
      <c r="K52" s="669"/>
      <c r="L52" s="376"/>
    </row>
    <row r="53" spans="2:12" ht="36">
      <c r="B53" s="47"/>
      <c r="C53" s="42" t="s">
        <v>1238</v>
      </c>
      <c r="D53" s="42" t="s">
        <v>1829</v>
      </c>
      <c r="E53" s="588" t="s">
        <v>1239</v>
      </c>
      <c r="F53" s="588" t="s">
        <v>1240</v>
      </c>
      <c r="G53" s="588" t="s">
        <v>1241</v>
      </c>
      <c r="H53" s="588" t="s">
        <v>1242</v>
      </c>
      <c r="I53" s="588" t="s">
        <v>2000</v>
      </c>
      <c r="J53" s="42" t="s">
        <v>1211</v>
      </c>
      <c r="K53" s="669"/>
      <c r="L53" s="376"/>
    </row>
    <row r="54" spans="2:12" ht="18">
      <c r="B54" s="47"/>
      <c r="C54" s="328" t="s">
        <v>869</v>
      </c>
      <c r="D54" s="411" t="s">
        <v>208</v>
      </c>
      <c r="E54" s="682">
        <f>IF(E52=2,E16,0)</f>
        <v>0</v>
      </c>
      <c r="F54" s="682">
        <f>IF(F52=2,F16,0)</f>
        <v>0</v>
      </c>
      <c r="G54" s="682">
        <f>IF(G52=2,G16,0)</f>
        <v>0</v>
      </c>
      <c r="H54" s="682">
        <f>IF(H52=2,H16,0)</f>
        <v>0</v>
      </c>
      <c r="I54" s="682">
        <f>IF(I52=2,I16,0)</f>
        <v>0</v>
      </c>
      <c r="J54" s="370">
        <f>SUM(E54:I54)</f>
        <v>0</v>
      </c>
      <c r="K54" s="669"/>
      <c r="L54" s="376"/>
    </row>
    <row r="55" spans="2:12" ht="18">
      <c r="B55" s="47"/>
      <c r="C55" s="328"/>
      <c r="D55" s="411"/>
      <c r="E55" s="698"/>
      <c r="F55" s="698"/>
      <c r="G55" s="698"/>
      <c r="H55" s="698"/>
      <c r="I55" s="698"/>
      <c r="J55" s="366"/>
      <c r="K55" s="669"/>
      <c r="L55" s="376"/>
    </row>
    <row r="56" spans="2:12" ht="18">
      <c r="B56" s="47"/>
      <c r="C56" s="328" t="s">
        <v>336</v>
      </c>
      <c r="D56" s="329" t="s">
        <v>1612</v>
      </c>
      <c r="E56" s="370">
        <f>E16</f>
        <v>0</v>
      </c>
      <c r="F56" s="370">
        <f>F16</f>
        <v>0</v>
      </c>
      <c r="G56" s="370">
        <f>G16</f>
        <v>0</v>
      </c>
      <c r="H56" s="370">
        <f>H16</f>
        <v>0</v>
      </c>
      <c r="I56" s="370">
        <f>I16</f>
        <v>0</v>
      </c>
      <c r="J56" s="366"/>
      <c r="K56" s="669"/>
      <c r="L56" s="376"/>
    </row>
    <row r="57" spans="2:12" ht="18">
      <c r="B57" s="47"/>
      <c r="C57" s="328" t="s">
        <v>141</v>
      </c>
      <c r="D57" s="329" t="s">
        <v>1612</v>
      </c>
      <c r="E57" s="370">
        <f>E19</f>
        <v>0</v>
      </c>
      <c r="F57" s="370">
        <f>F19</f>
        <v>0</v>
      </c>
      <c r="G57" s="370">
        <f>G19</f>
        <v>0</v>
      </c>
      <c r="H57" s="370">
        <f>H19</f>
        <v>0</v>
      </c>
      <c r="I57" s="370">
        <f>I19</f>
        <v>0</v>
      </c>
      <c r="J57" s="366"/>
      <c r="K57" s="669"/>
      <c r="L57" s="376"/>
    </row>
    <row r="58" spans="2:12" ht="18">
      <c r="B58" s="47"/>
      <c r="C58" s="328" t="s">
        <v>337</v>
      </c>
      <c r="D58" s="329" t="s">
        <v>1612</v>
      </c>
      <c r="E58" s="370">
        <f>IF(E51=1,E21,0)</f>
        <v>0</v>
      </c>
      <c r="F58" s="370">
        <f>IF(F51=1,F21,0)</f>
        <v>0</v>
      </c>
      <c r="G58" s="370">
        <f>IF(G51=1,G21,0)</f>
        <v>0</v>
      </c>
      <c r="H58" s="370">
        <f>IF(H51=1,H21,0)</f>
        <v>0</v>
      </c>
      <c r="I58" s="370">
        <f>IF(I51=1,I21,0)</f>
        <v>0</v>
      </c>
      <c r="J58" s="366"/>
      <c r="K58" s="669"/>
      <c r="L58" s="376"/>
    </row>
    <row r="59" spans="2:12" ht="18">
      <c r="B59" s="47"/>
      <c r="C59" s="328" t="s">
        <v>2207</v>
      </c>
      <c r="D59" s="329" t="s">
        <v>1612</v>
      </c>
      <c r="E59" s="370">
        <f>IF(E51=1,E24,0)</f>
        <v>0</v>
      </c>
      <c r="F59" s="370">
        <f>IF(F51=1,F24,0)</f>
        <v>0</v>
      </c>
      <c r="G59" s="370">
        <f>IF(G51=1,G24,0)</f>
        <v>0</v>
      </c>
      <c r="H59" s="370">
        <f>IF(H51=1,H24,0)</f>
        <v>0</v>
      </c>
      <c r="I59" s="370">
        <f>IF(I51=1,I24,0)</f>
        <v>0</v>
      </c>
      <c r="J59" s="370">
        <f>SUM(E56:I62)</f>
        <v>0</v>
      </c>
      <c r="K59" s="669"/>
      <c r="L59" s="376"/>
    </row>
    <row r="60" spans="2:12" ht="18">
      <c r="B60" s="47"/>
      <c r="C60" s="328" t="s">
        <v>1952</v>
      </c>
      <c r="D60" s="329" t="s">
        <v>1612</v>
      </c>
      <c r="E60" s="370">
        <f>IF(E51=1,E30,0)</f>
        <v>0</v>
      </c>
      <c r="F60" s="370">
        <f>IF(F51=1,F30,0)</f>
        <v>0</v>
      </c>
      <c r="G60" s="370">
        <f>IF(G51=1,G30,0)</f>
        <v>0</v>
      </c>
      <c r="H60" s="370">
        <f>IF(H51=1,H30,0)</f>
        <v>0</v>
      </c>
      <c r="I60" s="370">
        <f>IF(I51=1,I30,0)</f>
        <v>0</v>
      </c>
      <c r="J60" s="366"/>
      <c r="K60" s="669"/>
      <c r="L60" s="376" t="s">
        <v>1867</v>
      </c>
    </row>
    <row r="61" spans="2:12" ht="18">
      <c r="B61" s="47"/>
      <c r="C61" s="328" t="s">
        <v>1891</v>
      </c>
      <c r="D61" s="329" t="s">
        <v>1612</v>
      </c>
      <c r="E61" s="370">
        <f>MAX(E34,0)</f>
        <v>0</v>
      </c>
      <c r="F61" s="370">
        <f>MAX(F34,0)</f>
        <v>0</v>
      </c>
      <c r="G61" s="370">
        <f>MAX(G34,0)</f>
        <v>0</v>
      </c>
      <c r="H61" s="370">
        <f>MAX(H34,0)</f>
        <v>0</v>
      </c>
      <c r="I61" s="370">
        <f>MAX(I34,0)</f>
        <v>0</v>
      </c>
      <c r="J61" s="366"/>
      <c r="K61" s="669"/>
      <c r="L61" s="764" t="s">
        <v>1868</v>
      </c>
    </row>
    <row r="62" spans="2:12" ht="18">
      <c r="B62" s="47"/>
      <c r="C62" s="328" t="s">
        <v>1890</v>
      </c>
      <c r="D62" s="329" t="s">
        <v>1612</v>
      </c>
      <c r="E62" s="370">
        <f>E38</f>
        <v>0</v>
      </c>
      <c r="F62" s="370">
        <f>F38</f>
        <v>0</v>
      </c>
      <c r="G62" s="370">
        <f>G38</f>
        <v>0</v>
      </c>
      <c r="H62" s="370">
        <f>H38</f>
        <v>0</v>
      </c>
      <c r="I62" s="370">
        <f>I38</f>
        <v>0</v>
      </c>
      <c r="J62" s="366"/>
      <c r="K62" s="669"/>
      <c r="L62" s="376" t="s">
        <v>1869</v>
      </c>
    </row>
    <row r="63" spans="2:12" ht="18">
      <c r="B63" s="47"/>
      <c r="C63" s="328"/>
      <c r="D63" s="329"/>
      <c r="E63" s="698"/>
      <c r="F63" s="698"/>
      <c r="G63" s="698"/>
      <c r="H63" s="698"/>
      <c r="I63" s="698"/>
      <c r="J63" s="698"/>
      <c r="K63" s="669"/>
      <c r="L63" s="376" t="s">
        <v>1870</v>
      </c>
    </row>
    <row r="64" spans="2:12" ht="18">
      <c r="B64" s="47"/>
      <c r="C64" s="328" t="s">
        <v>868</v>
      </c>
      <c r="D64" s="329" t="s">
        <v>1775</v>
      </c>
      <c r="E64" s="370">
        <f>IF(E22="Yes",E21,0)</f>
        <v>0</v>
      </c>
      <c r="F64" s="370">
        <f>IF(F22="Yes",F21,0)</f>
        <v>0</v>
      </c>
      <c r="G64" s="370">
        <f>IF(G22="Yes",G21,0)</f>
        <v>0</v>
      </c>
      <c r="H64" s="370">
        <f>IF(H22="Yes",H21,0)</f>
        <v>0</v>
      </c>
      <c r="I64" s="370">
        <f>IF(I22="Yes",I21,0)</f>
        <v>0</v>
      </c>
      <c r="J64" s="370">
        <f>SUM(E64:I65)</f>
        <v>0</v>
      </c>
      <c r="K64" s="669"/>
      <c r="L64" s="376" t="s">
        <v>1871</v>
      </c>
    </row>
    <row r="65" spans="2:12" ht="18">
      <c r="B65" s="47"/>
      <c r="C65" s="328" t="s">
        <v>1892</v>
      </c>
      <c r="D65" s="329" t="s">
        <v>1775</v>
      </c>
      <c r="E65" s="370">
        <f>-MIN(0,E34)</f>
        <v>0</v>
      </c>
      <c r="F65" s="370">
        <f>-MIN(0,F34)</f>
        <v>0</v>
      </c>
      <c r="G65" s="370">
        <f>-MIN(0,G34)</f>
        <v>0</v>
      </c>
      <c r="H65" s="370">
        <f>-MIN(0,H34)</f>
        <v>0</v>
      </c>
      <c r="I65" s="370">
        <f>-MIN(0,I34)</f>
        <v>0</v>
      </c>
      <c r="J65" s="366"/>
      <c r="K65" s="669"/>
      <c r="L65" s="376" t="s">
        <v>1872</v>
      </c>
    </row>
    <row r="66" spans="2:12" ht="18">
      <c r="B66" s="47"/>
      <c r="C66" s="328"/>
      <c r="D66" s="329"/>
      <c r="E66" s="698"/>
      <c r="F66" s="698"/>
      <c r="G66" s="698"/>
      <c r="H66" s="698"/>
      <c r="I66" s="698"/>
      <c r="J66" s="698"/>
      <c r="K66" s="669"/>
      <c r="L66" s="376" t="s">
        <v>1875</v>
      </c>
    </row>
    <row r="67" spans="2:12" ht="18">
      <c r="B67" s="47"/>
      <c r="C67" s="328" t="s">
        <v>389</v>
      </c>
      <c r="D67" s="329" t="s">
        <v>516</v>
      </c>
      <c r="E67" s="682">
        <f>E36</f>
        <v>0</v>
      </c>
      <c r="F67" s="682">
        <f>F36</f>
        <v>0</v>
      </c>
      <c r="G67" s="682">
        <f>G36</f>
        <v>0</v>
      </c>
      <c r="H67" s="682">
        <f>H36</f>
        <v>0</v>
      </c>
      <c r="I67" s="682">
        <f>I36</f>
        <v>0</v>
      </c>
      <c r="J67" s="682">
        <f>SUM(E67:I67)</f>
        <v>0</v>
      </c>
      <c r="K67" s="669"/>
      <c r="L67" s="376" t="s">
        <v>1044</v>
      </c>
    </row>
    <row r="68" spans="2:12" ht="18">
      <c r="B68" s="47"/>
      <c r="C68" s="328"/>
      <c r="D68" s="329"/>
      <c r="E68" s="698"/>
      <c r="F68" s="698"/>
      <c r="G68" s="698"/>
      <c r="H68" s="698"/>
      <c r="I68" s="698"/>
      <c r="J68" s="698"/>
      <c r="K68" s="669"/>
      <c r="L68" s="376" t="s">
        <v>1876</v>
      </c>
    </row>
    <row r="69" spans="2:12" ht="18">
      <c r="B69" s="47"/>
      <c r="C69" s="328" t="s">
        <v>1816</v>
      </c>
      <c r="D69" s="329" t="s">
        <v>1223</v>
      </c>
      <c r="E69" s="370">
        <f>E32</f>
        <v>0</v>
      </c>
      <c r="F69" s="370">
        <f>F32</f>
        <v>0</v>
      </c>
      <c r="G69" s="370">
        <f>G32</f>
        <v>0</v>
      </c>
      <c r="H69" s="370">
        <f>H32</f>
        <v>0</v>
      </c>
      <c r="I69" s="370">
        <f>I32</f>
        <v>0</v>
      </c>
      <c r="J69" s="682">
        <f>SUM(E69:I69)</f>
        <v>0</v>
      </c>
      <c r="K69" s="669"/>
      <c r="L69" s="376"/>
    </row>
    <row r="70" spans="2:12" ht="18">
      <c r="B70" s="47"/>
      <c r="C70" s="328" t="s">
        <v>1816</v>
      </c>
      <c r="D70" s="329" t="s">
        <v>510</v>
      </c>
      <c r="E70" s="370">
        <f>E28</f>
        <v>0</v>
      </c>
      <c r="F70" s="370">
        <f>F28</f>
        <v>0</v>
      </c>
      <c r="G70" s="370">
        <f>G28</f>
        <v>0</v>
      </c>
      <c r="H70" s="370">
        <f>H28</f>
        <v>0</v>
      </c>
      <c r="I70" s="370">
        <f>I28</f>
        <v>0</v>
      </c>
      <c r="J70" s="682">
        <f>SUM(E70:I70)</f>
        <v>0</v>
      </c>
      <c r="K70" s="669"/>
      <c r="L70" s="366" t="s">
        <v>117</v>
      </c>
    </row>
    <row r="71" spans="2:12" ht="18">
      <c r="B71" s="47"/>
      <c r="C71" s="328"/>
      <c r="D71" s="329"/>
      <c r="E71" s="698"/>
      <c r="F71" s="698"/>
      <c r="G71" s="698"/>
      <c r="H71" s="698"/>
      <c r="I71" s="698"/>
      <c r="J71" s="366"/>
      <c r="K71" s="669"/>
      <c r="L71" s="366" t="s">
        <v>1873</v>
      </c>
    </row>
    <row r="72" spans="2:12" ht="18">
      <c r="B72" s="47"/>
      <c r="C72" s="328" t="s">
        <v>112</v>
      </c>
      <c r="D72" s="329" t="s">
        <v>925</v>
      </c>
      <c r="E72" s="370">
        <f>IF(E51=2,E21,0)</f>
        <v>0</v>
      </c>
      <c r="F72" s="370">
        <f>IF(F51=2,F21,0)</f>
        <v>0</v>
      </c>
      <c r="G72" s="370">
        <f>IF(G51=2,G21,0)</f>
        <v>0</v>
      </c>
      <c r="H72" s="370">
        <f>IF(H51=2,H21,0)</f>
        <v>0</v>
      </c>
      <c r="I72" s="370">
        <f>IF(I51=2,I21,0)</f>
        <v>0</v>
      </c>
      <c r="J72" s="366"/>
      <c r="K72" s="669"/>
      <c r="L72" s="366" t="s">
        <v>450</v>
      </c>
    </row>
    <row r="73" spans="2:12" ht="18">
      <c r="B73" s="47"/>
      <c r="C73" s="328" t="s">
        <v>113</v>
      </c>
      <c r="D73" s="329" t="s">
        <v>925</v>
      </c>
      <c r="E73" s="370">
        <f>IF(E51=2,E24,0)</f>
        <v>0</v>
      </c>
      <c r="F73" s="370">
        <f>IF(F51=2,F24,0)</f>
        <v>0</v>
      </c>
      <c r="G73" s="370">
        <f>IF(G51=2,G24,0)</f>
        <v>0</v>
      </c>
      <c r="H73" s="370">
        <f>IF(H51=2,H24,0)</f>
        <v>0</v>
      </c>
      <c r="I73" s="370">
        <f>IF(I51=2,I24,0)</f>
        <v>0</v>
      </c>
      <c r="J73" s="370">
        <f>SUM(E72:I74)</f>
        <v>0</v>
      </c>
      <c r="K73" s="669"/>
      <c r="L73" s="366"/>
    </row>
    <row r="74" spans="2:12" ht="18">
      <c r="B74" s="47"/>
      <c r="C74" s="328" t="s">
        <v>115</v>
      </c>
      <c r="D74" s="329" t="s">
        <v>925</v>
      </c>
      <c r="E74" s="370">
        <f>IF(E51=2,E30,0)</f>
        <v>0</v>
      </c>
      <c r="F74" s="370">
        <f>IF(F51=2,F30,0)</f>
        <v>0</v>
      </c>
      <c r="G74" s="370">
        <f>IF(G51=2,G30,0)</f>
        <v>0</v>
      </c>
      <c r="H74" s="370">
        <f>IF(H51=2,H30,0)</f>
        <v>0</v>
      </c>
      <c r="I74" s="370">
        <f>IF(I51=2,I30,0)</f>
        <v>0</v>
      </c>
      <c r="J74" s="366"/>
      <c r="K74" s="669"/>
      <c r="L74" s="366"/>
    </row>
    <row r="75" spans="2:12" ht="18">
      <c r="B75" s="47"/>
      <c r="C75" s="328"/>
      <c r="D75" s="329"/>
      <c r="E75" s="370"/>
      <c r="F75" s="370"/>
      <c r="G75" s="370"/>
      <c r="H75" s="370"/>
      <c r="I75" s="370"/>
      <c r="J75" s="370"/>
      <c r="K75" s="669"/>
      <c r="L75" s="366"/>
    </row>
    <row r="76" spans="2:12" ht="18">
      <c r="B76" s="47"/>
      <c r="C76" s="328" t="s">
        <v>1889</v>
      </c>
      <c r="D76" s="329"/>
      <c r="E76" s="370">
        <f>E44</f>
        <v>0</v>
      </c>
      <c r="F76" s="370">
        <f>F44</f>
        <v>0</v>
      </c>
      <c r="G76" s="370">
        <f>G44</f>
        <v>0</v>
      </c>
      <c r="H76" s="370">
        <f>H44</f>
        <v>0</v>
      </c>
      <c r="I76" s="370">
        <f>I44</f>
        <v>0</v>
      </c>
      <c r="J76" s="682">
        <f>SUM(E76:I76)</f>
        <v>0</v>
      </c>
      <c r="K76" s="669"/>
      <c r="L76" s="366"/>
    </row>
    <row r="77" spans="2:12" ht="18">
      <c r="B77" s="47"/>
      <c r="C77" s="50"/>
      <c r="D77" s="47"/>
      <c r="E77" s="52"/>
      <c r="F77" s="565"/>
      <c r="G77" s="366"/>
      <c r="H77" s="366"/>
      <c r="I77" s="366"/>
      <c r="J77" s="366"/>
      <c r="K77" s="669"/>
      <c r="L77" s="376"/>
    </row>
    <row r="78" spans="1:12" ht="18">
      <c r="A78" s="670">
        <v>0</v>
      </c>
      <c r="B78" s="47"/>
      <c r="C78" s="50"/>
      <c r="D78" s="47"/>
      <c r="E78" s="52"/>
      <c r="F78" s="589"/>
      <c r="G78" s="49"/>
      <c r="H78" s="675"/>
      <c r="I78" s="49"/>
      <c r="J78" s="676"/>
      <c r="K78" s="669"/>
      <c r="L78" s="376"/>
    </row>
    <row r="79" spans="2:4" ht="15">
      <c r="B79" s="677"/>
      <c r="D79" s="56"/>
    </row>
    <row r="80" spans="2:4" ht="15">
      <c r="B80" s="677"/>
      <c r="D80" s="56"/>
    </row>
    <row r="81" spans="2:4" ht="15">
      <c r="B81" s="677"/>
      <c r="D81" s="56"/>
    </row>
    <row r="82" spans="2:4" ht="15">
      <c r="B82" s="677"/>
      <c r="D82" s="56"/>
    </row>
    <row r="83" spans="2:4" ht="15">
      <c r="B83" s="677"/>
      <c r="D83" s="56"/>
    </row>
    <row r="84" spans="2:4" ht="15">
      <c r="B84" s="677"/>
      <c r="D84" s="56"/>
    </row>
    <row r="85" spans="2:4" ht="15">
      <c r="B85" s="677"/>
      <c r="D85" s="56"/>
    </row>
    <row r="86" spans="2:4" ht="15">
      <c r="B86" s="677"/>
      <c r="D86" s="56"/>
    </row>
    <row r="87" spans="2:4" ht="15">
      <c r="B87" s="677"/>
      <c r="D87" s="56"/>
    </row>
    <row r="88" spans="2:4" ht="15">
      <c r="B88" s="677"/>
      <c r="D88" s="56"/>
    </row>
    <row r="89" spans="2:4" ht="15">
      <c r="B89" s="677"/>
      <c r="D89" s="56"/>
    </row>
    <row r="90" spans="2:4" ht="15">
      <c r="B90" s="677"/>
      <c r="D90" s="56"/>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hyperlinks>
    <hyperlink ref="L1:L48" location="'GO TO'!G15" display=" "/>
  </hyperlinks>
  <printOptions horizontalCentered="1"/>
  <pageMargins left="0" right="0" top="0" bottom="0" header="0.5" footer="0.5"/>
  <pageSetup fitToHeight="0" fitToWidth="1" horizontalDpi="600" verticalDpi="600" orientation="portrait" scale="53" r:id="rId3"/>
  <legacyDrawing r:id="rId2"/>
</worksheet>
</file>

<file path=xl/worksheets/sheet32.xml><?xml version="1.0" encoding="utf-8"?>
<worksheet xmlns="http://schemas.openxmlformats.org/spreadsheetml/2006/main" xmlns:r="http://schemas.openxmlformats.org/officeDocument/2006/relationships">
  <sheetPr codeName="Sheet6">
    <pageSetUpPr fitToPage="1"/>
  </sheetPr>
  <dimension ref="A1:S141"/>
  <sheetViews>
    <sheetView showGridLines="0" zoomScale="70" zoomScaleNormal="70" workbookViewId="0" topLeftCell="B1">
      <selection activeCell="B4" sqref="B4"/>
    </sheetView>
  </sheetViews>
  <sheetFormatPr defaultColWidth="8.88671875" defaultRowHeight="15"/>
  <cols>
    <col min="1" max="1" width="3.21484375" style="619" customWidth="1"/>
    <col min="2" max="2" width="4.99609375" style="619" customWidth="1"/>
    <col min="3" max="3" width="10.77734375" style="619" customWidth="1"/>
    <col min="4" max="4" width="4.77734375" style="619" customWidth="1"/>
    <col min="5" max="5" width="12.77734375" style="619" customWidth="1"/>
    <col min="6" max="6" width="2.77734375" style="619" customWidth="1"/>
    <col min="7" max="7" width="15.77734375" style="619" customWidth="1"/>
    <col min="8" max="9" width="8.88671875" style="619" customWidth="1"/>
    <col min="10" max="10" width="6.77734375" style="619" customWidth="1"/>
    <col min="11" max="11" width="13.3359375" style="619" bestFit="1" customWidth="1"/>
    <col min="12" max="12" width="12.77734375" style="619" customWidth="1"/>
    <col min="13" max="13" width="4.77734375" style="619" customWidth="1"/>
    <col min="14" max="14" width="12.77734375" style="619" customWidth="1"/>
    <col min="15" max="15" width="3.6640625" style="619" customWidth="1"/>
    <col min="16" max="16" width="8.88671875" style="619" customWidth="1"/>
    <col min="17" max="18" width="6.3359375" style="619" customWidth="1"/>
    <col min="19" max="19" width="6.21484375" style="619" customWidth="1"/>
    <col min="20" max="16384" width="8.88671875" style="619" customWidth="1"/>
  </cols>
  <sheetData>
    <row r="1" spans="1:16" ht="15">
      <c r="A1" s="618"/>
      <c r="B1" s="618"/>
      <c r="C1" s="618"/>
      <c r="D1" s="699" t="s">
        <v>2121</v>
      </c>
      <c r="E1" s="700"/>
      <c r="F1" s="699" t="s">
        <v>888</v>
      </c>
      <c r="G1" s="700"/>
      <c r="H1" s="700"/>
      <c r="I1" s="700"/>
      <c r="J1" s="700"/>
      <c r="K1" s="618"/>
      <c r="L1" s="618"/>
      <c r="M1" s="618"/>
      <c r="N1" s="618"/>
      <c r="O1" s="618"/>
      <c r="P1" s="1339" t="s">
        <v>1793</v>
      </c>
    </row>
    <row r="2" spans="1:16" ht="20.25">
      <c r="A2" s="618"/>
      <c r="B2" s="618"/>
      <c r="C2" s="618"/>
      <c r="D2" s="1237" t="s">
        <v>887</v>
      </c>
      <c r="E2" s="700"/>
      <c r="F2" s="1237" t="s">
        <v>2122</v>
      </c>
      <c r="G2" s="700"/>
      <c r="H2" s="611"/>
      <c r="I2" s="618"/>
      <c r="J2" s="701" t="str">
        <f>"CHILD CARE EXPENSES DEDUCTION FOR "&amp;yeartext</f>
        <v>CHILD CARE EXPENSES DEDUCTION FOR 2006</v>
      </c>
      <c r="K2" s="618"/>
      <c r="L2" s="618"/>
      <c r="M2" s="618"/>
      <c r="N2" s="618"/>
      <c r="O2" s="618"/>
      <c r="P2" s="1339"/>
    </row>
    <row r="3" spans="1:16" ht="15">
      <c r="A3" s="618"/>
      <c r="B3" s="618"/>
      <c r="C3" s="618"/>
      <c r="D3" s="618"/>
      <c r="E3" s="618"/>
      <c r="F3" s="618"/>
      <c r="G3" s="618"/>
      <c r="H3" s="618"/>
      <c r="I3" s="618"/>
      <c r="J3" s="618"/>
      <c r="K3" s="618"/>
      <c r="L3" s="618"/>
      <c r="M3" s="618"/>
      <c r="N3" s="618"/>
      <c r="O3" s="618"/>
      <c r="P3" s="1339"/>
    </row>
    <row r="4" spans="1:16" ht="15.75">
      <c r="A4" s="618"/>
      <c r="B4" s="618" t="s">
        <v>2123</v>
      </c>
      <c r="C4" s="618"/>
      <c r="D4" s="618"/>
      <c r="E4" s="618"/>
      <c r="F4" s="618"/>
      <c r="G4" s="618"/>
      <c r="H4" s="618"/>
      <c r="I4" s="618"/>
      <c r="J4" s="618"/>
      <c r="K4" s="618"/>
      <c r="L4" s="618"/>
      <c r="M4" s="618"/>
      <c r="N4" s="618"/>
      <c r="O4" s="618"/>
      <c r="P4" s="1339"/>
    </row>
    <row r="5" spans="1:16" ht="15.75">
      <c r="A5" s="618"/>
      <c r="B5" s="721" t="s">
        <v>92</v>
      </c>
      <c r="C5" s="618"/>
      <c r="D5" s="618"/>
      <c r="E5" s="618"/>
      <c r="F5" s="618"/>
      <c r="G5" s="618"/>
      <c r="H5" s="618"/>
      <c r="I5" s="618"/>
      <c r="J5" s="618"/>
      <c r="K5" s="618"/>
      <c r="L5" s="618"/>
      <c r="M5" s="618"/>
      <c r="N5" s="618"/>
      <c r="O5" s="618"/>
      <c r="P5" s="1339"/>
    </row>
    <row r="6" spans="1:16" ht="15">
      <c r="A6" s="618"/>
      <c r="B6" s="618" t="s">
        <v>2124</v>
      </c>
      <c r="C6" s="618"/>
      <c r="D6" s="618"/>
      <c r="E6" s="618"/>
      <c r="F6" s="618"/>
      <c r="G6" s="618"/>
      <c r="H6" s="618"/>
      <c r="I6" s="618"/>
      <c r="J6" s="618"/>
      <c r="K6" s="618"/>
      <c r="L6" s="618"/>
      <c r="M6" s="618"/>
      <c r="N6" s="618"/>
      <c r="O6" s="618"/>
      <c r="P6" s="1339"/>
    </row>
    <row r="7" spans="1:16" ht="15">
      <c r="A7" s="618"/>
      <c r="B7" s="618" t="s">
        <v>2125</v>
      </c>
      <c r="C7" s="618"/>
      <c r="D7" s="618"/>
      <c r="E7" s="618"/>
      <c r="F7" s="618"/>
      <c r="G7" s="618"/>
      <c r="H7" s="618"/>
      <c r="I7" s="618"/>
      <c r="J7" s="618"/>
      <c r="K7" s="618"/>
      <c r="L7" s="618"/>
      <c r="M7" s="618"/>
      <c r="N7" s="618"/>
      <c r="O7" s="618"/>
      <c r="P7" s="1339"/>
    </row>
    <row r="8" spans="1:16" ht="21" customHeight="1">
      <c r="A8" s="618"/>
      <c r="B8" s="618" t="s">
        <v>2126</v>
      </c>
      <c r="C8" s="618"/>
      <c r="D8" s="618"/>
      <c r="E8" s="618"/>
      <c r="F8" s="618"/>
      <c r="G8" s="618"/>
      <c r="H8" s="618"/>
      <c r="I8" s="618"/>
      <c r="J8" s="618"/>
      <c r="K8" s="618"/>
      <c r="L8" s="618"/>
      <c r="M8" s="618"/>
      <c r="N8" s="618"/>
      <c r="O8" s="618"/>
      <c r="P8" s="1339"/>
    </row>
    <row r="9" spans="1:16" ht="15.75">
      <c r="A9" s="618"/>
      <c r="B9" s="618" t="s">
        <v>1060</v>
      </c>
      <c r="C9" s="618"/>
      <c r="D9" s="618"/>
      <c r="E9" s="618"/>
      <c r="F9" s="618"/>
      <c r="G9" s="618"/>
      <c r="H9" s="618"/>
      <c r="I9" s="618"/>
      <c r="J9" s="618"/>
      <c r="K9" s="618"/>
      <c r="L9" s="618"/>
      <c r="M9" s="618"/>
      <c r="N9" s="618"/>
      <c r="O9" s="618"/>
      <c r="P9" s="1339"/>
    </row>
    <row r="10" spans="1:16" ht="15.75">
      <c r="A10" s="618"/>
      <c r="B10" s="618" t="s">
        <v>1061</v>
      </c>
      <c r="C10" s="618"/>
      <c r="D10" s="618"/>
      <c r="E10" s="618"/>
      <c r="F10" s="618"/>
      <c r="G10" s="618"/>
      <c r="H10" s="618"/>
      <c r="I10" s="618"/>
      <c r="J10" s="618"/>
      <c r="K10" s="618"/>
      <c r="L10" s="618"/>
      <c r="M10" s="618"/>
      <c r="N10" s="618"/>
      <c r="O10" s="618"/>
      <c r="P10" s="1339"/>
    </row>
    <row r="11" spans="1:16" ht="15.75">
      <c r="A11" s="618"/>
      <c r="B11" s="618" t="s">
        <v>1060</v>
      </c>
      <c r="C11" s="618"/>
      <c r="D11" s="618"/>
      <c r="E11" s="618"/>
      <c r="F11" s="618"/>
      <c r="G11" s="618"/>
      <c r="H11" s="618"/>
      <c r="I11" s="618"/>
      <c r="J11" s="618"/>
      <c r="K11" s="618"/>
      <c r="L11" s="618"/>
      <c r="M11" s="618"/>
      <c r="N11" s="618"/>
      <c r="O11" s="618"/>
      <c r="P11" s="1339"/>
    </row>
    <row r="12" spans="1:16" ht="15.75">
      <c r="A12" s="618"/>
      <c r="B12" s="618" t="s">
        <v>1062</v>
      </c>
      <c r="C12" s="618"/>
      <c r="D12" s="618"/>
      <c r="E12" s="618"/>
      <c r="F12" s="618"/>
      <c r="G12" s="618"/>
      <c r="H12" s="618"/>
      <c r="I12" s="618"/>
      <c r="J12" s="618"/>
      <c r="K12" s="618"/>
      <c r="L12" s="618"/>
      <c r="M12" s="618"/>
      <c r="N12" s="618"/>
      <c r="O12" s="618"/>
      <c r="P12" s="1339"/>
    </row>
    <row r="13" spans="1:16" ht="15">
      <c r="A13" s="618"/>
      <c r="B13" s="618"/>
      <c r="C13" s="618"/>
      <c r="D13" s="618"/>
      <c r="E13" s="618"/>
      <c r="F13" s="618"/>
      <c r="G13" s="618"/>
      <c r="H13" s="618"/>
      <c r="I13" s="618"/>
      <c r="J13" s="618"/>
      <c r="K13" s="618"/>
      <c r="L13" s="618"/>
      <c r="M13" s="618"/>
      <c r="N13" s="618"/>
      <c r="O13" s="618"/>
      <c r="P13" s="1339"/>
    </row>
    <row r="14" spans="1:16" ht="20.25">
      <c r="A14" s="632"/>
      <c r="B14" s="702" t="s">
        <v>275</v>
      </c>
      <c r="C14" s="702"/>
      <c r="D14" s="625"/>
      <c r="E14" s="625"/>
      <c r="F14" s="625"/>
      <c r="G14" s="625"/>
      <c r="H14" s="625"/>
      <c r="I14" s="625"/>
      <c r="J14" s="625"/>
      <c r="K14" s="625"/>
      <c r="L14" s="625"/>
      <c r="M14" s="625"/>
      <c r="N14" s="625"/>
      <c r="O14" s="626"/>
      <c r="P14" s="1339"/>
    </row>
    <row r="15" spans="1:16" ht="15">
      <c r="A15" s="627"/>
      <c r="B15" s="628"/>
      <c r="C15" s="628"/>
      <c r="D15" s="628"/>
      <c r="E15" s="628"/>
      <c r="F15" s="628"/>
      <c r="G15" s="628"/>
      <c r="H15" s="628"/>
      <c r="I15" s="628"/>
      <c r="J15" s="628"/>
      <c r="K15" s="628"/>
      <c r="L15" s="628"/>
      <c r="M15" s="628"/>
      <c r="N15" s="628"/>
      <c r="O15" s="703"/>
      <c r="P15" s="1339"/>
    </row>
    <row r="16" spans="1:16" ht="15.75">
      <c r="A16" s="627"/>
      <c r="B16" s="628" t="s">
        <v>1063</v>
      </c>
      <c r="C16" s="628"/>
      <c r="D16" s="628"/>
      <c r="E16" s="628"/>
      <c r="F16" s="628"/>
      <c r="G16" s="628"/>
      <c r="H16" s="628"/>
      <c r="I16" s="628"/>
      <c r="J16" s="628"/>
      <c r="K16" s="628"/>
      <c r="L16" s="628"/>
      <c r="M16" s="628"/>
      <c r="N16" s="628"/>
      <c r="O16" s="703"/>
      <c r="P16" s="1339"/>
    </row>
    <row r="17" spans="1:16" ht="15">
      <c r="A17" s="627"/>
      <c r="B17" s="628" t="s">
        <v>291</v>
      </c>
      <c r="C17" s="628"/>
      <c r="D17" s="628"/>
      <c r="E17" s="628"/>
      <c r="F17" s="628"/>
      <c r="G17" s="628"/>
      <c r="H17" s="628"/>
      <c r="I17" s="628"/>
      <c r="J17" s="628"/>
      <c r="K17" s="628"/>
      <c r="L17" s="628"/>
      <c r="M17" s="628"/>
      <c r="N17" s="704" t="s">
        <v>697</v>
      </c>
      <c r="O17" s="703"/>
      <c r="P17" s="1339"/>
    </row>
    <row r="18" spans="1:19" ht="15">
      <c r="A18" s="627"/>
      <c r="B18" s="1421"/>
      <c r="C18" s="1421"/>
      <c r="D18" s="1421"/>
      <c r="E18" s="1421"/>
      <c r="F18" s="1421"/>
      <c r="G18" s="1421"/>
      <c r="H18" s="705"/>
      <c r="I18" s="705"/>
      <c r="J18" s="705"/>
      <c r="K18" s="705"/>
      <c r="L18" s="705"/>
      <c r="M18" s="628"/>
      <c r="N18" s="706"/>
      <c r="O18" s="703"/>
      <c r="P18" s="1339"/>
      <c r="Q18" s="1241">
        <f aca="true" t="shared" si="0" ref="Q18:Q24">IF(YEAR(N18)&gt;=year6,1,0)</f>
        <v>0</v>
      </c>
      <c r="R18" s="1241">
        <f aca="true" t="shared" si="1" ref="R18:R24">IF(AND(YEAR(N18)&lt;year6,YEAR(N18)&gt;=year16),1,0)</f>
        <v>0</v>
      </c>
      <c r="S18" s="1241">
        <f aca="true" t="shared" si="2" ref="S18:S24">IF(YEAR(N18)&lt;year18,0,1)</f>
        <v>0</v>
      </c>
    </row>
    <row r="19" spans="1:19" ht="15">
      <c r="A19" s="627"/>
      <c r="B19" s="1420"/>
      <c r="C19" s="1420"/>
      <c r="D19" s="1420"/>
      <c r="E19" s="1420"/>
      <c r="F19" s="1420"/>
      <c r="G19" s="1420"/>
      <c r="H19" s="705"/>
      <c r="I19" s="705"/>
      <c r="J19" s="705"/>
      <c r="K19" s="705"/>
      <c r="L19" s="705"/>
      <c r="M19" s="628"/>
      <c r="N19" s="706"/>
      <c r="O19" s="703"/>
      <c r="P19" s="1339"/>
      <c r="Q19" s="1241">
        <f t="shared" si="0"/>
        <v>0</v>
      </c>
      <c r="R19" s="1241">
        <f t="shared" si="1"/>
        <v>0</v>
      </c>
      <c r="S19" s="1241">
        <f t="shared" si="2"/>
        <v>0</v>
      </c>
    </row>
    <row r="20" spans="1:19" ht="15">
      <c r="A20" s="627"/>
      <c r="B20" s="1422"/>
      <c r="C20" s="1422"/>
      <c r="D20" s="1422"/>
      <c r="E20" s="1422"/>
      <c r="F20" s="1422"/>
      <c r="G20" s="1422"/>
      <c r="H20" s="705"/>
      <c r="I20" s="705"/>
      <c r="J20" s="705"/>
      <c r="K20" s="705"/>
      <c r="L20" s="705"/>
      <c r="M20" s="628"/>
      <c r="N20" s="706"/>
      <c r="O20" s="703"/>
      <c r="P20" s="1339"/>
      <c r="Q20" s="1241">
        <f t="shared" si="0"/>
        <v>0</v>
      </c>
      <c r="R20" s="1241">
        <f t="shared" si="1"/>
        <v>0</v>
      </c>
      <c r="S20" s="1241">
        <f t="shared" si="2"/>
        <v>0</v>
      </c>
    </row>
    <row r="21" spans="1:19" ht="15">
      <c r="A21" s="627"/>
      <c r="B21" s="1420"/>
      <c r="C21" s="1420"/>
      <c r="D21" s="1420"/>
      <c r="E21" s="1420"/>
      <c r="F21" s="1420"/>
      <c r="G21" s="1420"/>
      <c r="H21" s="705"/>
      <c r="I21" s="705"/>
      <c r="J21" s="705"/>
      <c r="K21" s="705"/>
      <c r="L21" s="705"/>
      <c r="M21" s="628"/>
      <c r="N21" s="706"/>
      <c r="O21" s="703"/>
      <c r="P21" s="1339"/>
      <c r="Q21" s="1241">
        <f t="shared" si="0"/>
        <v>0</v>
      </c>
      <c r="R21" s="1241">
        <f t="shared" si="1"/>
        <v>0</v>
      </c>
      <c r="S21" s="1241">
        <f t="shared" si="2"/>
        <v>0</v>
      </c>
    </row>
    <row r="22" spans="1:19" ht="15">
      <c r="A22" s="627"/>
      <c r="B22" s="964"/>
      <c r="C22" s="964"/>
      <c r="D22" s="964"/>
      <c r="E22" s="964"/>
      <c r="F22" s="964"/>
      <c r="G22" s="964"/>
      <c r="H22" s="705"/>
      <c r="I22" s="705"/>
      <c r="J22" s="705"/>
      <c r="K22" s="705"/>
      <c r="L22" s="705"/>
      <c r="M22" s="628"/>
      <c r="N22" s="706"/>
      <c r="O22" s="703"/>
      <c r="P22" s="1339"/>
      <c r="Q22" s="1241">
        <f t="shared" si="0"/>
        <v>0</v>
      </c>
      <c r="R22" s="1241">
        <f t="shared" si="1"/>
        <v>0</v>
      </c>
      <c r="S22" s="1241">
        <f t="shared" si="2"/>
        <v>0</v>
      </c>
    </row>
    <row r="23" spans="1:19" ht="15">
      <c r="A23" s="627"/>
      <c r="B23" s="964"/>
      <c r="C23" s="964"/>
      <c r="D23" s="964"/>
      <c r="E23" s="964"/>
      <c r="F23" s="964"/>
      <c r="G23" s="964"/>
      <c r="H23" s="705"/>
      <c r="I23" s="705"/>
      <c r="J23" s="705"/>
      <c r="K23" s="705"/>
      <c r="L23" s="705"/>
      <c r="M23" s="628"/>
      <c r="N23" s="706"/>
      <c r="O23" s="703"/>
      <c r="P23" s="1339"/>
      <c r="Q23" s="1241">
        <f t="shared" si="0"/>
        <v>0</v>
      </c>
      <c r="R23" s="1241">
        <f t="shared" si="1"/>
        <v>0</v>
      </c>
      <c r="S23" s="1241">
        <f t="shared" si="2"/>
        <v>0</v>
      </c>
    </row>
    <row r="24" spans="1:19" ht="15">
      <c r="A24" s="627"/>
      <c r="B24" s="1420"/>
      <c r="C24" s="1420"/>
      <c r="D24" s="1420"/>
      <c r="E24" s="1420"/>
      <c r="F24" s="1420"/>
      <c r="G24" s="1420"/>
      <c r="H24" s="705"/>
      <c r="I24" s="705"/>
      <c r="J24" s="705"/>
      <c r="K24" s="705"/>
      <c r="L24" s="705"/>
      <c r="M24" s="628"/>
      <c r="N24" s="707"/>
      <c r="O24" s="703"/>
      <c r="P24" s="1339"/>
      <c r="Q24" s="1241">
        <f t="shared" si="0"/>
        <v>0</v>
      </c>
      <c r="R24" s="1241">
        <f t="shared" si="1"/>
        <v>0</v>
      </c>
      <c r="S24" s="1241">
        <f t="shared" si="2"/>
        <v>0</v>
      </c>
    </row>
    <row r="25" spans="1:19" ht="15">
      <c r="A25" s="627"/>
      <c r="B25" s="628" t="s">
        <v>179</v>
      </c>
      <c r="C25" s="628"/>
      <c r="D25" s="628"/>
      <c r="E25" s="966">
        <f>COUNTA(B18:G24)</f>
        <v>0</v>
      </c>
      <c r="F25" s="628"/>
      <c r="G25" s="628"/>
      <c r="H25" s="628"/>
      <c r="I25" s="628"/>
      <c r="J25" s="628"/>
      <c r="K25" s="628"/>
      <c r="L25" s="628"/>
      <c r="M25" s="628"/>
      <c r="N25" s="628"/>
      <c r="O25" s="703"/>
      <c r="P25" s="1339"/>
      <c r="Q25" s="1241">
        <f>SUM(Q18:Q24)</f>
        <v>0</v>
      </c>
      <c r="R25" s="1241">
        <f>SUM(R18:R24)</f>
        <v>0</v>
      </c>
      <c r="S25" s="1241">
        <f>SUM(S18:S24)</f>
        <v>0</v>
      </c>
    </row>
    <row r="26" spans="1:16" ht="23.25" customHeight="1">
      <c r="A26" s="627"/>
      <c r="B26" s="708" t="s">
        <v>292</v>
      </c>
      <c r="C26" s="628"/>
      <c r="D26" s="628"/>
      <c r="E26" s="709" t="s">
        <v>295</v>
      </c>
      <c r="F26" s="628"/>
      <c r="G26" s="628" t="s">
        <v>2127</v>
      </c>
      <c r="H26" s="628"/>
      <c r="I26" s="628"/>
      <c r="J26" s="628"/>
      <c r="K26" s="628"/>
      <c r="L26" s="628"/>
      <c r="M26" s="950" t="s">
        <v>1588</v>
      </c>
      <c r="N26" s="948"/>
      <c r="O26" s="703"/>
      <c r="P26" s="1339"/>
    </row>
    <row r="27" spans="1:16" ht="15.75">
      <c r="A27" s="627"/>
      <c r="B27" s="708" t="s">
        <v>293</v>
      </c>
      <c r="C27" s="628"/>
      <c r="D27" s="628"/>
      <c r="E27" s="709" t="s">
        <v>296</v>
      </c>
      <c r="F27" s="628"/>
      <c r="G27" s="710" t="s">
        <v>2128</v>
      </c>
      <c r="H27" s="628"/>
      <c r="I27" s="628"/>
      <c r="J27" s="628"/>
      <c r="K27" s="628"/>
      <c r="L27" s="628"/>
      <c r="M27" s="951" t="s">
        <v>2129</v>
      </c>
      <c r="N27" s="949"/>
      <c r="O27" s="703"/>
      <c r="P27" s="1339"/>
    </row>
    <row r="28" spans="1:16" ht="15">
      <c r="A28" s="627"/>
      <c r="B28" s="708" t="s">
        <v>294</v>
      </c>
      <c r="C28" s="628"/>
      <c r="D28" s="628"/>
      <c r="E28" s="708" t="s">
        <v>1091</v>
      </c>
      <c r="F28" s="628"/>
      <c r="G28" s="915"/>
      <c r="H28" s="628"/>
      <c r="I28" s="628"/>
      <c r="J28" s="628"/>
      <c r="K28" s="628"/>
      <c r="L28" s="628"/>
      <c r="M28" s="951" t="s">
        <v>93</v>
      </c>
      <c r="N28" s="949"/>
      <c r="O28" s="703"/>
      <c r="P28" s="1339"/>
    </row>
    <row r="29" spans="1:16" ht="15">
      <c r="A29" s="627"/>
      <c r="B29" s="628"/>
      <c r="C29" s="628"/>
      <c r="D29" s="628"/>
      <c r="E29" s="628"/>
      <c r="F29" s="628"/>
      <c r="G29" s="628"/>
      <c r="H29" s="628"/>
      <c r="I29" s="628"/>
      <c r="J29" s="628"/>
      <c r="K29" s="628"/>
      <c r="L29" s="628"/>
      <c r="M29" s="628"/>
      <c r="N29" s="628"/>
      <c r="O29" s="703"/>
      <c r="P29" s="1339"/>
    </row>
    <row r="30" spans="1:16" ht="15">
      <c r="A30" s="627"/>
      <c r="B30" s="1421"/>
      <c r="C30" s="1421"/>
      <c r="D30" s="628"/>
      <c r="E30" s="108"/>
      <c r="F30" s="628"/>
      <c r="G30" s="1421"/>
      <c r="H30" s="1421"/>
      <c r="I30" s="1421"/>
      <c r="J30" s="1421"/>
      <c r="K30" s="1421"/>
      <c r="L30" s="1421"/>
      <c r="M30" s="628"/>
      <c r="N30" s="321"/>
      <c r="O30" s="703"/>
      <c r="P30" s="1339"/>
    </row>
    <row r="31" spans="1:16" ht="15">
      <c r="A31" s="627"/>
      <c r="B31" s="1420"/>
      <c r="C31" s="1420"/>
      <c r="D31" s="628"/>
      <c r="E31" s="108"/>
      <c r="F31" s="628"/>
      <c r="G31" s="1420"/>
      <c r="H31" s="1420"/>
      <c r="I31" s="1420"/>
      <c r="J31" s="1420"/>
      <c r="K31" s="1420"/>
      <c r="L31" s="1420"/>
      <c r="M31" s="628"/>
      <c r="N31" s="321"/>
      <c r="O31" s="703"/>
      <c r="P31" s="1339"/>
    </row>
    <row r="32" spans="1:16" ht="15">
      <c r="A32" s="627"/>
      <c r="B32" s="1420"/>
      <c r="C32" s="1420"/>
      <c r="D32" s="628"/>
      <c r="E32" s="108"/>
      <c r="F32" s="628"/>
      <c r="G32" s="1420"/>
      <c r="H32" s="1420"/>
      <c r="I32" s="1420"/>
      <c r="J32" s="1420"/>
      <c r="K32" s="1420"/>
      <c r="L32" s="1420"/>
      <c r="M32" s="628"/>
      <c r="N32" s="321"/>
      <c r="O32" s="703"/>
      <c r="P32" s="1339"/>
    </row>
    <row r="33" spans="1:16" ht="15">
      <c r="A33" s="627"/>
      <c r="B33" s="1420"/>
      <c r="C33" s="1420"/>
      <c r="D33" s="628"/>
      <c r="E33" s="108"/>
      <c r="F33" s="628"/>
      <c r="G33" s="1420"/>
      <c r="H33" s="1420"/>
      <c r="I33" s="1420"/>
      <c r="J33" s="1420"/>
      <c r="K33" s="1420"/>
      <c r="L33" s="1420"/>
      <c r="M33" s="628"/>
      <c r="N33" s="321"/>
      <c r="O33" s="703"/>
      <c r="P33" s="1339"/>
    </row>
    <row r="34" spans="1:16" ht="15">
      <c r="A34" s="627"/>
      <c r="B34" s="1420"/>
      <c r="C34" s="1420"/>
      <c r="D34" s="628"/>
      <c r="E34" s="108"/>
      <c r="F34" s="628"/>
      <c r="G34" s="1420"/>
      <c r="H34" s="1420"/>
      <c r="I34" s="1420"/>
      <c r="J34" s="1420"/>
      <c r="K34" s="1420"/>
      <c r="L34" s="1420"/>
      <c r="M34" s="628"/>
      <c r="N34" s="321"/>
      <c r="O34" s="703"/>
      <c r="P34" s="1339"/>
    </row>
    <row r="35" spans="1:16" ht="15.75">
      <c r="A35" s="627"/>
      <c r="B35" s="628"/>
      <c r="C35" s="711" t="s">
        <v>503</v>
      </c>
      <c r="D35" s="628"/>
      <c r="E35" s="660">
        <f>SUM(E30:E34)</f>
        <v>0</v>
      </c>
      <c r="F35" s="628"/>
      <c r="G35" s="628"/>
      <c r="H35" s="628"/>
      <c r="I35" s="628"/>
      <c r="J35" s="628"/>
      <c r="K35" s="628"/>
      <c r="L35" s="628"/>
      <c r="M35" s="628"/>
      <c r="N35" s="628"/>
      <c r="O35" s="703"/>
      <c r="P35" s="1339"/>
    </row>
    <row r="36" spans="1:16" ht="15">
      <c r="A36" s="627"/>
      <c r="B36" s="628"/>
      <c r="C36" s="628"/>
      <c r="D36" s="628"/>
      <c r="E36" s="628"/>
      <c r="F36" s="628"/>
      <c r="G36" s="628"/>
      <c r="H36" s="628"/>
      <c r="I36" s="628"/>
      <c r="J36" s="628"/>
      <c r="K36" s="628"/>
      <c r="L36" s="628"/>
      <c r="M36" s="628"/>
      <c r="N36" s="628"/>
      <c r="O36" s="703"/>
      <c r="P36" s="1339"/>
    </row>
    <row r="37" spans="1:17" ht="15.75">
      <c r="A37" s="627"/>
      <c r="B37" s="710" t="s">
        <v>1057</v>
      </c>
      <c r="C37" s="628" t="s">
        <v>2130</v>
      </c>
      <c r="D37" s="628"/>
      <c r="E37" s="628"/>
      <c r="F37" s="628"/>
      <c r="G37" s="628"/>
      <c r="H37" s="628"/>
      <c r="I37" s="628"/>
      <c r="J37" s="628"/>
      <c r="K37" s="628"/>
      <c r="L37" s="628"/>
      <c r="M37" s="628"/>
      <c r="N37" s="628"/>
      <c r="O37" s="703"/>
      <c r="P37" s="1339"/>
      <c r="Q37" s="997">
        <f>year-6</f>
        <v>2000</v>
      </c>
    </row>
    <row r="38" spans="1:17" ht="15.75">
      <c r="A38" s="627"/>
      <c r="B38" s="628"/>
      <c r="C38" s="628" t="s">
        <v>2131</v>
      </c>
      <c r="D38" s="628"/>
      <c r="E38" s="628"/>
      <c r="F38" s="628"/>
      <c r="G38" s="628"/>
      <c r="H38" s="628"/>
      <c r="I38" s="628"/>
      <c r="J38" s="628"/>
      <c r="K38" s="628"/>
      <c r="L38" s="628"/>
      <c r="M38" s="628"/>
      <c r="N38" s="628"/>
      <c r="O38" s="703"/>
      <c r="P38" s="1339"/>
      <c r="Q38" s="998" t="str">
        <f>TEXT(year6,"0000")</f>
        <v>2000</v>
      </c>
    </row>
    <row r="39" spans="1:17" ht="15.75">
      <c r="A39" s="627"/>
      <c r="B39" s="628"/>
      <c r="C39" s="628" t="s">
        <v>2132</v>
      </c>
      <c r="D39" s="628"/>
      <c r="E39" s="628"/>
      <c r="F39" s="628"/>
      <c r="G39" s="628"/>
      <c r="H39" s="628"/>
      <c r="I39" s="628"/>
      <c r="J39" s="628"/>
      <c r="K39" s="628"/>
      <c r="L39" s="628"/>
      <c r="M39" s="628"/>
      <c r="N39" s="628"/>
      <c r="O39" s="703"/>
      <c r="P39" s="1339"/>
      <c r="Q39" s="997">
        <f>year6-1</f>
        <v>1999</v>
      </c>
    </row>
    <row r="40" spans="1:17" ht="15">
      <c r="A40" s="627"/>
      <c r="B40" s="628"/>
      <c r="C40" s="628"/>
      <c r="D40" s="628"/>
      <c r="E40" s="628"/>
      <c r="F40" s="628"/>
      <c r="G40" s="628"/>
      <c r="H40" s="628"/>
      <c r="I40" s="628"/>
      <c r="J40" s="628"/>
      <c r="K40" s="628"/>
      <c r="L40" s="628"/>
      <c r="M40" s="628"/>
      <c r="N40" s="628"/>
      <c r="O40" s="703"/>
      <c r="P40" s="1339"/>
      <c r="Q40" s="998" t="str">
        <f>TEXT(year7,"0000")</f>
        <v>1999</v>
      </c>
    </row>
    <row r="41" spans="1:17" ht="15.75">
      <c r="A41" s="630"/>
      <c r="B41" s="712" t="str">
        <f>"Enter any child care expenses included above that were incurred in "&amp;yeartext&amp;" for a child who was 18 or older"</f>
        <v>Enter any child care expenses included above that were incurred in 2006 for a child who was 18 or older</v>
      </c>
      <c r="C41" s="629"/>
      <c r="D41" s="629"/>
      <c r="E41" s="629"/>
      <c r="F41" s="629"/>
      <c r="G41" s="629"/>
      <c r="H41" s="629"/>
      <c r="I41" s="629"/>
      <c r="J41" s="629"/>
      <c r="K41" s="629"/>
      <c r="L41" s="629"/>
      <c r="M41" s="320" t="s">
        <v>1167</v>
      </c>
      <c r="N41" s="108"/>
      <c r="O41" s="713"/>
      <c r="P41" s="1339"/>
      <c r="Q41" s="999"/>
    </row>
    <row r="42" spans="1:17" ht="15">
      <c r="A42" s="618"/>
      <c r="B42" s="618"/>
      <c r="C42" s="618"/>
      <c r="D42" s="618"/>
      <c r="E42" s="618"/>
      <c r="F42" s="618"/>
      <c r="G42" s="618"/>
      <c r="H42" s="618"/>
      <c r="I42" s="618"/>
      <c r="J42" s="618"/>
      <c r="K42" s="618"/>
      <c r="L42" s="618"/>
      <c r="M42" s="628"/>
      <c r="N42" s="618"/>
      <c r="O42" s="618"/>
      <c r="P42" s="1339"/>
      <c r="Q42" s="997">
        <f>year18+2</f>
        <v>1990</v>
      </c>
    </row>
    <row r="43" spans="1:17" ht="15">
      <c r="A43" s="618"/>
      <c r="B43" s="618"/>
      <c r="C43" s="618"/>
      <c r="D43" s="618"/>
      <c r="E43" s="618"/>
      <c r="F43" s="618"/>
      <c r="G43" s="618"/>
      <c r="H43" s="618"/>
      <c r="I43" s="618"/>
      <c r="J43" s="618"/>
      <c r="K43" s="618"/>
      <c r="L43" s="618"/>
      <c r="M43" s="628"/>
      <c r="N43" s="618"/>
      <c r="O43" s="618"/>
      <c r="P43" s="1339"/>
      <c r="Q43" s="998" t="str">
        <f>TEXT(year16,"0000")</f>
        <v>1990</v>
      </c>
    </row>
    <row r="44" spans="1:17" ht="20.25">
      <c r="A44" s="632"/>
      <c r="B44" s="702" t="s">
        <v>2133</v>
      </c>
      <c r="C44" s="702"/>
      <c r="D44" s="625"/>
      <c r="E44" s="625"/>
      <c r="F44" s="625"/>
      <c r="G44" s="625"/>
      <c r="H44" s="625"/>
      <c r="I44" s="625"/>
      <c r="J44" s="625"/>
      <c r="K44" s="625"/>
      <c r="L44" s="625"/>
      <c r="M44" s="625"/>
      <c r="N44" s="625"/>
      <c r="O44" s="626"/>
      <c r="P44" s="1339"/>
      <c r="Q44" s="997">
        <f>year18+1</f>
        <v>1989</v>
      </c>
    </row>
    <row r="45" spans="1:17" ht="15">
      <c r="A45" s="627"/>
      <c r="B45" s="628"/>
      <c r="C45" s="628"/>
      <c r="D45" s="628"/>
      <c r="E45" s="628"/>
      <c r="F45" s="628"/>
      <c r="G45" s="628"/>
      <c r="H45" s="628"/>
      <c r="I45" s="628"/>
      <c r="J45" s="628"/>
      <c r="K45" s="628"/>
      <c r="L45" s="628"/>
      <c r="M45" s="628"/>
      <c r="N45" s="628"/>
      <c r="O45" s="703"/>
      <c r="P45" s="1339"/>
      <c r="Q45" s="998" t="str">
        <f>TEXT(year17,"0000")</f>
        <v>1989</v>
      </c>
    </row>
    <row r="46" spans="1:16" ht="15">
      <c r="A46" s="627"/>
      <c r="B46" s="628" t="s">
        <v>1033</v>
      </c>
      <c r="C46" s="628"/>
      <c r="D46" s="628"/>
      <c r="E46" s="628"/>
      <c r="F46" s="628"/>
      <c r="G46" s="628"/>
      <c r="H46" s="628"/>
      <c r="I46" s="628"/>
      <c r="J46" s="628"/>
      <c r="K46" s="628"/>
      <c r="L46" s="628"/>
      <c r="M46" s="628"/>
      <c r="N46" s="628"/>
      <c r="O46" s="703"/>
      <c r="P46" s="1339"/>
    </row>
    <row r="47" spans="1:16" ht="15">
      <c r="A47" s="627"/>
      <c r="B47" s="628"/>
      <c r="C47" s="628"/>
      <c r="D47" s="628"/>
      <c r="E47" s="628"/>
      <c r="F47" s="628"/>
      <c r="G47" s="628"/>
      <c r="H47" s="628"/>
      <c r="I47" s="628"/>
      <c r="J47" s="628"/>
      <c r="K47" s="628"/>
      <c r="L47" s="628"/>
      <c r="M47" s="628"/>
      <c r="N47" s="628"/>
      <c r="O47" s="703"/>
      <c r="P47" s="1339"/>
    </row>
    <row r="48" spans="1:16" ht="15.75">
      <c r="A48" s="627"/>
      <c r="B48" s="628" t="s">
        <v>4</v>
      </c>
      <c r="C48" s="628"/>
      <c r="D48" s="711" t="str">
        <f>year6text&amp;" or later"</f>
        <v>2000 or later</v>
      </c>
      <c r="E48" s="628" t="s">
        <v>3</v>
      </c>
      <c r="F48" s="628"/>
      <c r="G48" s="628"/>
      <c r="H48" s="628"/>
      <c r="I48" s="714"/>
      <c r="J48" s="714"/>
      <c r="K48" s="321">
        <f>Q25</f>
        <v>0</v>
      </c>
      <c r="L48" s="715" t="s">
        <v>35</v>
      </c>
      <c r="M48" s="628"/>
      <c r="N48" s="388">
        <f>K48*7000</f>
        <v>0</v>
      </c>
      <c r="O48" s="716" t="s">
        <v>925</v>
      </c>
      <c r="P48" s="1339"/>
    </row>
    <row r="49" spans="1:16" ht="15.75">
      <c r="A49" s="627"/>
      <c r="B49" s="628" t="s">
        <v>1371</v>
      </c>
      <c r="C49" s="628"/>
      <c r="D49" s="711" t="str">
        <f>yeartext&amp;" &amp; earlier"</f>
        <v>2006 &amp; earlier</v>
      </c>
      <c r="E49" s="628" t="s">
        <v>153</v>
      </c>
      <c r="F49" s="628"/>
      <c r="G49" s="628"/>
      <c r="H49" s="628"/>
      <c r="I49" s="717"/>
      <c r="J49" s="717"/>
      <c r="K49" s="321"/>
      <c r="L49" s="715" t="s">
        <v>36</v>
      </c>
      <c r="M49" s="320" t="s">
        <v>46</v>
      </c>
      <c r="N49" s="388">
        <f>K49*10000</f>
        <v>0</v>
      </c>
      <c r="O49" s="716" t="s">
        <v>615</v>
      </c>
      <c r="P49" s="1339"/>
    </row>
    <row r="50" spans="1:16" ht="15.75">
      <c r="A50" s="627"/>
      <c r="B50" s="628" t="s">
        <v>1372</v>
      </c>
      <c r="C50" s="628"/>
      <c r="D50" s="711" t="str">
        <f>year16&amp;" to "&amp;year7</f>
        <v>1990 to 1999</v>
      </c>
      <c r="E50" s="628" t="str">
        <f>"(or born in "&amp;year17&amp;" and earlier with a mental or physical"</f>
        <v>(or born in 1989 and earlier with a mental or physical</v>
      </c>
      <c r="F50" s="628"/>
      <c r="G50" s="628"/>
      <c r="H50" s="628"/>
      <c r="I50" s="718"/>
      <c r="J50" s="718"/>
      <c r="K50" s="628"/>
      <c r="L50" s="628"/>
      <c r="M50" s="628"/>
      <c r="N50" s="628"/>
      <c r="O50" s="719"/>
      <c r="P50" s="1339"/>
    </row>
    <row r="51" spans="1:16" ht="16.5" thickBot="1">
      <c r="A51" s="627"/>
      <c r="B51" s="628" t="s">
        <v>205</v>
      </c>
      <c r="C51" s="628"/>
      <c r="D51" s="628"/>
      <c r="E51" s="628"/>
      <c r="F51" s="628"/>
      <c r="G51" s="628"/>
      <c r="H51" s="714"/>
      <c r="I51" s="714"/>
      <c r="J51" s="714"/>
      <c r="K51" s="321">
        <f>R25</f>
        <v>0</v>
      </c>
      <c r="L51" s="715" t="s">
        <v>37</v>
      </c>
      <c r="M51" s="628"/>
      <c r="N51" s="737">
        <f>K51*4000</f>
        <v>0</v>
      </c>
      <c r="O51" s="716" t="s">
        <v>616</v>
      </c>
      <c r="P51" s="1339"/>
    </row>
    <row r="52" spans="1:16" ht="15">
      <c r="A52" s="627"/>
      <c r="B52" s="628" t="s">
        <v>206</v>
      </c>
      <c r="C52" s="628"/>
      <c r="D52" s="714"/>
      <c r="E52" s="714"/>
      <c r="F52" s="714"/>
      <c r="G52" s="714"/>
      <c r="H52" s="714"/>
      <c r="I52" s="714"/>
      <c r="J52" s="714"/>
      <c r="K52" s="714"/>
      <c r="L52" s="714"/>
      <c r="M52" s="628"/>
      <c r="N52" s="388">
        <f>SUM(N48:N51)</f>
        <v>0</v>
      </c>
      <c r="O52" s="716" t="s">
        <v>617</v>
      </c>
      <c r="P52" s="1339"/>
    </row>
    <row r="53" spans="1:16" ht="15">
      <c r="A53" s="627"/>
      <c r="B53" s="628"/>
      <c r="C53" s="628"/>
      <c r="D53" s="628"/>
      <c r="E53" s="628"/>
      <c r="F53" s="628"/>
      <c r="G53" s="628"/>
      <c r="H53" s="628"/>
      <c r="I53" s="628"/>
      <c r="J53" s="628"/>
      <c r="K53" s="628"/>
      <c r="L53" s="628"/>
      <c r="M53" s="628"/>
      <c r="N53" s="628"/>
      <c r="O53" s="703"/>
      <c r="P53" s="1339"/>
    </row>
    <row r="54" spans="1:16" ht="15.75">
      <c r="A54" s="627"/>
      <c r="B54" s="628" t="s">
        <v>38</v>
      </c>
      <c r="C54" s="628"/>
      <c r="D54" s="628"/>
      <c r="E54" s="628"/>
      <c r="F54" s="628"/>
      <c r="G54" s="714"/>
      <c r="H54" s="714"/>
      <c r="I54" s="714"/>
      <c r="J54" s="714"/>
      <c r="K54" s="714"/>
      <c r="L54" s="714"/>
      <c r="M54" s="628"/>
      <c r="N54" s="388">
        <f>E35</f>
        <v>0</v>
      </c>
      <c r="O54" s="716" t="s">
        <v>618</v>
      </c>
      <c r="P54" s="1339"/>
    </row>
    <row r="55" spans="1:16" ht="15">
      <c r="A55" s="627"/>
      <c r="B55" s="628"/>
      <c r="C55" s="628"/>
      <c r="D55" s="628"/>
      <c r="E55" s="628"/>
      <c r="F55" s="628"/>
      <c r="G55" s="628"/>
      <c r="H55" s="628"/>
      <c r="I55" s="628"/>
      <c r="J55" s="628"/>
      <c r="K55" s="628"/>
      <c r="L55" s="628"/>
      <c r="M55" s="628"/>
      <c r="N55" s="628"/>
      <c r="O55" s="703"/>
      <c r="P55" s="1339"/>
    </row>
    <row r="56" spans="1:16" ht="15.75">
      <c r="A56" s="627"/>
      <c r="B56" s="628" t="s">
        <v>39</v>
      </c>
      <c r="C56" s="628"/>
      <c r="D56" s="628"/>
      <c r="E56" s="714"/>
      <c r="F56" s="714"/>
      <c r="G56" s="714"/>
      <c r="H56" s="714"/>
      <c r="I56" s="714"/>
      <c r="J56" s="714"/>
      <c r="K56" s="108">
        <f>MAX(0,'T1 GEN-2-3-4'!I13)+MAX(0,'T1 GEN-2-3-4'!I25)+MAX(0,'T1 GEN-2-3-4'!I32)+MAX(0,'T1 GEN-2-3-4'!I33)+MAX(0,'T1 GEN-2-3-4'!I34)+MAX(0,'T1 GEN-2-3-4'!I35)+MAX(0,'T1 GEN-2-3-4'!I36)+MAX(0,'T1 GEN-2-3-4'!G18)+MAX(0,'T1 GEN-2-3-4'!I30)</f>
        <v>0</v>
      </c>
      <c r="L56" s="715" t="s">
        <v>40</v>
      </c>
      <c r="M56" s="628"/>
      <c r="N56" s="388">
        <f>ROUND(K56*(2/3),2)</f>
        <v>0</v>
      </c>
      <c r="O56" s="716" t="s">
        <v>619</v>
      </c>
      <c r="P56" s="1339"/>
    </row>
    <row r="57" spans="1:16" ht="15">
      <c r="A57" s="627"/>
      <c r="B57" s="628"/>
      <c r="C57" s="628"/>
      <c r="D57" s="628"/>
      <c r="E57" s="628"/>
      <c r="F57" s="628"/>
      <c r="G57" s="628"/>
      <c r="H57" s="628"/>
      <c r="I57" s="628"/>
      <c r="J57" s="628"/>
      <c r="K57" s="628"/>
      <c r="L57" s="628"/>
      <c r="M57" s="628"/>
      <c r="N57" s="628"/>
      <c r="O57" s="703"/>
      <c r="P57" s="1339"/>
    </row>
    <row r="58" spans="1:16" ht="15.75">
      <c r="A58" s="627"/>
      <c r="B58" s="628" t="s">
        <v>2134</v>
      </c>
      <c r="C58" s="628"/>
      <c r="D58" s="628"/>
      <c r="E58" s="628"/>
      <c r="F58" s="628"/>
      <c r="G58" s="628"/>
      <c r="H58" s="714"/>
      <c r="I58" s="714"/>
      <c r="J58" s="714"/>
      <c r="K58" s="714"/>
      <c r="L58" s="714"/>
      <c r="M58" s="628"/>
      <c r="N58" s="388">
        <f>MINA(N52,N54,N56)</f>
        <v>0</v>
      </c>
      <c r="O58" s="716" t="s">
        <v>1560</v>
      </c>
      <c r="P58" s="1339"/>
    </row>
    <row r="59" spans="1:16" ht="6.75" customHeight="1">
      <c r="A59" s="627"/>
      <c r="B59" s="628"/>
      <c r="C59" s="628"/>
      <c r="D59" s="628"/>
      <c r="E59" s="628"/>
      <c r="F59" s="628"/>
      <c r="G59" s="628"/>
      <c r="H59" s="628"/>
      <c r="I59" s="628"/>
      <c r="J59" s="628"/>
      <c r="K59" s="628"/>
      <c r="L59" s="628"/>
      <c r="M59" s="628"/>
      <c r="N59" s="628"/>
      <c r="O59" s="703"/>
      <c r="P59" s="1339"/>
    </row>
    <row r="60" spans="1:16" ht="15.75">
      <c r="A60" s="627"/>
      <c r="B60" s="710" t="s">
        <v>2135</v>
      </c>
      <c r="C60" s="628"/>
      <c r="D60" s="628"/>
      <c r="E60" s="628"/>
      <c r="F60" s="628"/>
      <c r="G60" s="628"/>
      <c r="H60" s="628"/>
      <c r="I60" s="628"/>
      <c r="J60" s="628"/>
      <c r="K60" s="628"/>
      <c r="L60" s="628"/>
      <c r="M60" s="628"/>
      <c r="N60" s="628"/>
      <c r="O60" s="703"/>
      <c r="P60" s="1339"/>
    </row>
    <row r="61" spans="1:16" ht="9" customHeight="1">
      <c r="A61" s="627"/>
      <c r="B61" s="628"/>
      <c r="C61" s="628"/>
      <c r="D61" s="628"/>
      <c r="E61" s="628"/>
      <c r="F61" s="628"/>
      <c r="G61" s="628"/>
      <c r="H61" s="628"/>
      <c r="I61" s="628"/>
      <c r="J61" s="628"/>
      <c r="K61" s="628"/>
      <c r="L61" s="628"/>
      <c r="M61" s="628"/>
      <c r="N61" s="628"/>
      <c r="O61" s="703"/>
      <c r="P61" s="1339"/>
    </row>
    <row r="62" spans="1:16" ht="15.75">
      <c r="A62" s="627"/>
      <c r="B62" s="628" t="s">
        <v>1034</v>
      </c>
      <c r="C62" s="628"/>
      <c r="D62" s="628"/>
      <c r="E62" s="628"/>
      <c r="F62" s="628"/>
      <c r="G62" s="628"/>
      <c r="H62" s="628"/>
      <c r="I62" s="628"/>
      <c r="J62" s="628"/>
      <c r="K62" s="628"/>
      <c r="L62" s="628"/>
      <c r="M62" s="628"/>
      <c r="N62" s="628"/>
      <c r="O62" s="703"/>
      <c r="P62" s="1339"/>
    </row>
    <row r="63" spans="1:16" ht="15">
      <c r="A63" s="627"/>
      <c r="B63" s="628" t="str">
        <f>"expenses?"&amp;CHAR(34)&amp;") with the higher net income deducted on line 214 of his or her "&amp;yeartext&amp;" return"</f>
        <v>expenses?") with the higher net income deducted on line 214 of his or her 2006 return</v>
      </c>
      <c r="C63" s="628"/>
      <c r="D63" s="628"/>
      <c r="E63" s="628"/>
      <c r="F63" s="628"/>
      <c r="G63" s="628"/>
      <c r="H63" s="628"/>
      <c r="I63" s="628"/>
      <c r="J63" s="714"/>
      <c r="K63" s="714"/>
      <c r="L63" s="714"/>
      <c r="M63" s="628"/>
      <c r="N63" s="108"/>
      <c r="O63" s="716" t="s">
        <v>620</v>
      </c>
      <c r="P63" s="1339"/>
    </row>
    <row r="64" spans="1:16" ht="17.25" customHeight="1">
      <c r="A64" s="627"/>
      <c r="B64" s="628" t="str">
        <f>"Line 7 minus line 8. If you attended school in "&amp;yeartext&amp;" and you are the only person making a claim, also go to"</f>
        <v>Line 7 minus line 8. If you attended school in 2006 and you are the only person making a claim, also go to</v>
      </c>
      <c r="C64" s="628"/>
      <c r="D64" s="628"/>
      <c r="E64" s="628"/>
      <c r="F64" s="628"/>
      <c r="G64" s="628"/>
      <c r="H64" s="628"/>
      <c r="I64" s="628"/>
      <c r="J64" s="628"/>
      <c r="K64" s="628"/>
      <c r="L64" s="628"/>
      <c r="M64" s="628"/>
      <c r="N64" s="628"/>
      <c r="O64" s="703"/>
      <c r="P64" s="1339"/>
    </row>
    <row r="65" spans="1:16" ht="15.75">
      <c r="A65" s="627"/>
      <c r="B65" s="628" t="s">
        <v>1855</v>
      </c>
      <c r="C65" s="628"/>
      <c r="D65" s="628"/>
      <c r="E65" s="628"/>
      <c r="F65" s="628"/>
      <c r="G65" s="628"/>
      <c r="H65" s="714"/>
      <c r="I65" s="714"/>
      <c r="J65" s="714"/>
      <c r="K65" s="628"/>
      <c r="L65" s="711" t="s">
        <v>1605</v>
      </c>
      <c r="M65" s="628"/>
      <c r="N65" s="660">
        <f>IF(B79="",N58-N63,0)</f>
        <v>0</v>
      </c>
      <c r="O65" s="716" t="s">
        <v>750</v>
      </c>
      <c r="P65" s="1339"/>
    </row>
    <row r="66" spans="1:16" ht="15">
      <c r="A66" s="627"/>
      <c r="B66" s="628"/>
      <c r="C66" s="628"/>
      <c r="D66" s="628"/>
      <c r="E66" s="628"/>
      <c r="F66" s="628"/>
      <c r="G66" s="628"/>
      <c r="H66" s="628"/>
      <c r="I66" s="628"/>
      <c r="J66" s="628"/>
      <c r="K66" s="628"/>
      <c r="L66" s="628"/>
      <c r="M66" s="628"/>
      <c r="N66" s="628"/>
      <c r="O66" s="703"/>
      <c r="P66" s="1339"/>
    </row>
    <row r="67" spans="1:16" ht="15">
      <c r="A67" s="627"/>
      <c r="B67" s="628" t="s">
        <v>1856</v>
      </c>
      <c r="C67" s="628"/>
      <c r="D67" s="628"/>
      <c r="E67" s="628"/>
      <c r="F67" s="628"/>
      <c r="G67" s="628"/>
      <c r="H67" s="628"/>
      <c r="I67" s="628"/>
      <c r="J67" s="628"/>
      <c r="K67" s="628"/>
      <c r="L67" s="628"/>
      <c r="M67" s="628"/>
      <c r="N67" s="628"/>
      <c r="O67" s="703"/>
      <c r="P67" s="1339"/>
    </row>
    <row r="68" spans="1:16" ht="15">
      <c r="A68" s="627"/>
      <c r="B68" s="628" t="s">
        <v>1616</v>
      </c>
      <c r="C68" s="628"/>
      <c r="D68" s="628"/>
      <c r="E68" s="628"/>
      <c r="F68" s="628"/>
      <c r="G68" s="628"/>
      <c r="H68" s="628"/>
      <c r="I68" s="628"/>
      <c r="J68" s="628"/>
      <c r="K68" s="628"/>
      <c r="L68" s="628"/>
      <c r="M68" s="628"/>
      <c r="N68" s="628"/>
      <c r="O68" s="703"/>
      <c r="P68" s="1339"/>
    </row>
    <row r="69" spans="1:16" ht="15">
      <c r="A69" s="630"/>
      <c r="B69" s="629"/>
      <c r="C69" s="629"/>
      <c r="D69" s="629"/>
      <c r="E69" s="629"/>
      <c r="F69" s="629"/>
      <c r="G69" s="629"/>
      <c r="H69" s="629"/>
      <c r="I69" s="629"/>
      <c r="J69" s="629"/>
      <c r="K69" s="629"/>
      <c r="L69" s="629"/>
      <c r="M69" s="629"/>
      <c r="N69" s="629"/>
      <c r="O69" s="713"/>
      <c r="P69" s="1339"/>
    </row>
    <row r="70" spans="1:16" ht="23.25">
      <c r="A70" s="618"/>
      <c r="B70" s="618"/>
      <c r="C70" s="618"/>
      <c r="D70" s="618"/>
      <c r="E70" s="618"/>
      <c r="F70" s="618"/>
      <c r="G70" s="618"/>
      <c r="H70" s="618"/>
      <c r="I70" s="618"/>
      <c r="J70" s="618"/>
      <c r="K70" s="618"/>
      <c r="L70" s="618"/>
      <c r="M70" s="628"/>
      <c r="N70" s="618"/>
      <c r="O70" s="720" t="s">
        <v>41</v>
      </c>
      <c r="P70" s="1339"/>
    </row>
    <row r="71" spans="1:16" ht="15">
      <c r="A71" s="618"/>
      <c r="B71" s="618"/>
      <c r="C71" s="618"/>
      <c r="D71" s="618"/>
      <c r="E71" s="618"/>
      <c r="F71" s="618"/>
      <c r="G71" s="618"/>
      <c r="H71" s="618"/>
      <c r="I71" s="618"/>
      <c r="J71" s="618"/>
      <c r="K71" s="618"/>
      <c r="L71" s="618"/>
      <c r="M71" s="628"/>
      <c r="N71" s="618"/>
      <c r="O71" s="618"/>
      <c r="P71" s="1339"/>
    </row>
    <row r="72" spans="1:16" ht="15">
      <c r="A72" s="618"/>
      <c r="B72" s="618"/>
      <c r="C72" s="618"/>
      <c r="D72" s="618"/>
      <c r="E72" s="618"/>
      <c r="F72" s="618"/>
      <c r="G72" s="618"/>
      <c r="H72" s="618"/>
      <c r="I72" s="618"/>
      <c r="J72" s="618"/>
      <c r="K72" s="618"/>
      <c r="L72" s="618"/>
      <c r="M72" s="628"/>
      <c r="N72" s="618"/>
      <c r="O72" s="618"/>
      <c r="P72" s="1339"/>
    </row>
    <row r="73" spans="1:16" ht="20.25">
      <c r="A73" s="632"/>
      <c r="B73" s="702" t="s">
        <v>952</v>
      </c>
      <c r="C73" s="702"/>
      <c r="D73" s="625"/>
      <c r="E73" s="625"/>
      <c r="F73" s="625"/>
      <c r="G73" s="625"/>
      <c r="H73" s="625"/>
      <c r="I73" s="625"/>
      <c r="J73" s="625"/>
      <c r="K73" s="625"/>
      <c r="L73" s="625"/>
      <c r="M73" s="625"/>
      <c r="N73" s="625"/>
      <c r="O73" s="626"/>
      <c r="P73" s="1339"/>
    </row>
    <row r="74" spans="1:16" ht="15">
      <c r="A74" s="627"/>
      <c r="B74" s="628"/>
      <c r="C74" s="628"/>
      <c r="D74" s="628"/>
      <c r="E74" s="628"/>
      <c r="F74" s="628"/>
      <c r="G74" s="628"/>
      <c r="H74" s="628"/>
      <c r="I74" s="628"/>
      <c r="J74" s="628"/>
      <c r="K74" s="628"/>
      <c r="L74" s="628"/>
      <c r="M74" s="628"/>
      <c r="N74" s="628"/>
      <c r="O74" s="703"/>
      <c r="P74" s="1339"/>
    </row>
    <row r="75" spans="1:16" ht="15">
      <c r="A75" s="627"/>
      <c r="B75" s="628" t="str">
        <f>"Complete Part C if, in "&amp;yeartext&amp;", another person (as described in the section called "&amp;CHAR(34)&amp;"Who can claim child care expenses?"&amp;CHAR(34)&amp;") with lower"</f>
        <v>Complete Part C if, in 2006, another person (as described in the section called "Who can claim child care expenses?") with lower</v>
      </c>
      <c r="C75" s="628"/>
      <c r="D75" s="628"/>
      <c r="E75" s="628"/>
      <c r="F75" s="628"/>
      <c r="G75" s="628"/>
      <c r="H75" s="628"/>
      <c r="I75" s="628"/>
      <c r="J75" s="628"/>
      <c r="K75" s="628"/>
      <c r="L75" s="628"/>
      <c r="M75" s="628"/>
      <c r="N75" s="628"/>
      <c r="O75" s="703"/>
      <c r="P75" s="1339"/>
    </row>
    <row r="76" spans="1:16" ht="15">
      <c r="A76" s="627"/>
      <c r="B76" s="628" t="s">
        <v>1064</v>
      </c>
      <c r="C76" s="628"/>
      <c r="D76" s="628"/>
      <c r="E76" s="628"/>
      <c r="F76" s="628"/>
      <c r="G76" s="628"/>
      <c r="H76" s="628"/>
      <c r="I76" s="628"/>
      <c r="J76" s="628"/>
      <c r="K76" s="628"/>
      <c r="L76" s="628"/>
      <c r="M76" s="628"/>
      <c r="N76" s="628"/>
      <c r="O76" s="703"/>
      <c r="P76" s="1339"/>
    </row>
    <row r="77" spans="1:16" ht="15.75">
      <c r="A77" s="627"/>
      <c r="B77" s="710" t="s">
        <v>2136</v>
      </c>
      <c r="C77" s="628"/>
      <c r="D77" s="628"/>
      <c r="E77" s="628"/>
      <c r="F77" s="628"/>
      <c r="G77" s="628"/>
      <c r="H77" s="628"/>
      <c r="I77" s="628"/>
      <c r="J77" s="628"/>
      <c r="K77" s="628"/>
      <c r="L77" s="628"/>
      <c r="M77" s="628"/>
      <c r="N77" s="628"/>
      <c r="O77" s="703"/>
      <c r="P77" s="1339"/>
    </row>
    <row r="78" spans="1:16" ht="21.75" customHeight="1">
      <c r="A78" s="627"/>
      <c r="B78" s="618"/>
      <c r="C78" s="628"/>
      <c r="D78" s="628"/>
      <c r="E78" s="636" t="s">
        <v>1065</v>
      </c>
      <c r="F78" s="628"/>
      <c r="G78" s="628"/>
      <c r="H78" s="628"/>
      <c r="I78" s="628"/>
      <c r="J78" s="628"/>
      <c r="K78" s="636" t="s">
        <v>2169</v>
      </c>
      <c r="L78" s="628"/>
      <c r="M78" s="628"/>
      <c r="N78" s="636" t="s">
        <v>1329</v>
      </c>
      <c r="O78" s="703"/>
      <c r="P78" s="1339"/>
    </row>
    <row r="79" spans="1:16" ht="19.5" customHeight="1">
      <c r="A79" s="627"/>
      <c r="B79" s="1419"/>
      <c r="C79" s="1419"/>
      <c r="D79" s="1419"/>
      <c r="E79" s="1419"/>
      <c r="F79" s="1419"/>
      <c r="G79" s="1419"/>
      <c r="H79" s="628"/>
      <c r="I79" s="628"/>
      <c r="J79" s="628"/>
      <c r="K79" s="323"/>
      <c r="L79" s="628"/>
      <c r="M79" s="628"/>
      <c r="N79" s="108"/>
      <c r="O79" s="703"/>
      <c r="P79" s="1339"/>
    </row>
    <row r="80" spans="1:16" ht="15">
      <c r="A80" s="627"/>
      <c r="B80" s="628"/>
      <c r="C80" s="628"/>
      <c r="D80" s="628"/>
      <c r="E80" s="628"/>
      <c r="F80" s="628"/>
      <c r="G80" s="628"/>
      <c r="H80" s="628"/>
      <c r="I80" s="628"/>
      <c r="J80" s="628"/>
      <c r="K80" s="628"/>
      <c r="L80" s="628"/>
      <c r="M80" s="628"/>
      <c r="N80" s="628"/>
      <c r="O80" s="703"/>
      <c r="P80" s="1339"/>
    </row>
    <row r="81" spans="1:16" ht="18">
      <c r="A81" s="627"/>
      <c r="B81" s="324"/>
      <c r="C81" s="628" t="s">
        <v>362</v>
      </c>
      <c r="D81" s="628"/>
      <c r="E81" s="628"/>
      <c r="F81" s="628"/>
      <c r="G81" s="628"/>
      <c r="H81" s="628"/>
      <c r="I81" s="628"/>
      <c r="J81" s="628"/>
      <c r="K81" s="628"/>
      <c r="L81" s="628"/>
      <c r="M81" s="628"/>
      <c r="N81" s="628"/>
      <c r="O81" s="703"/>
      <c r="P81" s="1339"/>
    </row>
    <row r="82" spans="1:16" ht="15">
      <c r="A82" s="627"/>
      <c r="B82" s="628"/>
      <c r="C82" s="628" t="str">
        <f>"     you enrolled in an educational program ?"&amp;CHAR(34)&amp;" on the attached information sheet."</f>
        <v>     you enrolled in an educational program ?" on the attached information sheet.</v>
      </c>
      <c r="D82" s="628"/>
      <c r="E82" s="628"/>
      <c r="F82" s="628"/>
      <c r="G82" s="628"/>
      <c r="H82" s="628"/>
      <c r="I82" s="628"/>
      <c r="J82" s="628"/>
      <c r="K82" s="628"/>
      <c r="L82" s="628"/>
      <c r="M82" s="628"/>
      <c r="N82" s="628"/>
      <c r="O82" s="703"/>
      <c r="P82" s="1339"/>
    </row>
    <row r="83" spans="1:16" ht="15">
      <c r="A83" s="627"/>
      <c r="B83" s="628"/>
      <c r="C83" s="628"/>
      <c r="D83" s="628"/>
      <c r="E83" s="628"/>
      <c r="F83" s="628"/>
      <c r="G83" s="628"/>
      <c r="H83" s="628"/>
      <c r="I83" s="628"/>
      <c r="J83" s="628"/>
      <c r="K83" s="628"/>
      <c r="L83" s="628"/>
      <c r="M83" s="628"/>
      <c r="N83" s="628"/>
      <c r="O83" s="703"/>
      <c r="P83" s="1339"/>
    </row>
    <row r="84" spans="1:16" ht="18">
      <c r="A84" s="627"/>
      <c r="B84" s="324"/>
      <c r="C84" s="628" t="s">
        <v>363</v>
      </c>
      <c r="D84" s="628"/>
      <c r="E84" s="628"/>
      <c r="F84" s="628"/>
      <c r="G84" s="628"/>
      <c r="H84" s="628"/>
      <c r="I84" s="628"/>
      <c r="J84" s="628"/>
      <c r="K84" s="628"/>
      <c r="L84" s="628"/>
      <c r="M84" s="628"/>
      <c r="N84" s="628"/>
      <c r="O84" s="703"/>
      <c r="P84" s="1339"/>
    </row>
    <row r="85" spans="1:16" ht="15">
      <c r="A85" s="627"/>
      <c r="B85" s="628"/>
      <c r="C85" s="628" t="str">
        <f>"     you enrolled in an educational program ?"&amp;CHAR(34)&amp;" on the attached information sheet."</f>
        <v>     you enrolled in an educational program ?" on the attached information sheet.</v>
      </c>
      <c r="D85" s="628"/>
      <c r="E85" s="628"/>
      <c r="F85" s="628"/>
      <c r="G85" s="628"/>
      <c r="H85" s="628"/>
      <c r="I85" s="628"/>
      <c r="J85" s="628"/>
      <c r="K85" s="628"/>
      <c r="L85" s="628"/>
      <c r="M85" s="628"/>
      <c r="N85" s="628"/>
      <c r="O85" s="703"/>
      <c r="P85" s="1339"/>
    </row>
    <row r="86" spans="1:16" ht="15">
      <c r="A86" s="627"/>
      <c r="B86" s="628"/>
      <c r="C86" s="628"/>
      <c r="D86" s="628"/>
      <c r="E86" s="628"/>
      <c r="F86" s="628"/>
      <c r="G86" s="628"/>
      <c r="H86" s="628"/>
      <c r="I86" s="628"/>
      <c r="J86" s="628"/>
      <c r="K86" s="628"/>
      <c r="L86" s="628"/>
      <c r="M86" s="628"/>
      <c r="N86" s="628"/>
      <c r="O86" s="703"/>
      <c r="P86" s="1339"/>
    </row>
    <row r="87" spans="1:16" ht="18">
      <c r="A87" s="627"/>
      <c r="B87" s="324"/>
      <c r="C87" s="628" t="s">
        <v>2139</v>
      </c>
      <c r="D87" s="628"/>
      <c r="E87" s="628"/>
      <c r="F87" s="628"/>
      <c r="G87" s="628"/>
      <c r="H87" s="628"/>
      <c r="I87" s="628"/>
      <c r="J87" s="628"/>
      <c r="K87" s="628"/>
      <c r="L87" s="628"/>
      <c r="M87" s="628"/>
      <c r="N87" s="628"/>
      <c r="O87" s="703"/>
      <c r="P87" s="1339"/>
    </row>
    <row r="88" spans="1:16" ht="15">
      <c r="A88" s="627"/>
      <c r="B88" s="628"/>
      <c r="C88" s="628" t="s">
        <v>2137</v>
      </c>
      <c r="D88" s="628"/>
      <c r="E88" s="628"/>
      <c r="F88" s="628"/>
      <c r="G88" s="628"/>
      <c r="H88" s="628"/>
      <c r="I88" s="628"/>
      <c r="J88" s="628"/>
      <c r="K88" s="628"/>
      <c r="L88" s="628"/>
      <c r="M88" s="628"/>
      <c r="N88" s="628"/>
      <c r="O88" s="703"/>
      <c r="P88" s="1339"/>
    </row>
    <row r="89" spans="1:16" ht="15">
      <c r="A89" s="627"/>
      <c r="B89" s="628"/>
      <c r="C89" s="628" t="s">
        <v>2138</v>
      </c>
      <c r="D89" s="628"/>
      <c r="E89" s="628"/>
      <c r="F89" s="628"/>
      <c r="G89" s="628"/>
      <c r="H89" s="628"/>
      <c r="I89" s="628"/>
      <c r="J89" s="628"/>
      <c r="K89" s="628"/>
      <c r="L89" s="628"/>
      <c r="M89" s="628"/>
      <c r="N89" s="628"/>
      <c r="O89" s="703"/>
      <c r="P89" s="1339"/>
    </row>
    <row r="90" spans="1:16" ht="15">
      <c r="A90" s="627"/>
      <c r="B90" s="628"/>
      <c r="C90" s="628"/>
      <c r="D90" s="628"/>
      <c r="E90" s="628"/>
      <c r="F90" s="628"/>
      <c r="G90" s="628"/>
      <c r="H90" s="628"/>
      <c r="I90" s="628"/>
      <c r="J90" s="628"/>
      <c r="K90" s="628"/>
      <c r="L90" s="628"/>
      <c r="M90" s="628"/>
      <c r="N90" s="628"/>
      <c r="O90" s="703"/>
      <c r="P90" s="1339"/>
    </row>
    <row r="91" spans="1:16" ht="18">
      <c r="A91" s="627"/>
      <c r="B91" s="324"/>
      <c r="C91" s="628" t="s">
        <v>2140</v>
      </c>
      <c r="D91" s="628"/>
      <c r="E91" s="628"/>
      <c r="F91" s="628"/>
      <c r="G91" s="628"/>
      <c r="H91" s="628"/>
      <c r="I91" s="628"/>
      <c r="J91" s="628"/>
      <c r="K91" s="628"/>
      <c r="L91" s="628"/>
      <c r="M91" s="628"/>
      <c r="N91" s="628"/>
      <c r="O91" s="703"/>
      <c r="P91" s="1339"/>
    </row>
    <row r="92" spans="1:16" ht="15">
      <c r="A92" s="627"/>
      <c r="B92" s="628"/>
      <c r="C92" s="628" t="s">
        <v>1335</v>
      </c>
      <c r="D92" s="628"/>
      <c r="E92" s="628"/>
      <c r="F92" s="628"/>
      <c r="G92" s="628"/>
      <c r="H92" s="628"/>
      <c r="I92" s="628"/>
      <c r="J92" s="628"/>
      <c r="K92" s="628"/>
      <c r="L92" s="628"/>
      <c r="M92" s="628"/>
      <c r="N92" s="628"/>
      <c r="O92" s="703"/>
      <c r="P92" s="1339"/>
    </row>
    <row r="93" spans="1:16" ht="15">
      <c r="A93" s="627"/>
      <c r="B93" s="628"/>
      <c r="C93" s="628"/>
      <c r="D93" s="628"/>
      <c r="E93" s="628"/>
      <c r="F93" s="628"/>
      <c r="G93" s="628"/>
      <c r="H93" s="628"/>
      <c r="I93" s="628"/>
      <c r="J93" s="628"/>
      <c r="K93" s="628"/>
      <c r="L93" s="628"/>
      <c r="M93" s="628"/>
      <c r="N93" s="628"/>
      <c r="O93" s="703"/>
      <c r="P93" s="1339"/>
    </row>
    <row r="94" spans="1:16" ht="18">
      <c r="A94" s="627"/>
      <c r="B94" s="324"/>
      <c r="C94" s="628" t="s">
        <v>364</v>
      </c>
      <c r="D94" s="628"/>
      <c r="E94" s="628"/>
      <c r="F94" s="628"/>
      <c r="G94" s="628"/>
      <c r="H94" s="628"/>
      <c r="I94" s="628"/>
      <c r="J94" s="628"/>
      <c r="K94" s="628"/>
      <c r="L94" s="628"/>
      <c r="M94" s="628"/>
      <c r="N94" s="628"/>
      <c r="O94" s="703"/>
      <c r="P94" s="1339"/>
    </row>
    <row r="95" spans="1:16" ht="15">
      <c r="A95" s="627"/>
      <c r="B95" s="628"/>
      <c r="C95" s="628"/>
      <c r="D95" s="628"/>
      <c r="E95" s="628"/>
      <c r="F95" s="628"/>
      <c r="G95" s="628"/>
      <c r="H95" s="628"/>
      <c r="I95" s="628"/>
      <c r="J95" s="628"/>
      <c r="K95" s="628"/>
      <c r="L95" s="628"/>
      <c r="M95" s="628"/>
      <c r="N95" s="628"/>
      <c r="O95" s="703"/>
      <c r="P95" s="1339"/>
    </row>
    <row r="96" spans="1:16" ht="18">
      <c r="A96" s="627"/>
      <c r="B96" s="324"/>
      <c r="C96" s="628" t="s">
        <v>480</v>
      </c>
      <c r="D96" s="628"/>
      <c r="E96" s="628"/>
      <c r="F96" s="628"/>
      <c r="G96" s="628"/>
      <c r="H96" s="628"/>
      <c r="I96" s="628"/>
      <c r="J96" s="628"/>
      <c r="K96" s="628"/>
      <c r="L96" s="628"/>
      <c r="M96" s="628"/>
      <c r="N96" s="628"/>
      <c r="O96" s="703"/>
      <c r="P96" s="1339"/>
    </row>
    <row r="97" spans="1:16" ht="15">
      <c r="A97" s="627"/>
      <c r="B97" s="628"/>
      <c r="C97" s="628" t="str">
        <f>"    end of "&amp;yeartext&amp;" and for a period of at least 90 days beginning in "&amp;yeartext&amp;", but you reconciled before March 1, "&amp;nextyeartext&amp;"."</f>
        <v>    end of 2006 and for a period of at least 90 days beginning in 2006, but you reconciled before March 1, 2007.</v>
      </c>
      <c r="D97" s="628"/>
      <c r="E97" s="628"/>
      <c r="F97" s="628"/>
      <c r="G97" s="628"/>
      <c r="H97" s="628"/>
      <c r="I97" s="628"/>
      <c r="J97" s="628"/>
      <c r="K97" s="628"/>
      <c r="L97" s="628"/>
      <c r="M97" s="628"/>
      <c r="N97" s="628"/>
      <c r="O97" s="703"/>
      <c r="P97" s="1339"/>
    </row>
    <row r="98" spans="1:16" ht="15">
      <c r="A98" s="627"/>
      <c r="B98" s="628"/>
      <c r="C98" s="628"/>
      <c r="D98" s="628"/>
      <c r="E98" s="628"/>
      <c r="F98" s="628"/>
      <c r="G98" s="628"/>
      <c r="H98" s="628"/>
      <c r="I98" s="628"/>
      <c r="J98" s="628"/>
      <c r="K98" s="628"/>
      <c r="L98" s="628"/>
      <c r="M98" s="628"/>
      <c r="N98" s="628"/>
      <c r="O98" s="703"/>
      <c r="P98" s="1339"/>
    </row>
    <row r="99" spans="1:16" ht="15.75">
      <c r="A99" s="627"/>
      <c r="B99" s="628" t="s">
        <v>787</v>
      </c>
      <c r="C99" s="628"/>
      <c r="D99" s="628"/>
      <c r="E99" s="388">
        <f>N52</f>
        <v>0</v>
      </c>
      <c r="F99" s="628"/>
      <c r="G99" s="710" t="s">
        <v>279</v>
      </c>
      <c r="H99" s="714"/>
      <c r="I99" s="714"/>
      <c r="J99" s="714"/>
      <c r="K99" s="714"/>
      <c r="L99" s="714"/>
      <c r="M99" s="628"/>
      <c r="N99" s="388">
        <f>E99*0.025</f>
        <v>0</v>
      </c>
      <c r="O99" s="716" t="s">
        <v>504</v>
      </c>
      <c r="P99" s="1339"/>
    </row>
    <row r="100" spans="1:16" ht="15">
      <c r="A100" s="627"/>
      <c r="B100" s="628"/>
      <c r="C100" s="628"/>
      <c r="D100" s="628"/>
      <c r="E100" s="628"/>
      <c r="F100" s="628"/>
      <c r="G100" s="628"/>
      <c r="H100" s="628"/>
      <c r="I100" s="628"/>
      <c r="J100" s="628"/>
      <c r="K100" s="628"/>
      <c r="L100" s="628"/>
      <c r="M100" s="628"/>
      <c r="N100" s="628"/>
      <c r="O100" s="703"/>
      <c r="P100" s="1339"/>
    </row>
    <row r="101" spans="1:16" ht="15.75">
      <c r="A101" s="627"/>
      <c r="B101" s="628" t="s">
        <v>1027</v>
      </c>
      <c r="C101" s="628"/>
      <c r="D101" s="628"/>
      <c r="E101" s="628"/>
      <c r="F101" s="628"/>
      <c r="G101" s="628"/>
      <c r="H101" s="322"/>
      <c r="I101" s="1417" t="str">
        <f>" in "&amp;yeartext&amp;" that"</f>
        <v> in 2006 that</v>
      </c>
      <c r="J101" s="1418"/>
      <c r="K101" s="1240" t="s">
        <v>218</v>
      </c>
      <c r="L101" s="628"/>
      <c r="M101" s="628"/>
      <c r="N101" s="628"/>
      <c r="O101" s="703"/>
      <c r="P101" s="1339"/>
    </row>
    <row r="102" spans="1:16" ht="15.75">
      <c r="A102" s="627"/>
      <c r="B102" s="628" t="s">
        <v>391</v>
      </c>
      <c r="C102" s="628"/>
      <c r="D102" s="628"/>
      <c r="E102" s="628"/>
      <c r="F102" s="628"/>
      <c r="G102" s="628"/>
      <c r="H102" s="628"/>
      <c r="I102" s="628"/>
      <c r="J102" s="714"/>
      <c r="K102" s="714"/>
      <c r="L102" s="714"/>
      <c r="M102" s="628"/>
      <c r="N102" s="388">
        <f>ROUND(H101,0)*N99</f>
        <v>0</v>
      </c>
      <c r="O102" s="716" t="s">
        <v>980</v>
      </c>
      <c r="P102" s="1339"/>
    </row>
    <row r="103" spans="1:16" ht="16.5" thickBot="1">
      <c r="A103" s="627"/>
      <c r="B103" s="628" t="s">
        <v>2170</v>
      </c>
      <c r="C103" s="628"/>
      <c r="D103" s="628"/>
      <c r="E103" s="628"/>
      <c r="F103" s="628"/>
      <c r="G103" s="628"/>
      <c r="H103" s="322"/>
      <c r="I103" s="618"/>
      <c r="J103" s="704" t="str">
        <f>" in "&amp;yeartext&amp;" that any of"</f>
        <v> in 2006 that any of</v>
      </c>
      <c r="K103" s="628" t="s">
        <v>219</v>
      </c>
      <c r="L103" s="628"/>
      <c r="M103" s="628"/>
      <c r="N103" s="734">
        <f>ROUND(H103,0)*N99</f>
        <v>0</v>
      </c>
      <c r="O103" s="716" t="s">
        <v>982</v>
      </c>
      <c r="P103" s="1339"/>
    </row>
    <row r="104" spans="1:16" ht="15.75">
      <c r="A104" s="627"/>
      <c r="B104" s="628" t="s">
        <v>365</v>
      </c>
      <c r="C104" s="628"/>
      <c r="D104" s="628"/>
      <c r="E104" s="714"/>
      <c r="F104" s="714"/>
      <c r="G104" s="714"/>
      <c r="H104" s="714"/>
      <c r="I104" s="714"/>
      <c r="J104" s="714"/>
      <c r="K104" s="714"/>
      <c r="L104" s="714"/>
      <c r="M104" s="320" t="s">
        <v>45</v>
      </c>
      <c r="N104" s="388">
        <f>N102+N103</f>
        <v>0</v>
      </c>
      <c r="O104" s="716" t="s">
        <v>984</v>
      </c>
      <c r="P104" s="1339"/>
    </row>
    <row r="105" spans="1:16" ht="15">
      <c r="A105" s="627"/>
      <c r="B105" s="628"/>
      <c r="C105" s="628"/>
      <c r="D105" s="628"/>
      <c r="E105" s="628"/>
      <c r="F105" s="628"/>
      <c r="G105" s="628"/>
      <c r="H105" s="628"/>
      <c r="I105" s="628"/>
      <c r="J105" s="628"/>
      <c r="K105" s="628"/>
      <c r="L105" s="628"/>
      <c r="M105" s="628"/>
      <c r="N105" s="628"/>
      <c r="O105" s="703"/>
      <c r="P105" s="1339"/>
    </row>
    <row r="106" spans="1:16" ht="15.75">
      <c r="A106" s="627"/>
      <c r="B106" s="628" t="s">
        <v>769</v>
      </c>
      <c r="C106" s="628"/>
      <c r="D106" s="628"/>
      <c r="E106" s="628"/>
      <c r="F106" s="628"/>
      <c r="G106" s="628"/>
      <c r="H106" s="628"/>
      <c r="I106" s="628"/>
      <c r="J106" s="628"/>
      <c r="K106" s="628"/>
      <c r="L106" s="628"/>
      <c r="M106" s="628"/>
      <c r="N106" s="628"/>
      <c r="O106" s="703"/>
      <c r="P106" s="1339"/>
    </row>
    <row r="107" spans="1:16" ht="15">
      <c r="A107" s="627"/>
      <c r="B107" s="628" t="str">
        <f>"If you attended school in "&amp;yeartext&amp;", go to Part D."</f>
        <v>If you attended school in 2006, go to Part D.</v>
      </c>
      <c r="C107" s="628"/>
      <c r="D107" s="628"/>
      <c r="E107" s="628"/>
      <c r="F107" s="628"/>
      <c r="G107" s="628"/>
      <c r="H107" s="628"/>
      <c r="I107" s="628"/>
      <c r="J107" s="628"/>
      <c r="K107" s="628"/>
      <c r="L107" s="628"/>
      <c r="M107" s="628"/>
      <c r="N107" s="628"/>
      <c r="O107" s="703"/>
      <c r="P107" s="1339"/>
    </row>
    <row r="108" spans="1:16" ht="15.75">
      <c r="A108" s="627"/>
      <c r="B108" s="628" t="s">
        <v>1604</v>
      </c>
      <c r="C108" s="628"/>
      <c r="D108" s="628"/>
      <c r="E108" s="628"/>
      <c r="F108" s="628"/>
      <c r="G108" s="628"/>
      <c r="H108" s="714"/>
      <c r="I108" s="714"/>
      <c r="J108" s="714"/>
      <c r="K108" s="628"/>
      <c r="L108" s="711" t="s">
        <v>1605</v>
      </c>
      <c r="M108" s="628"/>
      <c r="N108" s="660">
        <f>MINA(N58,N104)</f>
        <v>0</v>
      </c>
      <c r="O108" s="716" t="s">
        <v>506</v>
      </c>
      <c r="P108" s="1339"/>
    </row>
    <row r="109" spans="1:16" ht="15.75">
      <c r="A109" s="630"/>
      <c r="B109" s="629"/>
      <c r="C109" s="629"/>
      <c r="D109" s="629"/>
      <c r="E109" s="629"/>
      <c r="F109" s="629"/>
      <c r="G109" s="629"/>
      <c r="H109" s="629"/>
      <c r="I109" s="629"/>
      <c r="J109" s="629"/>
      <c r="K109" s="629"/>
      <c r="L109" s="758"/>
      <c r="M109" s="629"/>
      <c r="N109" s="631"/>
      <c r="O109" s="759"/>
      <c r="P109" s="1339"/>
    </row>
    <row r="110" spans="1:16" ht="15">
      <c r="A110" s="618"/>
      <c r="B110" s="618"/>
      <c r="C110" s="618"/>
      <c r="D110" s="618"/>
      <c r="E110" s="618"/>
      <c r="F110" s="618"/>
      <c r="G110" s="618"/>
      <c r="H110" s="618"/>
      <c r="I110" s="618"/>
      <c r="J110" s="618"/>
      <c r="K110" s="618"/>
      <c r="L110" s="618"/>
      <c r="M110" s="628"/>
      <c r="N110" s="618"/>
      <c r="O110" s="618"/>
      <c r="P110" s="1339"/>
    </row>
    <row r="111" spans="1:16" ht="20.25">
      <c r="A111" s="632"/>
      <c r="B111" s="702" t="str">
        <f>"Part D – Are you enrolled in an educational program in "&amp;yeartext&amp;"?"</f>
        <v>Part D – Are you enrolled in an educational program in 2006?</v>
      </c>
      <c r="C111" s="625"/>
      <c r="D111" s="625"/>
      <c r="E111" s="625"/>
      <c r="F111" s="625"/>
      <c r="G111" s="625"/>
      <c r="H111" s="625"/>
      <c r="I111" s="625"/>
      <c r="J111" s="625"/>
      <c r="K111" s="625"/>
      <c r="L111" s="625"/>
      <c r="M111" s="625"/>
      <c r="N111" s="625"/>
      <c r="O111" s="626"/>
      <c r="P111" s="1339"/>
    </row>
    <row r="112" spans="1:16" ht="15">
      <c r="A112" s="627"/>
      <c r="B112" s="628" t="str">
        <f>"Complete Part D if, at a given time in "&amp;yeartext&amp;", either of the following situations applies to you:"</f>
        <v>Complete Part D if, at a given time in 2006, either of the following situations applies to you:</v>
      </c>
      <c r="C112" s="628"/>
      <c r="D112" s="628"/>
      <c r="E112" s="628"/>
      <c r="F112" s="628"/>
      <c r="G112" s="628"/>
      <c r="H112" s="628"/>
      <c r="I112" s="628"/>
      <c r="J112" s="628"/>
      <c r="K112" s="628"/>
      <c r="L112" s="628"/>
      <c r="M112" s="628"/>
      <c r="N112" s="628"/>
      <c r="O112" s="703"/>
      <c r="P112" s="1339"/>
    </row>
    <row r="113" spans="1:16" ht="15.75" customHeight="1">
      <c r="A113" s="627"/>
      <c r="B113" s="952" t="s">
        <v>999</v>
      </c>
      <c r="C113" s="628" t="s">
        <v>1005</v>
      </c>
      <c r="D113" s="628"/>
      <c r="E113" s="628"/>
      <c r="F113" s="628"/>
      <c r="G113" s="628"/>
      <c r="H113" s="628"/>
      <c r="I113" s="628"/>
      <c r="J113" s="628"/>
      <c r="K113" s="628"/>
      <c r="L113" s="628"/>
      <c r="M113" s="628"/>
      <c r="N113" s="628"/>
      <c r="O113" s="703"/>
      <c r="P113" s="1339"/>
    </row>
    <row r="114" spans="1:16" ht="15.75" customHeight="1">
      <c r="A114" s="627"/>
      <c r="B114" s="628"/>
      <c r="C114" s="628" t="s">
        <v>1805</v>
      </c>
      <c r="D114" s="628"/>
      <c r="E114" s="628"/>
      <c r="F114" s="628"/>
      <c r="G114" s="628"/>
      <c r="H114" s="628"/>
      <c r="I114" s="628"/>
      <c r="J114" s="628"/>
      <c r="K114" s="628"/>
      <c r="L114" s="628"/>
      <c r="M114" s="628"/>
      <c r="N114" s="628"/>
      <c r="O114" s="703"/>
      <c r="P114" s="1339"/>
    </row>
    <row r="115" spans="1:16" ht="15.75" customHeight="1">
      <c r="A115" s="627"/>
      <c r="B115" s="952" t="s">
        <v>999</v>
      </c>
      <c r="C115" s="643" t="s">
        <v>1806</v>
      </c>
      <c r="D115" s="643"/>
      <c r="E115" s="643"/>
      <c r="F115" s="643"/>
      <c r="G115" s="643"/>
      <c r="H115" s="643"/>
      <c r="I115" s="643"/>
      <c r="J115" s="643"/>
      <c r="K115" s="643"/>
      <c r="L115" s="628" t="str">
        <f>yeartext&amp;", you and another"</f>
        <v>2006, you and another</v>
      </c>
      <c r="M115" s="628"/>
      <c r="N115" s="628"/>
      <c r="O115" s="703"/>
      <c r="P115" s="1339"/>
    </row>
    <row r="116" spans="1:16" ht="15.75" customHeight="1">
      <c r="A116" s="627"/>
      <c r="B116" s="628"/>
      <c r="C116" s="710" t="s">
        <v>1807</v>
      </c>
      <c r="D116" s="628"/>
      <c r="E116" s="628"/>
      <c r="F116" s="628"/>
      <c r="G116" s="628"/>
      <c r="H116" s="628"/>
      <c r="I116" s="628"/>
      <c r="J116" s="628"/>
      <c r="K116" s="628"/>
      <c r="L116" s="628"/>
      <c r="M116" s="628"/>
      <c r="N116" s="628"/>
      <c r="O116" s="703"/>
      <c r="P116" s="1339"/>
    </row>
    <row r="117" spans="1:16" ht="15.75" customHeight="1">
      <c r="A117" s="627"/>
      <c r="B117" s="628"/>
      <c r="C117" s="915" t="s">
        <v>1642</v>
      </c>
      <c r="D117" s="628"/>
      <c r="E117" s="628"/>
      <c r="F117" s="628"/>
      <c r="G117" s="628"/>
      <c r="H117" s="628"/>
      <c r="I117" s="628"/>
      <c r="J117" s="628"/>
      <c r="K117" s="628"/>
      <c r="L117" s="628"/>
      <c r="M117" s="628"/>
      <c r="N117" s="628"/>
      <c r="O117" s="703"/>
      <c r="P117" s="1339"/>
    </row>
    <row r="118" spans="1:16" ht="15.75" customHeight="1">
      <c r="A118" s="627"/>
      <c r="B118" s="915" t="s">
        <v>1336</v>
      </c>
      <c r="C118" s="628"/>
      <c r="D118" s="628"/>
      <c r="E118" s="628"/>
      <c r="F118" s="628"/>
      <c r="G118" s="628"/>
      <c r="H118" s="628"/>
      <c r="I118" s="628"/>
      <c r="J118" s="628"/>
      <c r="K118" s="628"/>
      <c r="L118" s="628"/>
      <c r="M118" s="628"/>
      <c r="N118" s="628"/>
      <c r="O118" s="703"/>
      <c r="P118" s="1339"/>
    </row>
    <row r="119" spans="1:16" ht="15.75" customHeight="1">
      <c r="A119" s="627"/>
      <c r="B119" s="628" t="s">
        <v>787</v>
      </c>
      <c r="C119" s="628"/>
      <c r="D119" s="628"/>
      <c r="E119" s="388">
        <f>N52</f>
        <v>0</v>
      </c>
      <c r="F119" s="628"/>
      <c r="G119" s="710" t="s">
        <v>279</v>
      </c>
      <c r="H119" s="714"/>
      <c r="I119" s="714"/>
      <c r="J119" s="714"/>
      <c r="K119" s="714"/>
      <c r="L119" s="714"/>
      <c r="M119" s="628"/>
      <c r="N119" s="388">
        <f>E119*0.025</f>
        <v>0</v>
      </c>
      <c r="O119" s="716" t="s">
        <v>1223</v>
      </c>
      <c r="P119" s="1339"/>
    </row>
    <row r="120" spans="1:16" ht="15.75" customHeight="1">
      <c r="A120" s="627"/>
      <c r="B120" s="628" t="s">
        <v>197</v>
      </c>
      <c r="C120" s="628"/>
      <c r="D120" s="628"/>
      <c r="E120" s="628"/>
      <c r="F120" s="628"/>
      <c r="G120" s="628"/>
      <c r="H120" s="322"/>
      <c r="I120" s="628" t="str">
        <f>" in "&amp;yeartext&amp;" during which you were enrolled in a"</f>
        <v> in 2006 during which you were enrolled in a</v>
      </c>
      <c r="J120" s="628"/>
      <c r="K120" s="628"/>
      <c r="L120" s="628"/>
      <c r="M120" s="628"/>
      <c r="N120" s="628"/>
      <c r="O120" s="716"/>
      <c r="P120" s="1339"/>
    </row>
    <row r="121" spans="1:16" ht="15.75" customHeight="1">
      <c r="A121" s="627"/>
      <c r="B121" s="710" t="s">
        <v>198</v>
      </c>
      <c r="C121" s="628"/>
      <c r="D121" s="628"/>
      <c r="E121" s="628"/>
      <c r="F121" s="628"/>
      <c r="G121" s="628"/>
      <c r="H121" s="628"/>
      <c r="I121" s="628"/>
      <c r="J121" s="628"/>
      <c r="K121" s="628"/>
      <c r="L121" s="628"/>
      <c r="M121" s="628"/>
      <c r="N121" s="628"/>
      <c r="O121" s="703"/>
      <c r="P121" s="1339"/>
    </row>
    <row r="122" spans="1:16" ht="15.75" customHeight="1">
      <c r="A122" s="627"/>
      <c r="B122" s="628" t="s">
        <v>199</v>
      </c>
      <c r="C122" s="628"/>
      <c r="D122" s="628"/>
      <c r="E122" s="628"/>
      <c r="F122" s="628"/>
      <c r="G122" s="628"/>
      <c r="H122" s="628"/>
      <c r="I122" s="628"/>
      <c r="J122" s="628"/>
      <c r="K122" s="628"/>
      <c r="L122" s="628"/>
      <c r="M122" s="628"/>
      <c r="N122" s="628"/>
      <c r="O122" s="703"/>
      <c r="P122" s="1339"/>
    </row>
    <row r="123" spans="1:16" ht="15.75" customHeight="1">
      <c r="A123" s="627"/>
      <c r="B123" s="628" t="s">
        <v>200</v>
      </c>
      <c r="C123" s="628"/>
      <c r="D123" s="628"/>
      <c r="E123" s="714"/>
      <c r="F123" s="714"/>
      <c r="G123" s="714"/>
      <c r="H123" s="714"/>
      <c r="I123" s="714"/>
      <c r="J123" s="714"/>
      <c r="K123" s="714"/>
      <c r="L123" s="714"/>
      <c r="M123" s="628"/>
      <c r="N123" s="388">
        <f>H120*N119</f>
        <v>0</v>
      </c>
      <c r="O123" s="716" t="s">
        <v>508</v>
      </c>
      <c r="P123" s="1339"/>
    </row>
    <row r="124" spans="1:16" ht="15.75" customHeight="1">
      <c r="A124" s="627"/>
      <c r="B124" s="628" t="s">
        <v>501</v>
      </c>
      <c r="C124" s="628"/>
      <c r="D124" s="628"/>
      <c r="E124" s="628"/>
      <c r="F124" s="628"/>
      <c r="G124" s="628"/>
      <c r="H124" s="322"/>
      <c r="I124" s="628" t="s">
        <v>998</v>
      </c>
      <c r="J124" s="628"/>
      <c r="K124" s="628"/>
      <c r="L124" s="628"/>
      <c r="M124" s="628"/>
      <c r="N124" s="628"/>
      <c r="O124" s="703"/>
      <c r="P124" s="1339"/>
    </row>
    <row r="125" spans="1:16" ht="15.75" customHeight="1">
      <c r="A125" s="627"/>
      <c r="B125" s="628" t="str">
        <f>"used to calculate the amount on line 16) in "&amp;yeartext&amp;" during which:"</f>
        <v>used to calculate the amount on line 16) in 2006 during which:</v>
      </c>
      <c r="C125" s="628"/>
      <c r="D125" s="628"/>
      <c r="E125" s="628"/>
      <c r="F125" s="628"/>
      <c r="G125" s="628"/>
      <c r="H125" s="628"/>
      <c r="I125" s="628"/>
      <c r="J125" s="628"/>
      <c r="K125" s="628"/>
      <c r="L125" s="628"/>
      <c r="M125" s="628"/>
      <c r="N125" s="628"/>
      <c r="O125" s="703"/>
      <c r="P125" s="1339"/>
    </row>
    <row r="126" spans="1:16" ht="15.75" customHeight="1">
      <c r="A126" s="627"/>
      <c r="B126" s="952" t="s">
        <v>999</v>
      </c>
      <c r="C126" s="628" t="s">
        <v>1643</v>
      </c>
      <c r="D126" s="628"/>
      <c r="E126" s="628"/>
      <c r="F126" s="628"/>
      <c r="G126" s="628"/>
      <c r="H126" s="628"/>
      <c r="I126" s="628"/>
      <c r="J126" s="628"/>
      <c r="K126" s="628"/>
      <c r="L126" s="628"/>
      <c r="M126" s="628"/>
      <c r="N126" s="628"/>
      <c r="O126" s="703"/>
      <c r="P126" s="1339"/>
    </row>
    <row r="127" spans="1:16" ht="15.75" customHeight="1">
      <c r="A127" s="627"/>
      <c r="B127" s="628"/>
      <c r="C127" s="628" t="s">
        <v>1000</v>
      </c>
      <c r="D127" s="628"/>
      <c r="E127" s="628"/>
      <c r="F127" s="628"/>
      <c r="G127" s="628"/>
      <c r="H127" s="628"/>
      <c r="I127" s="628"/>
      <c r="J127" s="628"/>
      <c r="K127" s="628"/>
      <c r="L127" s="628"/>
      <c r="M127" s="628"/>
      <c r="N127" s="628"/>
      <c r="O127" s="703"/>
      <c r="P127" s="1339"/>
    </row>
    <row r="128" spans="1:16" ht="15.75" customHeight="1">
      <c r="A128" s="627"/>
      <c r="B128" s="952" t="s">
        <v>999</v>
      </c>
      <c r="C128" s="628" t="s">
        <v>1001</v>
      </c>
      <c r="D128" s="628"/>
      <c r="E128" s="628"/>
      <c r="F128" s="628"/>
      <c r="G128" s="628"/>
      <c r="H128" s="628"/>
      <c r="I128" s="628"/>
      <c r="J128" s="628"/>
      <c r="K128" s="628"/>
      <c r="L128" s="628"/>
      <c r="M128" s="628"/>
      <c r="N128" s="628"/>
      <c r="O128" s="703"/>
      <c r="P128" s="1339"/>
    </row>
    <row r="129" spans="1:16" ht="15.75" customHeight="1" thickBot="1">
      <c r="A129" s="627"/>
      <c r="B129" s="628"/>
      <c r="C129" s="628" t="s">
        <v>1002</v>
      </c>
      <c r="D129" s="628"/>
      <c r="E129" s="628"/>
      <c r="F129" s="628"/>
      <c r="G129" s="628"/>
      <c r="H129" s="628"/>
      <c r="I129" s="628"/>
      <c r="J129" s="714"/>
      <c r="K129" s="714"/>
      <c r="L129" s="714"/>
      <c r="M129" s="628"/>
      <c r="N129" s="737">
        <f>H124*N119</f>
        <v>0</v>
      </c>
      <c r="O129" s="716" t="s">
        <v>510</v>
      </c>
      <c r="P129" s="1339"/>
    </row>
    <row r="130" spans="1:16" ht="20.25" customHeight="1">
      <c r="A130" s="627"/>
      <c r="B130" s="628" t="s">
        <v>1003</v>
      </c>
      <c r="C130" s="628"/>
      <c r="D130" s="628"/>
      <c r="E130" s="714"/>
      <c r="F130" s="714"/>
      <c r="G130" s="714"/>
      <c r="H130" s="714"/>
      <c r="I130" s="714"/>
      <c r="J130" s="714"/>
      <c r="K130" s="714"/>
      <c r="L130" s="714"/>
      <c r="M130" s="320" t="s">
        <v>44</v>
      </c>
      <c r="N130" s="388">
        <f>N123+N129</f>
        <v>0</v>
      </c>
      <c r="O130" s="716" t="s">
        <v>511</v>
      </c>
      <c r="P130" s="1339"/>
    </row>
    <row r="131" spans="1:16" ht="15">
      <c r="A131" s="627"/>
      <c r="B131" s="628"/>
      <c r="C131" s="628"/>
      <c r="D131" s="628"/>
      <c r="E131" s="628"/>
      <c r="F131" s="628"/>
      <c r="G131" s="628"/>
      <c r="H131" s="628"/>
      <c r="I131" s="628"/>
      <c r="J131" s="628"/>
      <c r="K131" s="628"/>
      <c r="L131" s="628"/>
      <c r="M131" s="628"/>
      <c r="N131" s="628"/>
      <c r="O131" s="703"/>
      <c r="P131" s="1339"/>
    </row>
    <row r="132" spans="1:16" ht="15">
      <c r="A132" s="627"/>
      <c r="B132" s="628" t="s">
        <v>402</v>
      </c>
      <c r="C132" s="628"/>
      <c r="D132" s="628"/>
      <c r="E132" s="628"/>
      <c r="F132" s="628"/>
      <c r="G132" s="628"/>
      <c r="H132" s="628"/>
      <c r="I132" s="628"/>
      <c r="J132" s="714"/>
      <c r="K132" s="714"/>
      <c r="L132" s="714"/>
      <c r="M132" s="628"/>
      <c r="N132" s="388">
        <f>IF(N108&gt;0,N108,(N52-N65))</f>
        <v>0</v>
      </c>
      <c r="O132" s="716" t="s">
        <v>1219</v>
      </c>
      <c r="P132" s="1339"/>
    </row>
    <row r="133" spans="1:16" ht="15">
      <c r="A133" s="627"/>
      <c r="B133" s="628" t="s">
        <v>401</v>
      </c>
      <c r="C133" s="628"/>
      <c r="D133" s="628"/>
      <c r="E133" s="628"/>
      <c r="F133" s="628"/>
      <c r="G133" s="628"/>
      <c r="H133" s="628"/>
      <c r="I133" s="628"/>
      <c r="J133" s="714"/>
      <c r="K133" s="714"/>
      <c r="L133" s="714"/>
      <c r="M133" s="628"/>
      <c r="N133" s="467">
        <f>IF(N108&gt;0,N108,(N54-N65))</f>
        <v>0</v>
      </c>
      <c r="O133" s="716" t="s">
        <v>513</v>
      </c>
      <c r="P133" s="1339"/>
    </row>
    <row r="134" spans="1:16" ht="15.75">
      <c r="A134" s="627"/>
      <c r="B134" s="628" t="s">
        <v>1071</v>
      </c>
      <c r="C134" s="628"/>
      <c r="D134" s="628"/>
      <c r="E134" s="628"/>
      <c r="F134" s="628"/>
      <c r="G134" s="628"/>
      <c r="H134" s="714"/>
      <c r="I134" s="714"/>
      <c r="J134" s="714"/>
      <c r="K134" s="388">
        <f>MAX(0,'T1 GEN-2-3-4'!K58-('T1 GEN-2-3-4'!I63+'T1 GEN-2-3-4'!I64+'T1 GEN-2-3-4'!I65+'T1 GEN-2-3-4'!I67+'T1 GEN-2-3-4'!I69+'T1 GEN-2-3-4'!I71+'T1 GEN-2-3-4'!I72+'T1 GEN-2-3-4'!I74+'T1 GEN-2-3-4'!I75+'T1 GEN-2-3-4'!I77+'T1 GEN-2-3-4'!I78+'T1 GEN-2-3-4'!I79+'T1 GEN-2-3-4'!I80+'T1 GEN-2-3-4'!I81))</f>
        <v>0</v>
      </c>
      <c r="L134" s="715" t="s">
        <v>40</v>
      </c>
      <c r="M134" s="628"/>
      <c r="N134" s="388">
        <f>ROUND(K134*(2/3),2)</f>
        <v>0</v>
      </c>
      <c r="O134" s="716" t="s">
        <v>1224</v>
      </c>
      <c r="P134" s="1339"/>
    </row>
    <row r="135" spans="1:16" ht="15">
      <c r="A135" s="627"/>
      <c r="B135" s="628" t="s">
        <v>282</v>
      </c>
      <c r="C135" s="628"/>
      <c r="D135" s="628"/>
      <c r="E135" s="628"/>
      <c r="F135" s="628"/>
      <c r="G135" s="628"/>
      <c r="H135" s="714"/>
      <c r="I135" s="714"/>
      <c r="J135" s="714"/>
      <c r="K135" s="714"/>
      <c r="L135" s="714"/>
      <c r="M135" s="628"/>
      <c r="N135" s="388">
        <f>IF(B79="",0,MAX(N104-N56,0))</f>
        <v>0</v>
      </c>
      <c r="O135" s="716" t="s">
        <v>515</v>
      </c>
      <c r="P135" s="1339"/>
    </row>
    <row r="136" spans="1:16" ht="15">
      <c r="A136" s="627"/>
      <c r="B136" s="628"/>
      <c r="C136" s="628"/>
      <c r="D136" s="628"/>
      <c r="E136" s="628"/>
      <c r="F136" s="628"/>
      <c r="G136" s="628"/>
      <c r="H136" s="628"/>
      <c r="I136" s="628"/>
      <c r="J136" s="628"/>
      <c r="K136" s="628"/>
      <c r="L136" s="628"/>
      <c r="M136" s="628"/>
      <c r="N136" s="628"/>
      <c r="O136" s="703"/>
      <c r="P136" s="1339"/>
    </row>
    <row r="137" spans="1:16" ht="15">
      <c r="A137" s="627"/>
      <c r="B137" s="628" t="s">
        <v>1644</v>
      </c>
      <c r="C137" s="628"/>
      <c r="D137" s="628"/>
      <c r="E137" s="628"/>
      <c r="F137" s="628"/>
      <c r="G137" s="628"/>
      <c r="H137" s="628"/>
      <c r="I137" s="628"/>
      <c r="J137" s="714"/>
      <c r="K137" s="714"/>
      <c r="L137" s="714"/>
      <c r="M137" s="628"/>
      <c r="N137" s="388">
        <f>IF(B79="",MINA(N130,N132,N133,N134),MINA(N130,N132,N133,N134,N135))</f>
        <v>0</v>
      </c>
      <c r="O137" s="716" t="s">
        <v>1225</v>
      </c>
      <c r="P137" s="1339"/>
    </row>
    <row r="138" spans="1:16" ht="15">
      <c r="A138" s="627"/>
      <c r="B138" s="628" t="s">
        <v>276</v>
      </c>
      <c r="C138" s="628"/>
      <c r="D138" s="628"/>
      <c r="E138" s="628"/>
      <c r="F138" s="628"/>
      <c r="G138" s="628"/>
      <c r="H138" s="628"/>
      <c r="I138" s="628"/>
      <c r="J138" s="714"/>
      <c r="K138" s="714"/>
      <c r="L138" s="714"/>
      <c r="M138" s="628"/>
      <c r="N138" s="388">
        <f>IF(B79="",N65,N108)</f>
        <v>0</v>
      </c>
      <c r="O138" s="716" t="s">
        <v>1635</v>
      </c>
      <c r="P138" s="1339"/>
    </row>
    <row r="139" spans="1:16" ht="15.75">
      <c r="A139" s="627"/>
      <c r="B139" s="628" t="s">
        <v>1992</v>
      </c>
      <c r="C139" s="628"/>
      <c r="D139" s="628"/>
      <c r="E139" s="628"/>
      <c r="F139" s="628"/>
      <c r="G139" s="628"/>
      <c r="H139" s="628"/>
      <c r="I139" s="714"/>
      <c r="J139" s="714"/>
      <c r="K139" s="628"/>
      <c r="L139" s="711" t="s">
        <v>1605</v>
      </c>
      <c r="M139" s="628"/>
      <c r="N139" s="660">
        <f>IF(N56=N58,IF(N63&gt;0,0,N137+N138),0)</f>
        <v>0</v>
      </c>
      <c r="O139" s="716" t="s">
        <v>1349</v>
      </c>
      <c r="P139" s="1339"/>
    </row>
    <row r="140" spans="1:16" ht="15">
      <c r="A140" s="630"/>
      <c r="B140" s="629"/>
      <c r="C140" s="629"/>
      <c r="D140" s="629"/>
      <c r="E140" s="629"/>
      <c r="F140" s="629"/>
      <c r="G140" s="629"/>
      <c r="H140" s="629"/>
      <c r="I140" s="629"/>
      <c r="J140" s="629"/>
      <c r="K140" s="629"/>
      <c r="L140" s="629"/>
      <c r="M140" s="629"/>
      <c r="N140" s="629"/>
      <c r="O140" s="713"/>
      <c r="P140" s="1339"/>
    </row>
    <row r="141" spans="1:16" ht="15">
      <c r="A141" s="618"/>
      <c r="B141" s="618"/>
      <c r="C141" s="618"/>
      <c r="D141" s="618"/>
      <c r="E141" s="618"/>
      <c r="F141" s="618"/>
      <c r="G141" s="618"/>
      <c r="H141" s="618"/>
      <c r="I141" s="618"/>
      <c r="J141" s="618"/>
      <c r="K141" s="618"/>
      <c r="L141" s="618"/>
      <c r="M141" s="628"/>
      <c r="N141" s="618"/>
      <c r="O141" s="618"/>
      <c r="P141" s="1339"/>
    </row>
  </sheetData>
  <sheetProtection password="EC35" sheet="1" objects="1" scenarios="1"/>
  <mergeCells count="18">
    <mergeCell ref="B18:G18"/>
    <mergeCell ref="B19:G19"/>
    <mergeCell ref="B21:G21"/>
    <mergeCell ref="B20:G20"/>
    <mergeCell ref="G32:L32"/>
    <mergeCell ref="G33:L33"/>
    <mergeCell ref="B33:C33"/>
    <mergeCell ref="B34:C34"/>
    <mergeCell ref="I101:J101"/>
    <mergeCell ref="P1:P141"/>
    <mergeCell ref="B79:G79"/>
    <mergeCell ref="B24:G24"/>
    <mergeCell ref="B30:C30"/>
    <mergeCell ref="B31:C31"/>
    <mergeCell ref="B32:C32"/>
    <mergeCell ref="G34:L34"/>
    <mergeCell ref="G30:L30"/>
    <mergeCell ref="G31:L31"/>
  </mergeCells>
  <hyperlinks>
    <hyperlink ref="P1:P141" location="'GO TO'!G16" display=" "/>
  </hyperlinks>
  <printOptions horizontalCentered="1"/>
  <pageMargins left="0" right="0" top="0" bottom="0" header="0.5" footer="0.5"/>
  <pageSetup fitToHeight="0" fitToWidth="1" horizontalDpi="600" verticalDpi="600" orientation="portrait" scale="67" r:id="rId4"/>
  <headerFooter alignWithMargins="0">
    <oddFooter>&amp;LT778 E (05)
&amp;C(Vous pouvez obtenir ce formulaire en francais a www.arc.gc.ca ou au 1 800 959-3376. )
</oddFooter>
  </headerFooter>
  <rowBreaks count="1" manualBreakCount="1">
    <brk id="71" max="255" man="1"/>
  </rowBreaks>
  <drawing r:id="rId3"/>
  <legacyDrawing r:id="rId2"/>
</worksheet>
</file>

<file path=xl/worksheets/sheet33.xml><?xml version="1.0" encoding="utf-8"?>
<worksheet xmlns="http://schemas.openxmlformats.org/spreadsheetml/2006/main" xmlns:r="http://schemas.openxmlformats.org/officeDocument/2006/relationships">
  <sheetPr codeName="Sheet8">
    <pageSetUpPr fitToPage="1"/>
  </sheetPr>
  <dimension ref="A1:M63"/>
  <sheetViews>
    <sheetView showGridLines="0" zoomScale="90" zoomScaleNormal="90" workbookViewId="0" topLeftCell="A1">
      <selection activeCell="C3" sqref="C3"/>
    </sheetView>
  </sheetViews>
  <sheetFormatPr defaultColWidth="8.88671875" defaultRowHeight="15"/>
  <cols>
    <col min="1" max="1" width="2.10546875" style="419" customWidth="1"/>
    <col min="2" max="2" width="0.9921875" style="419" customWidth="1"/>
    <col min="3" max="3" width="7.10546875" style="419" customWidth="1"/>
    <col min="4" max="4" width="16.77734375" style="419" customWidth="1"/>
    <col min="5" max="5" width="17.77734375" style="419" customWidth="1"/>
    <col min="6" max="6" width="16.77734375" style="419" customWidth="1"/>
    <col min="7" max="7" width="9.10546875" style="419" customWidth="1"/>
    <col min="8" max="8" width="2.88671875" style="419" customWidth="1"/>
    <col min="9" max="9" width="9.10546875" style="419" customWidth="1"/>
    <col min="10" max="10" width="2.77734375" style="419" customWidth="1"/>
    <col min="11" max="11" width="2.10546875" style="419" customWidth="1"/>
    <col min="12" max="16384" width="7.10546875" style="419" customWidth="1"/>
  </cols>
  <sheetData>
    <row r="1" spans="1:12" ht="15" customHeight="1">
      <c r="A1" s="415"/>
      <c r="C1" s="417"/>
      <c r="D1" s="908" t="s">
        <v>886</v>
      </c>
      <c r="E1" s="612"/>
      <c r="F1" s="417"/>
      <c r="G1" s="417"/>
      <c r="H1" s="417"/>
      <c r="I1" s="906" t="str">
        <f>"Employee Overpayment of "&amp;yeartext&amp;" Canada Pension Plan"</f>
        <v>Employee Overpayment of 2006 Canada Pension Plan</v>
      </c>
      <c r="J1" s="417"/>
      <c r="K1" s="417"/>
      <c r="L1" s="1292" t="s">
        <v>1793</v>
      </c>
    </row>
    <row r="2" spans="1:12" ht="12.75" customHeight="1">
      <c r="A2" s="415"/>
      <c r="C2" s="417"/>
      <c r="D2" s="907" t="s">
        <v>887</v>
      </c>
      <c r="E2" s="612"/>
      <c r="F2" s="417"/>
      <c r="G2" s="417"/>
      <c r="H2" s="417"/>
      <c r="I2" s="906" t="str">
        <f>"Contributions and "&amp;yeartext&amp;" Employment Insurance Premiums"</f>
        <v>Contributions and 2006 Employment Insurance Premiums</v>
      </c>
      <c r="J2" s="417"/>
      <c r="K2" s="417"/>
      <c r="L2" s="1292"/>
    </row>
    <row r="3" spans="1:12" ht="9.75" customHeight="1">
      <c r="A3" s="415"/>
      <c r="B3" s="420"/>
      <c r="C3" s="417"/>
      <c r="D3" s="53"/>
      <c r="E3" s="53"/>
      <c r="F3" s="417"/>
      <c r="G3" s="417"/>
      <c r="H3" s="417"/>
      <c r="I3" s="417"/>
      <c r="J3" s="417"/>
      <c r="K3" s="417"/>
      <c r="L3" s="1292"/>
    </row>
    <row r="4" spans="1:12" ht="12" customHeight="1">
      <c r="A4" s="418"/>
      <c r="B4" s="418"/>
      <c r="C4" s="417" t="s">
        <v>2107</v>
      </c>
      <c r="D4" s="53"/>
      <c r="E4" s="53"/>
      <c r="F4" s="417"/>
      <c r="G4" s="417"/>
      <c r="H4" s="417"/>
      <c r="I4" s="417"/>
      <c r="J4" s="417"/>
      <c r="K4" s="417"/>
      <c r="L4" s="1292"/>
    </row>
    <row r="5" spans="1:12" ht="12" customHeight="1">
      <c r="A5" s="418"/>
      <c r="B5" s="418"/>
      <c r="C5" s="417" t="str">
        <f>"you had no self-employment earnings and you were not a resident of Quebec on December 31, "&amp;yeartext&amp;", complete Part 1."</f>
        <v>you had no self-employment earnings and you were not a resident of Quebec on December 31, 2006, complete Part 1.</v>
      </c>
      <c r="D5" s="53"/>
      <c r="E5" s="53"/>
      <c r="F5" s="417"/>
      <c r="G5" s="417"/>
      <c r="H5" s="417"/>
      <c r="I5" s="417" t="s">
        <v>2108</v>
      </c>
      <c r="J5" s="417"/>
      <c r="K5" s="417"/>
      <c r="L5" s="1292"/>
    </row>
    <row r="6" spans="1:12" ht="15.75" customHeight="1">
      <c r="A6" s="418"/>
      <c r="B6" s="418"/>
      <c r="C6" s="909" t="str">
        <f>"resident of Quebec on December 31, "&amp;yeartext&amp;", and you made CPP or QPP contributions, see your Quebec provincial income tax guide."</f>
        <v>resident of Quebec on December 31, 2006, and you made CPP or QPP contributions, see your Quebec provincial income tax guide.</v>
      </c>
      <c r="D6" s="53"/>
      <c r="E6" s="53"/>
      <c r="F6" s="417"/>
      <c r="G6" s="417"/>
      <c r="H6" s="417"/>
      <c r="I6" s="417"/>
      <c r="J6" s="417"/>
      <c r="K6" s="417"/>
      <c r="L6" s="1292"/>
    </row>
    <row r="7" spans="1:13" ht="18">
      <c r="A7" s="415"/>
      <c r="B7" s="420"/>
      <c r="C7" s="436" t="s">
        <v>1505</v>
      </c>
      <c r="D7" s="53"/>
      <c r="E7" s="53"/>
      <c r="F7" s="417"/>
      <c r="G7" s="417"/>
      <c r="H7" s="417"/>
      <c r="I7" s="417"/>
      <c r="J7" s="417"/>
      <c r="K7" s="417"/>
      <c r="L7" s="1292"/>
      <c r="M7" s="1230"/>
    </row>
    <row r="8" spans="1:13" ht="18">
      <c r="A8" s="415"/>
      <c r="B8" s="422"/>
      <c r="C8" s="446" t="s">
        <v>1035</v>
      </c>
      <c r="D8" s="53"/>
      <c r="E8" s="53"/>
      <c r="F8" s="424"/>
      <c r="G8" s="424"/>
      <c r="H8" s="424"/>
      <c r="I8" s="424"/>
      <c r="J8" s="425"/>
      <c r="K8" s="426"/>
      <c r="L8" s="1292"/>
      <c r="M8" s="1004"/>
    </row>
    <row r="9" spans="1:13" ht="12" customHeight="1">
      <c r="A9" s="415"/>
      <c r="B9" s="427"/>
      <c r="C9" s="446" t="s">
        <v>1506</v>
      </c>
      <c r="D9" s="53"/>
      <c r="E9" s="53"/>
      <c r="F9" s="426"/>
      <c r="G9" s="426"/>
      <c r="H9" s="426"/>
      <c r="I9" s="426"/>
      <c r="J9" s="429"/>
      <c r="K9" s="426"/>
      <c r="L9" s="1292"/>
      <c r="M9" s="1004"/>
    </row>
    <row r="10" spans="1:13" ht="12" customHeight="1">
      <c r="A10" s="415"/>
      <c r="B10" s="427"/>
      <c r="C10" s="461" t="str">
        <f>"● If you turned 18 in "&amp;yeartext&amp;", use the number of months in the year after the month you turned 18."</f>
        <v>● If you turned 18 in 2006, use the number of months in the year after the month you turned 18.</v>
      </c>
      <c r="D10" s="53"/>
      <c r="E10" s="53"/>
      <c r="F10" s="426"/>
      <c r="G10" s="426"/>
      <c r="H10" s="426"/>
      <c r="I10" s="426"/>
      <c r="J10" s="429"/>
      <c r="K10" s="426"/>
      <c r="L10" s="1292"/>
      <c r="M10" s="996">
        <f>year-18</f>
        <v>1988</v>
      </c>
    </row>
    <row r="11" spans="1:13" ht="12" customHeight="1">
      <c r="A11" s="415"/>
      <c r="B11" s="427"/>
      <c r="C11" s="461" t="str">
        <f>"● If you turned 70 in "&amp;yeartext&amp;", use the number of months in the year up to and including the month your turned 70."</f>
        <v>● If you turned 70 in 2006, use the number of months in the year up to and including the month your turned 70.</v>
      </c>
      <c r="D11" s="53"/>
      <c r="E11" s="53"/>
      <c r="F11" s="426"/>
      <c r="G11" s="426"/>
      <c r="H11" s="426"/>
      <c r="I11" s="426"/>
      <c r="J11" s="429"/>
      <c r="K11" s="426"/>
      <c r="L11" s="1292"/>
      <c r="M11" s="996" t="str">
        <f>TEXT(year18,"0000")</f>
        <v>1988</v>
      </c>
    </row>
    <row r="12" spans="1:13" ht="12" customHeight="1">
      <c r="A12" s="415"/>
      <c r="B12" s="427"/>
      <c r="C12" s="461" t="str">
        <f>"● If you received, or were entitled to receive, a CPP retirement pension, or a CPP or QPP disability pension for part of "&amp;yeartext&amp;", use the"</f>
        <v>● If you received, or were entitled to receive, a CPP retirement pension, or a CPP or QPP disability pension for part of 2006, use the</v>
      </c>
      <c r="D12" s="53"/>
      <c r="E12" s="53"/>
      <c r="F12" s="426"/>
      <c r="G12" s="426"/>
      <c r="H12" s="426"/>
      <c r="I12" s="426"/>
      <c r="J12" s="429"/>
      <c r="K12" s="426"/>
      <c r="L12" s="1292"/>
      <c r="M12" s="996" t="str">
        <f>TEXT(year70,"0000")</f>
        <v>1936</v>
      </c>
    </row>
    <row r="13" spans="1:13" ht="12" customHeight="1">
      <c r="A13" s="415"/>
      <c r="B13" s="427"/>
      <c r="C13" s="426" t="s">
        <v>2110</v>
      </c>
      <c r="D13" s="53"/>
      <c r="E13" s="53"/>
      <c r="F13" s="426"/>
      <c r="G13" s="426"/>
      <c r="H13" s="426"/>
      <c r="I13" s="426"/>
      <c r="J13" s="429"/>
      <c r="K13" s="426"/>
      <c r="L13" s="1292"/>
      <c r="M13" s="996">
        <f>year-70</f>
        <v>1936</v>
      </c>
    </row>
    <row r="14" spans="1:12" ht="13.5" customHeight="1">
      <c r="A14" s="415"/>
      <c r="B14" s="427"/>
      <c r="C14" s="461" t="str">
        <f>"● If the individual died in "&amp;yeartext&amp;", use the number of months in the year up to and including the month the individual died."</f>
        <v>● If the individual died in 2006, use the number of months in the year up to and including the month the individual died.</v>
      </c>
      <c r="D14" s="53"/>
      <c r="E14" s="53"/>
      <c r="F14" s="426"/>
      <c r="G14" s="426"/>
      <c r="H14" s="426"/>
      <c r="I14" s="426"/>
      <c r="J14" s="429"/>
      <c r="K14" s="426"/>
      <c r="L14" s="1292"/>
    </row>
    <row r="15" spans="1:12" ht="12" customHeight="1">
      <c r="A15" s="415"/>
      <c r="B15" s="431"/>
      <c r="C15" s="430"/>
      <c r="D15" s="53"/>
      <c r="E15" s="53"/>
      <c r="F15" s="426"/>
      <c r="G15" s="426"/>
      <c r="H15" s="426"/>
      <c r="I15" s="465">
        <f>IF('T1 GEN-1'!T40=year,'T1 GEN-1'!U40,IF(OR('T1 GEN-1'!T14&gt;year18,'T1 GEN-1'!T14&lt;year70),0,IF(OR('T1 GEN-1'!T14=year18,'T1 GEN-1'!T14=year70),IF('T1 GEN-1'!T14=year18,12-'T1 GEN-1'!U14,'T1 GEN-1'!U14),12)))</f>
        <v>12</v>
      </c>
      <c r="J15" s="429"/>
      <c r="K15" s="426"/>
      <c r="L15" s="1292"/>
    </row>
    <row r="16" spans="1:12" ht="12" customHeight="1">
      <c r="A16" s="415"/>
      <c r="B16" s="427"/>
      <c r="C16" s="426"/>
      <c r="D16" s="53"/>
      <c r="E16" s="53"/>
      <c r="F16" s="426"/>
      <c r="G16" s="432" t="s">
        <v>704</v>
      </c>
      <c r="H16" s="426"/>
      <c r="I16" s="494">
        <f>I15</f>
        <v>12</v>
      </c>
      <c r="J16" s="429"/>
      <c r="K16" s="426"/>
      <c r="L16" s="1292"/>
    </row>
    <row r="17" spans="1:12" ht="18">
      <c r="A17" s="415"/>
      <c r="B17" s="427"/>
      <c r="C17" s="426" t="s">
        <v>1361</v>
      </c>
      <c r="D17" s="53"/>
      <c r="E17" s="53"/>
      <c r="F17" s="452"/>
      <c r="G17" s="432" t="s">
        <v>2104</v>
      </c>
      <c r="H17" s="426"/>
      <c r="I17" s="463">
        <f>MIN(TRUNC(I16*42100/12,2),MISC!L84)</f>
        <v>0</v>
      </c>
      <c r="J17" s="433">
        <v>1</v>
      </c>
      <c r="K17" s="434"/>
      <c r="L17" s="1292"/>
    </row>
    <row r="18" spans="1:12" ht="16.5" customHeight="1" thickBot="1">
      <c r="A18" s="415"/>
      <c r="B18" s="427"/>
      <c r="C18" s="426" t="s">
        <v>1362</v>
      </c>
      <c r="D18" s="1238"/>
      <c r="E18" s="1238"/>
      <c r="F18" s="452"/>
      <c r="G18" s="432" t="s">
        <v>1363</v>
      </c>
      <c r="H18" s="426"/>
      <c r="I18" s="757">
        <f>ROUNDDOWN(I16*(3500/12),2)</f>
        <v>3500</v>
      </c>
      <c r="J18" s="433">
        <v>2</v>
      </c>
      <c r="K18" s="434"/>
      <c r="L18" s="1292"/>
    </row>
    <row r="19" spans="1:12" ht="15" customHeight="1">
      <c r="A19" s="415"/>
      <c r="B19" s="427"/>
      <c r="C19" s="426" t="s">
        <v>1364</v>
      </c>
      <c r="D19" s="53"/>
      <c r="E19" s="1239"/>
      <c r="F19" s="451"/>
      <c r="G19" s="432" t="s">
        <v>2105</v>
      </c>
      <c r="H19" s="426"/>
      <c r="I19" s="463">
        <f>MAX(0,MIN(TRUNC(I16*38600/12,2),I17-I18))</f>
        <v>0</v>
      </c>
      <c r="J19" s="433">
        <v>3</v>
      </c>
      <c r="K19" s="434"/>
      <c r="L19" s="1292"/>
    </row>
    <row r="20" spans="1:12" ht="9.75" customHeight="1">
      <c r="A20" s="415"/>
      <c r="B20" s="427"/>
      <c r="C20" s="426"/>
      <c r="D20" s="53"/>
      <c r="E20" s="53"/>
      <c r="F20" s="426"/>
      <c r="G20" s="432"/>
      <c r="H20" s="426"/>
      <c r="I20" s="426"/>
      <c r="J20" s="433"/>
      <c r="K20" s="434"/>
      <c r="L20" s="1292"/>
    </row>
    <row r="21" spans="1:12" ht="12" customHeight="1">
      <c r="A21" s="415"/>
      <c r="B21" s="427"/>
      <c r="C21" s="426" t="s">
        <v>1365</v>
      </c>
      <c r="D21" s="53"/>
      <c r="E21" s="53"/>
      <c r="F21" s="452"/>
      <c r="G21" s="452"/>
      <c r="H21" s="426"/>
      <c r="I21" s="463">
        <f>MISC!L85</f>
        <v>0</v>
      </c>
      <c r="J21" s="433">
        <v>4</v>
      </c>
      <c r="K21" s="434"/>
      <c r="L21" s="1292"/>
    </row>
    <row r="22" spans="1:12" ht="12" customHeight="1">
      <c r="A22" s="415"/>
      <c r="B22" s="427"/>
      <c r="C22" s="426" t="s">
        <v>1070</v>
      </c>
      <c r="D22" s="53"/>
      <c r="E22" s="1238"/>
      <c r="F22" s="452"/>
      <c r="G22" s="432" t="s">
        <v>2106</v>
      </c>
      <c r="H22" s="426"/>
      <c r="I22" s="463">
        <f>MIN(TRUNC(I16*1910.7/12,2),I19*0.0495)</f>
        <v>0</v>
      </c>
      <c r="J22" s="433">
        <v>5</v>
      </c>
      <c r="K22" s="434"/>
      <c r="L22" s="1292"/>
    </row>
    <row r="23" spans="1:12" ht="12" customHeight="1">
      <c r="A23" s="415"/>
      <c r="B23" s="427"/>
      <c r="C23" s="426" t="s">
        <v>1206</v>
      </c>
      <c r="D23" s="428"/>
      <c r="E23" s="451"/>
      <c r="F23" s="426"/>
      <c r="G23" s="435" t="s">
        <v>1366</v>
      </c>
      <c r="H23" s="426"/>
      <c r="I23" s="756">
        <f>(I21-I22)</f>
        <v>0</v>
      </c>
      <c r="J23" s="433">
        <v>6</v>
      </c>
      <c r="K23" s="434"/>
      <c r="L23" s="1292"/>
    </row>
    <row r="24" spans="1:12" ht="9.75" customHeight="1">
      <c r="A24" s="415"/>
      <c r="B24" s="427"/>
      <c r="C24" s="426"/>
      <c r="D24" s="428"/>
      <c r="E24" s="426"/>
      <c r="F24" s="436"/>
      <c r="G24" s="435"/>
      <c r="H24" s="426"/>
      <c r="I24" s="437"/>
      <c r="J24" s="433"/>
      <c r="K24" s="434"/>
      <c r="L24" s="1292"/>
    </row>
    <row r="25" spans="1:12" ht="12" customHeight="1">
      <c r="A25" s="415"/>
      <c r="B25" s="427"/>
      <c r="C25" s="426" t="s">
        <v>1507</v>
      </c>
      <c r="D25" s="428"/>
      <c r="E25" s="426"/>
      <c r="F25" s="426"/>
      <c r="G25" s="426"/>
      <c r="H25" s="426"/>
      <c r="I25" s="426"/>
      <c r="J25" s="429"/>
      <c r="K25" s="426"/>
      <c r="L25" s="1292"/>
    </row>
    <row r="26" spans="1:12" ht="12" customHeight="1">
      <c r="A26" s="415"/>
      <c r="B26" s="427"/>
      <c r="C26" s="426" t="s">
        <v>2111</v>
      </c>
      <c r="D26" s="428"/>
      <c r="E26" s="426"/>
      <c r="F26" s="426"/>
      <c r="G26" s="426"/>
      <c r="H26" s="426"/>
      <c r="I26" s="426"/>
      <c r="J26" s="429"/>
      <c r="K26" s="426"/>
      <c r="L26" s="1292"/>
    </row>
    <row r="27" spans="1:12" ht="12" customHeight="1">
      <c r="A27" s="415"/>
      <c r="B27" s="427"/>
      <c r="C27" s="426" t="s">
        <v>1508</v>
      </c>
      <c r="D27" s="428"/>
      <c r="E27" s="426"/>
      <c r="F27" s="426"/>
      <c r="G27" s="426"/>
      <c r="H27" s="426"/>
      <c r="I27" s="426"/>
      <c r="J27" s="429"/>
      <c r="K27" s="426"/>
      <c r="L27" s="1292"/>
    </row>
    <row r="28" spans="1:12" ht="20.25" customHeight="1">
      <c r="A28" s="415"/>
      <c r="B28" s="427"/>
      <c r="C28" s="436"/>
      <c r="D28" s="428"/>
      <c r="E28" s="436" t="str">
        <f>"Monthly Proration Table for "&amp;yeartext</f>
        <v>Monthly Proration Table for 2006</v>
      </c>
      <c r="F28" s="426"/>
      <c r="G28" s="426"/>
      <c r="H28" s="426"/>
      <c r="I28" s="426"/>
      <c r="J28" s="429"/>
      <c r="K28" s="426"/>
      <c r="L28" s="1292"/>
    </row>
    <row r="29" spans="1:12" ht="12.75" customHeight="1">
      <c r="A29" s="415"/>
      <c r="B29" s="422"/>
      <c r="C29" s="438" t="s">
        <v>1729</v>
      </c>
      <c r="D29" s="460" t="s">
        <v>492</v>
      </c>
      <c r="E29" s="460" t="s">
        <v>493</v>
      </c>
      <c r="F29" s="460" t="s">
        <v>494</v>
      </c>
      <c r="G29" s="1430" t="s">
        <v>1509</v>
      </c>
      <c r="H29" s="1431"/>
      <c r="I29" s="1431"/>
      <c r="J29" s="425"/>
      <c r="K29" s="426"/>
      <c r="L29" s="1292"/>
    </row>
    <row r="30" spans="1:12" ht="12.75">
      <c r="A30" s="415"/>
      <c r="B30" s="427"/>
      <c r="C30" s="458" t="s">
        <v>1730</v>
      </c>
      <c r="D30" s="459" t="s">
        <v>495</v>
      </c>
      <c r="E30" s="459" t="s">
        <v>498</v>
      </c>
      <c r="F30" s="459" t="s">
        <v>498</v>
      </c>
      <c r="G30" s="1428" t="s">
        <v>1367</v>
      </c>
      <c r="H30" s="1429"/>
      <c r="I30" s="1429"/>
      <c r="J30" s="429"/>
      <c r="K30" s="426"/>
      <c r="L30" s="1292"/>
    </row>
    <row r="31" spans="1:12" ht="12.75">
      <c r="A31" s="415"/>
      <c r="B31" s="439"/>
      <c r="C31" s="440" t="s">
        <v>1368</v>
      </c>
      <c r="D31" s="441" t="s">
        <v>496</v>
      </c>
      <c r="E31" s="441" t="s">
        <v>497</v>
      </c>
      <c r="F31" s="441" t="s">
        <v>1728</v>
      </c>
      <c r="G31" s="1432" t="s">
        <v>1369</v>
      </c>
      <c r="H31" s="1433"/>
      <c r="I31" s="1433"/>
      <c r="J31" s="429"/>
      <c r="K31" s="426"/>
      <c r="L31" s="1292"/>
    </row>
    <row r="32" spans="1:12" ht="10.5" customHeight="1">
      <c r="A32" s="415"/>
      <c r="B32" s="442"/>
      <c r="C32" s="443">
        <v>1</v>
      </c>
      <c r="D32" s="444">
        <f>(C32/12)*$D$43</f>
        <v>3508.33</v>
      </c>
      <c r="E32" s="444">
        <f>ROUNDDOWN((C32/12)*$E$43,2)</f>
        <v>291.66</v>
      </c>
      <c r="F32" s="444">
        <f>ROUNDUP((C32/12)*$F$43,2)</f>
        <v>3216.67</v>
      </c>
      <c r="G32" s="1426">
        <f>(C32/12)*$G$43</f>
        <v>159.23</v>
      </c>
      <c r="H32" s="1427"/>
      <c r="I32" s="1427"/>
      <c r="J32" s="445"/>
      <c r="K32" s="426"/>
      <c r="L32" s="1292"/>
    </row>
    <row r="33" spans="1:12" ht="10.5" customHeight="1">
      <c r="A33" s="415"/>
      <c r="B33" s="442"/>
      <c r="C33" s="443">
        <v>2</v>
      </c>
      <c r="D33" s="444">
        <f aca="true" t="shared" si="0" ref="D33:D42">(C33/12)*$D$43</f>
        <v>7016.67</v>
      </c>
      <c r="E33" s="444">
        <f aca="true" t="shared" si="1" ref="E33:E42">ROUNDDOWN((C33/12)*$E$43,2)</f>
        <v>583.33</v>
      </c>
      <c r="F33" s="444">
        <f aca="true" t="shared" si="2" ref="F33:F42">ROUNDUP((C33/12)*$F$43,2)</f>
        <v>6433.34</v>
      </c>
      <c r="G33" s="1426">
        <f aca="true" t="shared" si="3" ref="G33:G42">(C33/12)*$G$43</f>
        <v>318.45</v>
      </c>
      <c r="H33" s="1427"/>
      <c r="I33" s="1427"/>
      <c r="J33" s="445"/>
      <c r="K33" s="426"/>
      <c r="L33" s="1292"/>
    </row>
    <row r="34" spans="1:12" ht="10.5" customHeight="1">
      <c r="A34" s="415"/>
      <c r="B34" s="442"/>
      <c r="C34" s="443">
        <v>3</v>
      </c>
      <c r="D34" s="444">
        <f t="shared" si="0"/>
        <v>10525</v>
      </c>
      <c r="E34" s="444">
        <f>ROUNDDOWN((C34/12)*$E$43,2)-0.01</f>
        <v>874.99</v>
      </c>
      <c r="F34" s="444">
        <f>ROUNDUP((C34/12)*$F$43,2)+0.01</f>
        <v>9650.01</v>
      </c>
      <c r="G34" s="1426">
        <f t="shared" si="3"/>
        <v>477.68</v>
      </c>
      <c r="H34" s="1427"/>
      <c r="I34" s="1427"/>
      <c r="J34" s="445"/>
      <c r="K34" s="426"/>
      <c r="L34" s="1292"/>
    </row>
    <row r="35" spans="1:12" ht="10.5" customHeight="1">
      <c r="A35" s="415"/>
      <c r="B35" s="442"/>
      <c r="C35" s="443">
        <v>4</v>
      </c>
      <c r="D35" s="444">
        <f t="shared" si="0"/>
        <v>14033.33</v>
      </c>
      <c r="E35" s="444">
        <f t="shared" si="1"/>
        <v>1166.66</v>
      </c>
      <c r="F35" s="444">
        <f t="shared" si="2"/>
        <v>12866.67</v>
      </c>
      <c r="G35" s="1426">
        <f t="shared" si="3"/>
        <v>636.9</v>
      </c>
      <c r="H35" s="1427"/>
      <c r="I35" s="1427"/>
      <c r="J35" s="445"/>
      <c r="K35" s="426"/>
      <c r="L35" s="1292"/>
    </row>
    <row r="36" spans="1:12" ht="10.5" customHeight="1">
      <c r="A36" s="415"/>
      <c r="B36" s="442"/>
      <c r="C36" s="443">
        <v>5</v>
      </c>
      <c r="D36" s="444">
        <f t="shared" si="0"/>
        <v>17541.67</v>
      </c>
      <c r="E36" s="444">
        <f t="shared" si="1"/>
        <v>1458.33</v>
      </c>
      <c r="F36" s="444">
        <f t="shared" si="2"/>
        <v>16083.34</v>
      </c>
      <c r="G36" s="1426">
        <f t="shared" si="3"/>
        <v>796.13</v>
      </c>
      <c r="H36" s="1427"/>
      <c r="I36" s="1427"/>
      <c r="J36" s="445"/>
      <c r="K36" s="426"/>
      <c r="L36" s="1292"/>
    </row>
    <row r="37" spans="1:12" ht="10.5" customHeight="1">
      <c r="A37" s="415"/>
      <c r="B37" s="442"/>
      <c r="C37" s="443">
        <v>6</v>
      </c>
      <c r="D37" s="444">
        <f t="shared" si="0"/>
        <v>21050</v>
      </c>
      <c r="E37" s="444">
        <f>ROUNDDOWN((C37/12)*$E$43,2)-0.01</f>
        <v>1749.99</v>
      </c>
      <c r="F37" s="444">
        <f>ROUNDUP((C37/12)*$F$43,2)+0.01</f>
        <v>19300.01</v>
      </c>
      <c r="G37" s="1426">
        <f t="shared" si="3"/>
        <v>955.35</v>
      </c>
      <c r="H37" s="1427"/>
      <c r="I37" s="1427"/>
      <c r="J37" s="445"/>
      <c r="K37" s="426"/>
      <c r="L37" s="1292"/>
    </row>
    <row r="38" spans="1:12" ht="10.5" customHeight="1">
      <c r="A38" s="415"/>
      <c r="B38" s="442"/>
      <c r="C38" s="443">
        <v>7</v>
      </c>
      <c r="D38" s="444">
        <f t="shared" si="0"/>
        <v>24558.33</v>
      </c>
      <c r="E38" s="444">
        <f t="shared" si="1"/>
        <v>2041.66</v>
      </c>
      <c r="F38" s="444">
        <f t="shared" si="2"/>
        <v>22516.67</v>
      </c>
      <c r="G38" s="1426">
        <f t="shared" si="3"/>
        <v>1114.58</v>
      </c>
      <c r="H38" s="1427"/>
      <c r="I38" s="1427"/>
      <c r="J38" s="445"/>
      <c r="K38" s="426"/>
      <c r="L38" s="1292"/>
    </row>
    <row r="39" spans="1:12" ht="10.5" customHeight="1">
      <c r="A39" s="415"/>
      <c r="B39" s="442"/>
      <c r="C39" s="443">
        <v>8</v>
      </c>
      <c r="D39" s="444">
        <f t="shared" si="0"/>
        <v>28066.67</v>
      </c>
      <c r="E39" s="444">
        <f t="shared" si="1"/>
        <v>2333.33</v>
      </c>
      <c r="F39" s="444">
        <f t="shared" si="2"/>
        <v>25733.34</v>
      </c>
      <c r="G39" s="1426">
        <f t="shared" si="3"/>
        <v>1273.8</v>
      </c>
      <c r="H39" s="1427"/>
      <c r="I39" s="1427"/>
      <c r="J39" s="445"/>
      <c r="K39" s="426"/>
      <c r="L39" s="1292"/>
    </row>
    <row r="40" spans="1:12" ht="10.5" customHeight="1">
      <c r="A40" s="415"/>
      <c r="B40" s="442"/>
      <c r="C40" s="443">
        <v>9</v>
      </c>
      <c r="D40" s="444">
        <f t="shared" si="0"/>
        <v>31575</v>
      </c>
      <c r="E40" s="444">
        <f>ROUNDDOWN((C40/12)*$E$43,2)-0.01</f>
        <v>2624.99</v>
      </c>
      <c r="F40" s="444">
        <f>ROUNDUP((C40/12)*$F$43,2)+0.01</f>
        <v>28950.01</v>
      </c>
      <c r="G40" s="1426">
        <f t="shared" si="3"/>
        <v>1433.03</v>
      </c>
      <c r="H40" s="1427"/>
      <c r="I40" s="1427"/>
      <c r="J40" s="445"/>
      <c r="K40" s="426"/>
      <c r="L40" s="1292"/>
    </row>
    <row r="41" spans="1:12" ht="10.5" customHeight="1">
      <c r="A41" s="415"/>
      <c r="B41" s="442"/>
      <c r="C41" s="443">
        <v>10</v>
      </c>
      <c r="D41" s="444">
        <f t="shared" si="0"/>
        <v>35083.33</v>
      </c>
      <c r="E41" s="444">
        <f t="shared" si="1"/>
        <v>2916.66</v>
      </c>
      <c r="F41" s="444">
        <f t="shared" si="2"/>
        <v>32166.67</v>
      </c>
      <c r="G41" s="1426">
        <f t="shared" si="3"/>
        <v>1592.25</v>
      </c>
      <c r="H41" s="1427"/>
      <c r="I41" s="1427"/>
      <c r="J41" s="445"/>
      <c r="K41" s="426"/>
      <c r="L41" s="1292"/>
    </row>
    <row r="42" spans="1:12" ht="10.5" customHeight="1">
      <c r="A42" s="415"/>
      <c r="B42" s="442"/>
      <c r="C42" s="443">
        <v>11</v>
      </c>
      <c r="D42" s="444">
        <f t="shared" si="0"/>
        <v>38591.67</v>
      </c>
      <c r="E42" s="444">
        <f t="shared" si="1"/>
        <v>3208.33</v>
      </c>
      <c r="F42" s="444">
        <f t="shared" si="2"/>
        <v>35383.34</v>
      </c>
      <c r="G42" s="1426">
        <f t="shared" si="3"/>
        <v>1751.48</v>
      </c>
      <c r="H42" s="1427"/>
      <c r="I42" s="1427"/>
      <c r="J42" s="445"/>
      <c r="K42" s="426"/>
      <c r="L42" s="1292"/>
    </row>
    <row r="43" spans="1:12" ht="10.5" customHeight="1">
      <c r="A43" s="415"/>
      <c r="B43" s="442"/>
      <c r="C43" s="443">
        <v>12</v>
      </c>
      <c r="D43" s="444">
        <f>(C43/12)*42100</f>
        <v>42100</v>
      </c>
      <c r="E43" s="444">
        <v>3500</v>
      </c>
      <c r="F43" s="444">
        <v>38600</v>
      </c>
      <c r="G43" s="1426">
        <f>1910.7</f>
        <v>1910.7</v>
      </c>
      <c r="H43" s="1427"/>
      <c r="I43" s="1427"/>
      <c r="J43" s="445"/>
      <c r="K43" s="426"/>
      <c r="L43" s="1292"/>
    </row>
    <row r="44" spans="1:12" ht="25.5" customHeight="1">
      <c r="A44" s="415"/>
      <c r="B44" s="1423" t="s">
        <v>2109</v>
      </c>
      <c r="C44" s="1334"/>
      <c r="D44" s="1334"/>
      <c r="E44" s="1334"/>
      <c r="F44" s="1334"/>
      <c r="G44" s="1334"/>
      <c r="H44" s="1334"/>
      <c r="I44" s="1334"/>
      <c r="J44" s="1334"/>
      <c r="K44" s="1334"/>
      <c r="L44" s="1292"/>
    </row>
    <row r="45" spans="1:12" ht="15" customHeight="1">
      <c r="A45" s="415"/>
      <c r="B45" s="417"/>
      <c r="C45" s="421" t="s">
        <v>1501</v>
      </c>
      <c r="D45" s="420"/>
      <c r="E45" s="417"/>
      <c r="F45" s="417"/>
      <c r="G45" s="417"/>
      <c r="H45" s="417"/>
      <c r="I45" s="417"/>
      <c r="J45" s="417"/>
      <c r="K45" s="417"/>
      <c r="L45" s="1292"/>
    </row>
    <row r="46" spans="1:12" ht="12" customHeight="1">
      <c r="A46" s="415"/>
      <c r="B46" s="422"/>
      <c r="C46" s="424" t="s">
        <v>2112</v>
      </c>
      <c r="D46" s="423"/>
      <c r="E46" s="424"/>
      <c r="F46" s="424"/>
      <c r="G46" s="424"/>
      <c r="H46" s="424"/>
      <c r="I46" s="424"/>
      <c r="J46" s="425"/>
      <c r="K46" s="426"/>
      <c r="L46" s="1292"/>
    </row>
    <row r="47" spans="1:12" ht="12" customHeight="1">
      <c r="A47" s="415"/>
      <c r="B47" s="427"/>
      <c r="C47" s="426"/>
      <c r="D47" s="428"/>
      <c r="E47" s="426"/>
      <c r="F47" s="426"/>
      <c r="G47" s="432" t="s">
        <v>1185</v>
      </c>
      <c r="H47" s="426"/>
      <c r="I47" s="463">
        <f>IF(MISC!L86&gt;2000,MIN(39000,MISC!L86),0)</f>
        <v>0</v>
      </c>
      <c r="J47" s="433">
        <v>1</v>
      </c>
      <c r="K47" s="426"/>
      <c r="L47" s="1292"/>
    </row>
    <row r="48" spans="1:12" ht="12.75">
      <c r="A48" s="415"/>
      <c r="B48" s="427"/>
      <c r="C48" s="1232" t="s">
        <v>2113</v>
      </c>
      <c r="D48" s="434"/>
      <c r="E48" s="434"/>
      <c r="F48" s="434"/>
      <c r="G48" s="434"/>
      <c r="H48" s="1231"/>
      <c r="I48" s="450"/>
      <c r="J48" s="433"/>
      <c r="K48" s="434"/>
      <c r="L48" s="1292"/>
    </row>
    <row r="49" spans="1:12" ht="12" customHeight="1">
      <c r="A49" s="415"/>
      <c r="B49" s="427"/>
      <c r="C49" s="426"/>
      <c r="D49" s="1424" t="s">
        <v>2114</v>
      </c>
      <c r="E49" s="1425"/>
      <c r="F49" s="1425"/>
      <c r="G49" s="426"/>
      <c r="H49" s="426"/>
      <c r="I49" s="463">
        <f>MISC!L87</f>
        <v>0</v>
      </c>
      <c r="J49" s="433">
        <v>2</v>
      </c>
      <c r="K49" s="434"/>
      <c r="L49" s="1292"/>
    </row>
    <row r="50" spans="1:12" ht="12" customHeight="1" thickBot="1">
      <c r="A50" s="415"/>
      <c r="B50" s="427"/>
      <c r="C50" s="426" t="s">
        <v>1186</v>
      </c>
      <c r="D50" s="428"/>
      <c r="E50" s="426"/>
      <c r="F50" s="452"/>
      <c r="G50" s="451"/>
      <c r="H50" s="426"/>
      <c r="I50" s="757">
        <f>MAX(0,I47-2000)</f>
        <v>0</v>
      </c>
      <c r="J50" s="433">
        <v>3</v>
      </c>
      <c r="K50" s="434"/>
      <c r="L50" s="1292"/>
    </row>
    <row r="51" spans="1:12" ht="12" customHeight="1">
      <c r="A51" s="415"/>
      <c r="B51" s="427"/>
      <c r="C51" s="426" t="s">
        <v>1620</v>
      </c>
      <c r="D51" s="428"/>
      <c r="E51" s="451"/>
      <c r="F51" s="451"/>
      <c r="G51" s="451"/>
      <c r="H51" s="426"/>
      <c r="I51" s="463">
        <f>MAX(0,I49-I50)</f>
        <v>0</v>
      </c>
      <c r="J51" s="433">
        <v>4</v>
      </c>
      <c r="K51" s="434"/>
      <c r="L51" s="1292"/>
    </row>
    <row r="52" spans="1:12" ht="18.75" customHeight="1">
      <c r="A52" s="415"/>
      <c r="B52" s="427"/>
      <c r="C52" s="426" t="s">
        <v>2115</v>
      </c>
      <c r="D52" s="428"/>
      <c r="E52" s="426"/>
      <c r="F52" s="426"/>
      <c r="G52" s="426"/>
      <c r="H52" s="426"/>
      <c r="I52" s="446"/>
      <c r="J52" s="433"/>
      <c r="K52" s="434"/>
      <c r="L52" s="1292"/>
    </row>
    <row r="53" spans="1:12" ht="12" customHeight="1">
      <c r="A53" s="415"/>
      <c r="B53" s="427"/>
      <c r="C53" s="426"/>
      <c r="D53" s="1236" t="s">
        <v>2120</v>
      </c>
      <c r="E53" s="426"/>
      <c r="F53" s="1233"/>
      <c r="G53" s="452"/>
      <c r="H53" s="426"/>
      <c r="I53" s="463">
        <f>MISC!L87</f>
        <v>0</v>
      </c>
      <c r="J53" s="433">
        <v>5</v>
      </c>
      <c r="K53" s="434"/>
      <c r="L53" s="1292"/>
    </row>
    <row r="54" spans="1:12" ht="12" customHeight="1">
      <c r="A54" s="415"/>
      <c r="B54" s="427"/>
      <c r="C54" s="426" t="s">
        <v>2118</v>
      </c>
      <c r="D54" s="428"/>
      <c r="E54" s="426"/>
      <c r="F54" s="426"/>
      <c r="G54" s="1233" t="s">
        <v>2117</v>
      </c>
      <c r="H54" s="426"/>
      <c r="I54" s="450"/>
      <c r="J54" s="433"/>
      <c r="K54" s="434"/>
      <c r="L54" s="1292"/>
    </row>
    <row r="55" spans="1:12" ht="12" customHeight="1" thickBot="1">
      <c r="A55" s="415"/>
      <c r="B55" s="427"/>
      <c r="C55" s="426"/>
      <c r="D55" s="1235" t="s">
        <v>2119</v>
      </c>
      <c r="E55" s="426"/>
      <c r="F55" s="452"/>
      <c r="G55" s="1233" t="s">
        <v>2116</v>
      </c>
      <c r="H55" s="426"/>
      <c r="I55" s="1234">
        <f>I47*0.0187</f>
        <v>0</v>
      </c>
      <c r="J55" s="433">
        <v>6</v>
      </c>
      <c r="K55" s="434"/>
      <c r="L55" s="1292"/>
    </row>
    <row r="56" spans="1:12" ht="12" customHeight="1">
      <c r="A56" s="415"/>
      <c r="B56" s="427"/>
      <c r="C56" s="426" t="s">
        <v>2141</v>
      </c>
      <c r="D56" s="428"/>
      <c r="E56" s="452"/>
      <c r="F56" s="451"/>
      <c r="G56" s="452"/>
      <c r="H56" s="426"/>
      <c r="I56" s="463">
        <f>MAX(0,I53-I55)</f>
        <v>0</v>
      </c>
      <c r="J56" s="433">
        <v>7</v>
      </c>
      <c r="K56" s="434"/>
      <c r="L56" s="1292"/>
    </row>
    <row r="57" spans="1:12" ht="18.75" customHeight="1">
      <c r="A57" s="415"/>
      <c r="B57" s="427"/>
      <c r="C57" s="426"/>
      <c r="D57" s="428"/>
      <c r="E57" s="426"/>
      <c r="F57" s="426"/>
      <c r="G57" s="426"/>
      <c r="H57" s="426"/>
      <c r="I57" s="446"/>
      <c r="J57" s="433"/>
      <c r="K57" s="434"/>
      <c r="L57" s="1292"/>
    </row>
    <row r="58" spans="1:12" ht="12" customHeight="1">
      <c r="A58" s="415"/>
      <c r="B58" s="427"/>
      <c r="C58" s="426" t="s">
        <v>1585</v>
      </c>
      <c r="D58" s="428"/>
      <c r="E58" s="426"/>
      <c r="F58" s="418"/>
      <c r="G58" s="453" t="s">
        <v>2195</v>
      </c>
      <c r="H58" s="426"/>
      <c r="I58" s="756">
        <f>MAX(I51,I56)</f>
        <v>0</v>
      </c>
      <c r="J58" s="433">
        <v>8</v>
      </c>
      <c r="K58" s="434"/>
      <c r="L58" s="1292"/>
    </row>
    <row r="59" spans="1:12" ht="12" customHeight="1">
      <c r="A59" s="415"/>
      <c r="B59" s="427"/>
      <c r="C59" s="426" t="s">
        <v>1510</v>
      </c>
      <c r="D59" s="428"/>
      <c r="E59" s="426"/>
      <c r="F59" s="426"/>
      <c r="G59" s="426"/>
      <c r="H59" s="426"/>
      <c r="I59" s="446"/>
      <c r="J59" s="429"/>
      <c r="K59" s="426"/>
      <c r="L59" s="1292"/>
    </row>
    <row r="60" spans="1:12" ht="12" customHeight="1">
      <c r="A60" s="415"/>
      <c r="B60" s="439"/>
      <c r="C60" s="447" t="s">
        <v>1511</v>
      </c>
      <c r="D60" s="448"/>
      <c r="E60" s="447"/>
      <c r="F60" s="447"/>
      <c r="G60" s="447"/>
      <c r="H60" s="447"/>
      <c r="I60" s="454"/>
      <c r="J60" s="455"/>
      <c r="K60" s="426"/>
      <c r="L60" s="1292"/>
    </row>
    <row r="61" spans="1:12" ht="12.75" customHeight="1">
      <c r="A61" s="415"/>
      <c r="B61" s="449"/>
      <c r="C61" s="456"/>
      <c r="D61" s="423"/>
      <c r="E61" s="424"/>
      <c r="F61" s="424"/>
      <c r="G61" s="424"/>
      <c r="H61" s="424"/>
      <c r="I61" s="457"/>
      <c r="J61" s="424"/>
      <c r="K61" s="426"/>
      <c r="L61" s="1292"/>
    </row>
    <row r="62" spans="1:12" ht="12.75" customHeight="1">
      <c r="A62" s="416"/>
      <c r="B62" s="417"/>
      <c r="C62" s="417"/>
      <c r="D62" s="420"/>
      <c r="E62" s="417"/>
      <c r="F62" s="417"/>
      <c r="G62" s="417"/>
      <c r="H62" s="417"/>
      <c r="I62" s="417"/>
      <c r="J62" s="417"/>
      <c r="K62" s="417"/>
      <c r="L62" s="1292"/>
    </row>
    <row r="63" ht="12.75">
      <c r="L63" s="940"/>
    </row>
  </sheetData>
  <sheetProtection password="EC35" sheet="1" objects="1" scenarios="1"/>
  <mergeCells count="18">
    <mergeCell ref="G29:I29"/>
    <mergeCell ref="G32:I32"/>
    <mergeCell ref="G41:I41"/>
    <mergeCell ref="G36:I36"/>
    <mergeCell ref="G37:I37"/>
    <mergeCell ref="G33:I33"/>
    <mergeCell ref="G34:I34"/>
    <mergeCell ref="G31:I31"/>
    <mergeCell ref="B44:K44"/>
    <mergeCell ref="D49:F49"/>
    <mergeCell ref="L1:L62"/>
    <mergeCell ref="G42:I42"/>
    <mergeCell ref="G43:I43"/>
    <mergeCell ref="G30:I30"/>
    <mergeCell ref="G38:I38"/>
    <mergeCell ref="G39:I39"/>
    <mergeCell ref="G40:I40"/>
    <mergeCell ref="G35:I35"/>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16">
      <formula1>0</formula1>
      <formula2>12</formula2>
    </dataValidation>
  </dataValidations>
  <hyperlinks>
    <hyperlink ref="L1:L62" location="'GO TO'!G17" display=" "/>
  </hyperlinks>
  <printOptions horizontalCentered="1" verticalCentered="1"/>
  <pageMargins left="0" right="0" top="0" bottom="0" header="0.26" footer="0.5"/>
  <pageSetup fitToHeight="0" fitToWidth="1" horizontalDpi="600" verticalDpi="600" orientation="portrait" scale="97" r:id="rId2"/>
  <headerFooter alignWithMargins="0">
    <oddFooter>&amp;L&amp;9T2204  (04)</oddFooter>
  </headerFooter>
  <drawing r:id="rId1"/>
</worksheet>
</file>

<file path=xl/worksheets/sheet34.xml><?xml version="1.0" encoding="utf-8"?>
<worksheet xmlns="http://schemas.openxmlformats.org/spreadsheetml/2006/main" xmlns:r="http://schemas.openxmlformats.org/officeDocument/2006/relationships">
  <sheetPr codeName="Sheet20">
    <pageSetUpPr fitToPage="1"/>
  </sheetPr>
  <dimension ref="A1:J126"/>
  <sheetViews>
    <sheetView showGridLines="0" zoomScale="75" zoomScaleNormal="75" workbookViewId="0" topLeftCell="A1">
      <selection activeCell="A2" sqref="A2"/>
    </sheetView>
  </sheetViews>
  <sheetFormatPr defaultColWidth="8.88671875" defaultRowHeight="15"/>
  <cols>
    <col min="1" max="1" width="1.77734375" style="526" customWidth="1"/>
    <col min="2" max="2" width="45.3359375" style="526" customWidth="1"/>
    <col min="3" max="3" width="11.4453125" style="526" customWidth="1"/>
    <col min="4" max="4" width="5.21484375" style="526" customWidth="1"/>
    <col min="5" max="5" width="11.4453125" style="526" customWidth="1"/>
    <col min="6" max="6" width="5.21484375" style="526" customWidth="1"/>
    <col min="7" max="7" width="11.4453125" style="526" customWidth="1"/>
    <col min="8" max="8" width="5.21484375" style="526" customWidth="1"/>
    <col min="9" max="9" width="1.77734375" style="526" customWidth="1"/>
    <col min="10" max="10" width="9.4453125" style="526" customWidth="1"/>
    <col min="11" max="16384" width="7.10546875" style="526" customWidth="1"/>
  </cols>
  <sheetData>
    <row r="1" spans="1:10" ht="12.75">
      <c r="A1" s="524"/>
      <c r="B1" s="525" t="s">
        <v>487</v>
      </c>
      <c r="C1" s="524"/>
      <c r="D1" s="524"/>
      <c r="E1" s="524"/>
      <c r="F1" s="524"/>
      <c r="G1" s="524"/>
      <c r="H1" s="524"/>
      <c r="I1" s="524"/>
      <c r="J1" s="1440" t="s">
        <v>1793</v>
      </c>
    </row>
    <row r="2" spans="1:10" ht="15.75">
      <c r="A2" s="527"/>
      <c r="B2" s="528" t="s">
        <v>339</v>
      </c>
      <c r="C2" s="527"/>
      <c r="D2" s="527"/>
      <c r="E2" s="527"/>
      <c r="F2" s="527"/>
      <c r="G2" s="524"/>
      <c r="H2" s="529"/>
      <c r="I2" s="524"/>
      <c r="J2" s="1270"/>
    </row>
    <row r="3" spans="1:10" ht="18">
      <c r="A3" s="527"/>
      <c r="B3" s="530" t="s">
        <v>851</v>
      </c>
      <c r="C3" s="527"/>
      <c r="D3" s="527"/>
      <c r="E3" s="531"/>
      <c r="F3" s="527"/>
      <c r="G3" s="524"/>
      <c r="H3" s="529"/>
      <c r="I3" s="524"/>
      <c r="J3" s="1270"/>
    </row>
    <row r="4" spans="1:10" ht="18">
      <c r="A4" s="527"/>
      <c r="B4" s="530" t="s">
        <v>393</v>
      </c>
      <c r="C4" s="527"/>
      <c r="D4" s="527"/>
      <c r="E4" s="531"/>
      <c r="F4" s="527"/>
      <c r="G4" s="564">
        <f>year</f>
        <v>2006</v>
      </c>
      <c r="H4" s="529"/>
      <c r="I4" s="524"/>
      <c r="J4" s="1270"/>
    </row>
    <row r="5" spans="1:10" ht="11.25" customHeight="1">
      <c r="A5" s="527"/>
      <c r="B5" s="527"/>
      <c r="C5" s="527"/>
      <c r="D5" s="527"/>
      <c r="E5" s="531"/>
      <c r="F5" s="527"/>
      <c r="G5" s="532" t="s">
        <v>394</v>
      </c>
      <c r="H5" s="529"/>
      <c r="I5" s="524"/>
      <c r="J5" s="1270"/>
    </row>
    <row r="6" spans="1:10" ht="13.5" customHeight="1">
      <c r="A6" s="527"/>
      <c r="B6" s="527" t="s">
        <v>353</v>
      </c>
      <c r="C6" s="527"/>
      <c r="D6" s="527"/>
      <c r="E6" s="531"/>
      <c r="F6" s="527"/>
      <c r="G6" s="527"/>
      <c r="H6" s="529"/>
      <c r="I6" s="524"/>
      <c r="J6" s="1270"/>
    </row>
    <row r="7" spans="1:10" ht="20.25" customHeight="1">
      <c r="A7" s="527"/>
      <c r="B7" s="528" t="s">
        <v>354</v>
      </c>
      <c r="C7" s="527"/>
      <c r="D7" s="527"/>
      <c r="E7" s="531"/>
      <c r="F7" s="527"/>
      <c r="G7" s="527"/>
      <c r="H7" s="529"/>
      <c r="I7" s="524"/>
      <c r="J7" s="1270"/>
    </row>
    <row r="8" spans="1:10" ht="12" customHeight="1">
      <c r="A8" s="527"/>
      <c r="B8" s="533" t="s">
        <v>355</v>
      </c>
      <c r="C8" s="534"/>
      <c r="D8" s="534"/>
      <c r="E8" s="535"/>
      <c r="F8" s="533" t="s">
        <v>356</v>
      </c>
      <c r="G8" s="536"/>
      <c r="H8" s="537"/>
      <c r="I8" s="524"/>
      <c r="J8" s="1270"/>
    </row>
    <row r="9" spans="1:10" ht="27" customHeight="1">
      <c r="A9" s="527"/>
      <c r="B9" s="1434" t="str">
        <f>'T1 GEN-1'!D12&amp;" "&amp;'T1 GEN-1'!D14</f>
        <v> </v>
      </c>
      <c r="C9" s="1435"/>
      <c r="D9" s="1435"/>
      <c r="E9" s="1436"/>
      <c r="F9" s="538"/>
      <c r="G9" s="560">
        <f>'T1 GEN-1'!T11</f>
        <v>1</v>
      </c>
      <c r="H9" s="539"/>
      <c r="I9" s="524"/>
      <c r="J9" s="1270"/>
    </row>
    <row r="10" spans="1:10" ht="11.25" customHeight="1">
      <c r="A10" s="527"/>
      <c r="B10" s="540" t="s">
        <v>1085</v>
      </c>
      <c r="C10" s="541"/>
      <c r="D10" s="541"/>
      <c r="E10" s="542"/>
      <c r="F10" s="533" t="s">
        <v>356</v>
      </c>
      <c r="G10" s="541"/>
      <c r="H10" s="537"/>
      <c r="I10" s="524"/>
      <c r="J10" s="1270"/>
    </row>
    <row r="11" spans="1:10" ht="27" customHeight="1">
      <c r="A11" s="527"/>
      <c r="B11" s="1437">
        <f>'T1 GEN-1'!S28</f>
        <v>0</v>
      </c>
      <c r="C11" s="1438"/>
      <c r="D11" s="1438"/>
      <c r="E11" s="1439"/>
      <c r="F11" s="562"/>
      <c r="G11" s="560">
        <f>'T1 GEN-1'!T26</f>
        <v>0</v>
      </c>
      <c r="H11" s="563"/>
      <c r="I11" s="524"/>
      <c r="J11" s="1270"/>
    </row>
    <row r="12" spans="1:10" ht="27.75" customHeight="1">
      <c r="A12" s="527"/>
      <c r="B12" s="530" t="s">
        <v>1086</v>
      </c>
      <c r="C12" s="527"/>
      <c r="D12" s="527"/>
      <c r="E12" s="531"/>
      <c r="F12" s="527"/>
      <c r="G12" s="527"/>
      <c r="H12" s="529"/>
      <c r="I12" s="524"/>
      <c r="J12" s="1270"/>
    </row>
    <row r="13" spans="1:10" ht="26.25" customHeight="1">
      <c r="A13" s="527"/>
      <c r="B13" s="541" t="s">
        <v>430</v>
      </c>
      <c r="C13" s="541"/>
      <c r="D13" s="541"/>
      <c r="E13" s="542"/>
      <c r="F13" s="541"/>
      <c r="G13" s="541"/>
      <c r="H13" s="543"/>
      <c r="I13" s="524"/>
      <c r="J13" s="1270"/>
    </row>
    <row r="14" spans="1:10" ht="15.75">
      <c r="A14" s="544"/>
      <c r="B14" s="545" t="s">
        <v>1087</v>
      </c>
      <c r="C14" s="541"/>
      <c r="D14" s="541"/>
      <c r="E14" s="548">
        <f>IF(year=G4,'T4RSP'!J73,0)</f>
        <v>0</v>
      </c>
      <c r="F14" s="942">
        <v>1</v>
      </c>
      <c r="G14" s="541"/>
      <c r="H14" s="543"/>
      <c r="I14" s="524"/>
      <c r="J14" s="1270"/>
    </row>
    <row r="15" spans="1:10" ht="18">
      <c r="A15" s="544"/>
      <c r="B15" s="547" t="s">
        <v>1088</v>
      </c>
      <c r="C15" s="541"/>
      <c r="D15" s="541"/>
      <c r="E15" s="542"/>
      <c r="F15" s="942"/>
      <c r="G15" s="541"/>
      <c r="H15" s="543"/>
      <c r="I15" s="524"/>
      <c r="J15" s="1270"/>
    </row>
    <row r="16" spans="1:10" ht="15.75">
      <c r="A16" s="544"/>
      <c r="B16" s="547" t="s">
        <v>1089</v>
      </c>
      <c r="C16" s="541"/>
      <c r="D16" s="541"/>
      <c r="E16" s="548"/>
      <c r="F16" s="942">
        <v>2</v>
      </c>
      <c r="G16" s="541"/>
      <c r="H16" s="543"/>
      <c r="I16" s="524"/>
      <c r="J16" s="1270"/>
    </row>
    <row r="17" spans="1:10" ht="15.75">
      <c r="A17" s="544"/>
      <c r="B17" s="547" t="s">
        <v>431</v>
      </c>
      <c r="C17" s="541"/>
      <c r="D17" s="541"/>
      <c r="E17" s="546">
        <f>E14-E16</f>
        <v>0</v>
      </c>
      <c r="F17" s="549" t="s">
        <v>1090</v>
      </c>
      <c r="G17" s="546">
        <f>E17</f>
        <v>0</v>
      </c>
      <c r="H17" s="942">
        <v>3</v>
      </c>
      <c r="I17" s="524"/>
      <c r="J17" s="1270"/>
    </row>
    <row r="18" spans="1:10" ht="18">
      <c r="A18" s="544"/>
      <c r="B18" s="547" t="s">
        <v>1294</v>
      </c>
      <c r="C18" s="541"/>
      <c r="D18" s="541"/>
      <c r="E18" s="542"/>
      <c r="F18" s="541"/>
      <c r="G18" s="541"/>
      <c r="H18" s="543"/>
      <c r="I18" s="524"/>
      <c r="J18" s="1270"/>
    </row>
    <row r="19" spans="1:10" ht="15.75">
      <c r="A19" s="544"/>
      <c r="B19" s="547" t="s">
        <v>1295</v>
      </c>
      <c r="C19" s="541"/>
      <c r="D19" s="541"/>
      <c r="E19" s="548"/>
      <c r="F19" s="942">
        <v>4</v>
      </c>
      <c r="G19" s="541"/>
      <c r="H19" s="543"/>
      <c r="I19" s="524"/>
      <c r="J19" s="1270"/>
    </row>
    <row r="20" spans="1:10" ht="15.75">
      <c r="A20" s="544"/>
      <c r="B20" s="547" t="s">
        <v>1296</v>
      </c>
      <c r="C20" s="541"/>
      <c r="D20" s="541"/>
      <c r="E20" s="550"/>
      <c r="F20" s="942"/>
      <c r="G20" s="541"/>
      <c r="H20" s="543"/>
      <c r="I20" s="524"/>
      <c r="J20" s="1270"/>
    </row>
    <row r="21" spans="1:10" ht="15">
      <c r="A21" s="527"/>
      <c r="B21" s="547" t="s">
        <v>792</v>
      </c>
      <c r="C21" s="541"/>
      <c r="D21" s="541"/>
      <c r="E21" s="548"/>
      <c r="F21" s="942">
        <v>5</v>
      </c>
      <c r="G21" s="551"/>
      <c r="H21" s="552"/>
      <c r="I21" s="524"/>
      <c r="J21" s="1270"/>
    </row>
    <row r="22" spans="1:10" ht="15.75">
      <c r="A22" s="527"/>
      <c r="B22" s="541" t="s">
        <v>432</v>
      </c>
      <c r="C22" s="541"/>
      <c r="D22" s="541"/>
      <c r="E22" s="546">
        <f>E19-E21</f>
        <v>0</v>
      </c>
      <c r="F22" s="549" t="s">
        <v>1090</v>
      </c>
      <c r="G22" s="546">
        <f>E22</f>
        <v>0</v>
      </c>
      <c r="H22" s="942">
        <v>6</v>
      </c>
      <c r="I22" s="524"/>
      <c r="J22" s="1270"/>
    </row>
    <row r="23" spans="1:10" ht="15">
      <c r="A23" s="527"/>
      <c r="B23" s="541" t="s">
        <v>793</v>
      </c>
      <c r="C23" s="541"/>
      <c r="D23" s="541"/>
      <c r="E23" s="541"/>
      <c r="F23" s="541"/>
      <c r="G23" s="546">
        <f>E14</f>
        <v>0</v>
      </c>
      <c r="H23" s="942">
        <v>7</v>
      </c>
      <c r="I23" s="524"/>
      <c r="J23" s="1270"/>
    </row>
    <row r="24" spans="1:10" ht="12.75">
      <c r="A24" s="527"/>
      <c r="B24" s="541" t="s">
        <v>683</v>
      </c>
      <c r="C24" s="541"/>
      <c r="D24" s="541"/>
      <c r="E24" s="541"/>
      <c r="F24" s="541"/>
      <c r="G24" s="551"/>
      <c r="H24" s="547"/>
      <c r="I24" s="524"/>
      <c r="J24" s="1270"/>
    </row>
    <row r="25" spans="1:10" ht="15.75" thickBot="1">
      <c r="A25" s="527"/>
      <c r="B25" s="541" t="s">
        <v>794</v>
      </c>
      <c r="C25" s="541"/>
      <c r="D25" s="541"/>
      <c r="E25" s="541"/>
      <c r="F25" s="541"/>
      <c r="G25" s="761">
        <f>MIN(G17,G22)</f>
        <v>0</v>
      </c>
      <c r="H25" s="942">
        <v>8</v>
      </c>
      <c r="I25" s="524"/>
      <c r="J25" s="1270"/>
    </row>
    <row r="26" spans="1:10" ht="15.75" thickBot="1">
      <c r="A26" s="527"/>
      <c r="B26" s="541" t="s">
        <v>411</v>
      </c>
      <c r="C26" s="541"/>
      <c r="D26" s="541"/>
      <c r="E26" s="541"/>
      <c r="F26" s="541"/>
      <c r="G26" s="762">
        <f>G23-G25</f>
        <v>0</v>
      </c>
      <c r="H26" s="942">
        <v>9</v>
      </c>
      <c r="I26" s="524"/>
      <c r="J26" s="1270"/>
    </row>
    <row r="27" spans="1:10" ht="17.25" customHeight="1" thickTop="1">
      <c r="A27" s="527"/>
      <c r="B27" s="541"/>
      <c r="C27" s="541"/>
      <c r="D27" s="541"/>
      <c r="E27" s="541"/>
      <c r="F27" s="527"/>
      <c r="G27" s="551"/>
      <c r="H27" s="553"/>
      <c r="I27" s="524"/>
      <c r="J27" s="1270"/>
    </row>
    <row r="28" spans="1:10" ht="15.75">
      <c r="A28" s="527"/>
      <c r="B28" s="530" t="s">
        <v>795</v>
      </c>
      <c r="C28" s="527"/>
      <c r="D28" s="527"/>
      <c r="E28" s="527"/>
      <c r="F28" s="527"/>
      <c r="G28" s="527"/>
      <c r="H28" s="554"/>
      <c r="I28" s="524"/>
      <c r="J28" s="1270"/>
    </row>
    <row r="29" spans="1:10" ht="28.5" customHeight="1">
      <c r="A29" s="527"/>
      <c r="B29" s="541" t="s">
        <v>796</v>
      </c>
      <c r="C29" s="541"/>
      <c r="D29" s="541"/>
      <c r="E29" s="551"/>
      <c r="F29" s="541"/>
      <c r="G29" s="541"/>
      <c r="H29" s="555"/>
      <c r="I29" s="524"/>
      <c r="J29" s="1270"/>
    </row>
    <row r="30" spans="1:10" ht="15.75" customHeight="1">
      <c r="A30" s="527"/>
      <c r="B30" s="541" t="s">
        <v>1092</v>
      </c>
      <c r="C30" s="541"/>
      <c r="D30" s="541"/>
      <c r="E30" s="548">
        <f>IF(year=G4,'T4RIF'!J59,0)</f>
        <v>0</v>
      </c>
      <c r="F30" s="942">
        <v>10</v>
      </c>
      <c r="G30" s="561"/>
      <c r="H30" s="555"/>
      <c r="I30" s="524"/>
      <c r="J30" s="1270"/>
    </row>
    <row r="31" spans="1:10" ht="21" customHeight="1">
      <c r="A31" s="527"/>
      <c r="B31" s="541" t="s">
        <v>797</v>
      </c>
      <c r="C31" s="541"/>
      <c r="D31" s="541"/>
      <c r="E31" s="551"/>
      <c r="F31" s="942"/>
      <c r="G31" s="561"/>
      <c r="H31" s="555"/>
      <c r="I31" s="524"/>
      <c r="J31" s="1270"/>
    </row>
    <row r="32" spans="1:10" ht="11.25" customHeight="1">
      <c r="A32" s="527"/>
      <c r="B32" s="541" t="s">
        <v>798</v>
      </c>
      <c r="C32" s="541"/>
      <c r="D32" s="541"/>
      <c r="E32" s="556"/>
      <c r="F32" s="942"/>
      <c r="G32" s="547"/>
      <c r="H32" s="555"/>
      <c r="I32" s="524"/>
      <c r="J32" s="1270"/>
    </row>
    <row r="33" spans="1:10" ht="15.75">
      <c r="A33" s="527"/>
      <c r="B33" s="541" t="s">
        <v>470</v>
      </c>
      <c r="C33" s="548">
        <f>IF(year=G4,'T4RIF'!J60,0)</f>
        <v>0</v>
      </c>
      <c r="D33" s="942">
        <v>11</v>
      </c>
      <c r="E33" s="561"/>
      <c r="F33" s="942"/>
      <c r="G33" s="541"/>
      <c r="H33" s="555"/>
      <c r="I33" s="524"/>
      <c r="J33" s="1270"/>
    </row>
    <row r="34" spans="1:10" ht="20.25" customHeight="1">
      <c r="A34" s="527"/>
      <c r="B34" s="541" t="s">
        <v>746</v>
      </c>
      <c r="C34" s="541"/>
      <c r="D34" s="942"/>
      <c r="E34" s="556"/>
      <c r="F34" s="942"/>
      <c r="G34" s="541"/>
      <c r="H34" s="555"/>
      <c r="I34" s="524"/>
      <c r="J34" s="1270"/>
    </row>
    <row r="35" spans="1:10" ht="14.25">
      <c r="A35" s="527"/>
      <c r="B35" s="541" t="s">
        <v>595</v>
      </c>
      <c r="C35" s="541"/>
      <c r="D35" s="942"/>
      <c r="E35" s="556"/>
      <c r="F35" s="942"/>
      <c r="G35" s="541"/>
      <c r="H35" s="555"/>
      <c r="I35" s="524"/>
      <c r="J35" s="1270"/>
    </row>
    <row r="36" spans="1:10" ht="15.75" thickBot="1">
      <c r="A36" s="527"/>
      <c r="B36" s="541" t="s">
        <v>596</v>
      </c>
      <c r="C36" s="760"/>
      <c r="D36" s="942">
        <v>12</v>
      </c>
      <c r="E36" s="556"/>
      <c r="F36" s="942"/>
      <c r="G36" s="541"/>
      <c r="H36" s="555"/>
      <c r="I36" s="524"/>
      <c r="J36" s="1270"/>
    </row>
    <row r="37" spans="1:10" ht="16.5" thickBot="1">
      <c r="A37" s="527"/>
      <c r="B37" s="541" t="s">
        <v>412</v>
      </c>
      <c r="C37" s="546">
        <f>C33-C36</f>
        <v>0</v>
      </c>
      <c r="D37" s="549" t="s">
        <v>1090</v>
      </c>
      <c r="E37" s="761">
        <f>C37</f>
        <v>0</v>
      </c>
      <c r="F37" s="942">
        <v>13</v>
      </c>
      <c r="G37" s="541"/>
      <c r="H37" s="555"/>
      <c r="I37" s="524"/>
      <c r="J37" s="1270"/>
    </row>
    <row r="38" spans="1:10" ht="15.75">
      <c r="A38" s="527"/>
      <c r="B38" s="541" t="s">
        <v>413</v>
      </c>
      <c r="C38" s="541"/>
      <c r="D38" s="541"/>
      <c r="E38" s="546">
        <f>E30+E37</f>
        <v>0</v>
      </c>
      <c r="F38" s="549" t="s">
        <v>1090</v>
      </c>
      <c r="G38" s="546">
        <f>E38</f>
        <v>0</v>
      </c>
      <c r="H38" s="942">
        <v>14</v>
      </c>
      <c r="I38" s="524"/>
      <c r="J38" s="1270"/>
    </row>
    <row r="39" spans="1:10" ht="18" customHeight="1">
      <c r="A39" s="527"/>
      <c r="B39" s="541" t="s">
        <v>597</v>
      </c>
      <c r="C39" s="541"/>
      <c r="D39" s="541"/>
      <c r="E39" s="556"/>
      <c r="F39" s="541"/>
      <c r="G39" s="541"/>
      <c r="H39" s="943"/>
      <c r="I39" s="524"/>
      <c r="J39" s="1270"/>
    </row>
    <row r="40" spans="1:10" ht="15">
      <c r="A40" s="527"/>
      <c r="B40" s="541" t="s">
        <v>598</v>
      </c>
      <c r="C40" s="541"/>
      <c r="D40" s="541"/>
      <c r="E40" s="556"/>
      <c r="F40" s="541"/>
      <c r="G40" s="541"/>
      <c r="H40" s="943"/>
      <c r="I40" s="524"/>
      <c r="J40" s="1270"/>
    </row>
    <row r="41" spans="1:10" ht="15">
      <c r="A41" s="527"/>
      <c r="B41" s="541" t="s">
        <v>599</v>
      </c>
      <c r="C41" s="541"/>
      <c r="D41" s="541"/>
      <c r="E41" s="548">
        <f>E19</f>
        <v>0</v>
      </c>
      <c r="F41" s="942">
        <v>15</v>
      </c>
      <c r="G41" s="541"/>
      <c r="H41" s="943"/>
      <c r="I41" s="524"/>
      <c r="J41" s="1270"/>
    </row>
    <row r="42" spans="1:10" ht="18" customHeight="1">
      <c r="A42" s="527"/>
      <c r="B42" s="541" t="s">
        <v>600</v>
      </c>
      <c r="C42" s="541"/>
      <c r="D42" s="541"/>
      <c r="E42" s="556"/>
      <c r="F42" s="942"/>
      <c r="G42" s="557"/>
      <c r="H42" s="943"/>
      <c r="I42" s="524"/>
      <c r="J42" s="1270"/>
    </row>
    <row r="43" spans="1:10" ht="14.25">
      <c r="A43" s="527"/>
      <c r="B43" s="541" t="s">
        <v>770</v>
      </c>
      <c r="C43" s="541"/>
      <c r="D43" s="541"/>
      <c r="E43" s="556"/>
      <c r="F43" s="942"/>
      <c r="G43" s="557"/>
      <c r="H43" s="942"/>
      <c r="I43" s="524"/>
      <c r="J43" s="1270"/>
    </row>
    <row r="44" spans="1:10" ht="15">
      <c r="A44" s="527"/>
      <c r="B44" s="541" t="s">
        <v>771</v>
      </c>
      <c r="C44" s="541"/>
      <c r="D44" s="541"/>
      <c r="E44" s="548">
        <f>E21+G25</f>
        <v>0</v>
      </c>
      <c r="F44" s="942">
        <v>16</v>
      </c>
      <c r="G44" s="557"/>
      <c r="H44" s="943"/>
      <c r="I44" s="524"/>
      <c r="J44" s="1270"/>
    </row>
    <row r="45" spans="1:10" ht="15.75">
      <c r="A45" s="527"/>
      <c r="B45" s="541" t="s">
        <v>414</v>
      </c>
      <c r="C45" s="541"/>
      <c r="D45" s="541"/>
      <c r="E45" s="546">
        <f>E41-E44</f>
        <v>0</v>
      </c>
      <c r="F45" s="549" t="s">
        <v>1090</v>
      </c>
      <c r="G45" s="546">
        <f>E45</f>
        <v>0</v>
      </c>
      <c r="H45" s="942">
        <v>17</v>
      </c>
      <c r="I45" s="524"/>
      <c r="J45" s="1270"/>
    </row>
    <row r="46" spans="1:10" ht="15">
      <c r="A46" s="527"/>
      <c r="B46" s="541" t="s">
        <v>841</v>
      </c>
      <c r="C46" s="541"/>
      <c r="D46" s="541"/>
      <c r="E46" s="556"/>
      <c r="F46" s="541"/>
      <c r="G46" s="541"/>
      <c r="H46" s="943"/>
      <c r="I46" s="524"/>
      <c r="J46" s="1270"/>
    </row>
    <row r="47" spans="1:10" ht="15.75">
      <c r="A47" s="527"/>
      <c r="B47" s="541" t="s">
        <v>2234</v>
      </c>
      <c r="C47" s="541"/>
      <c r="D47" s="541"/>
      <c r="E47" s="556"/>
      <c r="F47" s="541"/>
      <c r="G47" s="548">
        <f>IF(year=G4,'T4RIF'!J58+'T4RIF'!J59,0)</f>
        <v>0</v>
      </c>
      <c r="H47" s="942">
        <v>18</v>
      </c>
      <c r="I47" s="561"/>
      <c r="J47" s="1270"/>
    </row>
    <row r="48" spans="1:10" ht="16.5" customHeight="1">
      <c r="A48" s="527"/>
      <c r="B48" s="541" t="s">
        <v>370</v>
      </c>
      <c r="C48" s="541"/>
      <c r="D48" s="541"/>
      <c r="E48" s="556"/>
      <c r="F48" s="541"/>
      <c r="G48" s="541"/>
      <c r="H48" s="943"/>
      <c r="I48" s="524"/>
      <c r="J48" s="1270"/>
    </row>
    <row r="49" spans="1:10" ht="11.25" customHeight="1">
      <c r="A49" s="527"/>
      <c r="B49" s="541" t="s">
        <v>2235</v>
      </c>
      <c r="C49" s="541"/>
      <c r="D49" s="541"/>
      <c r="E49" s="556"/>
      <c r="F49" s="541"/>
      <c r="G49" s="541"/>
      <c r="H49" s="943"/>
      <c r="I49" s="524"/>
      <c r="J49" s="1270"/>
    </row>
    <row r="50" spans="1:10" ht="15.75" thickBot="1">
      <c r="A50" s="527"/>
      <c r="B50" s="541" t="s">
        <v>2236</v>
      </c>
      <c r="C50" s="541"/>
      <c r="D50" s="541"/>
      <c r="E50" s="556"/>
      <c r="F50" s="541"/>
      <c r="G50" s="761">
        <f>MIN(G38,G45)</f>
        <v>0</v>
      </c>
      <c r="H50" s="942">
        <v>19</v>
      </c>
      <c r="I50" s="524"/>
      <c r="J50" s="1270"/>
    </row>
    <row r="51" spans="1:10" ht="15.75" thickBot="1">
      <c r="A51" s="527"/>
      <c r="B51" s="541" t="s">
        <v>937</v>
      </c>
      <c r="C51" s="541"/>
      <c r="D51" s="541"/>
      <c r="E51" s="556"/>
      <c r="F51" s="541"/>
      <c r="G51" s="762">
        <f>G47-G50</f>
        <v>0</v>
      </c>
      <c r="H51" s="942">
        <v>20</v>
      </c>
      <c r="I51" s="524"/>
      <c r="J51" s="1270"/>
    </row>
    <row r="52" spans="1:10" ht="11.25" customHeight="1" thickTop="1">
      <c r="A52" s="527"/>
      <c r="B52" s="541" t="s">
        <v>2237</v>
      </c>
      <c r="C52" s="541"/>
      <c r="D52" s="541"/>
      <c r="E52" s="556"/>
      <c r="F52" s="541"/>
      <c r="G52" s="541"/>
      <c r="H52" s="555"/>
      <c r="I52" s="524"/>
      <c r="J52" s="1270"/>
    </row>
    <row r="53" spans="1:10" ht="19.5" customHeight="1">
      <c r="A53" s="527"/>
      <c r="B53" s="558" t="s">
        <v>1093</v>
      </c>
      <c r="C53" s="541"/>
      <c r="D53" s="541"/>
      <c r="E53" s="556"/>
      <c r="F53" s="527"/>
      <c r="G53" s="527"/>
      <c r="H53" s="554"/>
      <c r="I53" s="524"/>
      <c r="J53" s="1270"/>
    </row>
    <row r="54" spans="1:10" ht="11.25" customHeight="1">
      <c r="A54" s="527"/>
      <c r="B54" s="559" t="s">
        <v>994</v>
      </c>
      <c r="C54" s="541"/>
      <c r="D54" s="541"/>
      <c r="E54" s="556"/>
      <c r="F54" s="527"/>
      <c r="G54" s="527"/>
      <c r="H54" s="554"/>
      <c r="I54" s="524"/>
      <c r="J54" s="1270"/>
    </row>
    <row r="55" spans="1:10" ht="11.25" customHeight="1">
      <c r="A55" s="527"/>
      <c r="B55" s="541"/>
      <c r="C55" s="541"/>
      <c r="D55" s="541"/>
      <c r="E55" s="556"/>
      <c r="F55" s="527"/>
      <c r="G55" s="527"/>
      <c r="H55" s="554"/>
      <c r="I55" s="524"/>
      <c r="J55" s="1270"/>
    </row>
    <row r="56" ht="12.75" customHeight="1"/>
    <row r="57" ht="12" customHeight="1">
      <c r="B57" s="944" t="s">
        <v>2016</v>
      </c>
    </row>
    <row r="58" ht="12" customHeight="1">
      <c r="B58" s="944" t="s">
        <v>2017</v>
      </c>
    </row>
    <row r="59" ht="12" customHeight="1">
      <c r="B59" s="944" t="s">
        <v>2018</v>
      </c>
    </row>
    <row r="60" ht="12" customHeight="1">
      <c r="B60" s="944" t="s">
        <v>2019</v>
      </c>
    </row>
    <row r="61" ht="12" customHeight="1">
      <c r="B61" s="944" t="s">
        <v>2020</v>
      </c>
    </row>
    <row r="62" ht="12" customHeight="1">
      <c r="B62" s="944" t="s">
        <v>2021</v>
      </c>
    </row>
    <row r="63" ht="12" customHeight="1">
      <c r="B63" s="944" t="s">
        <v>2022</v>
      </c>
    </row>
    <row r="64" ht="12" customHeight="1">
      <c r="B64" s="944" t="s">
        <v>2023</v>
      </c>
    </row>
    <row r="65" ht="12" customHeight="1">
      <c r="B65" s="944" t="s">
        <v>2024</v>
      </c>
    </row>
    <row r="66" ht="12" customHeight="1">
      <c r="B66" s="944" t="s">
        <v>2025</v>
      </c>
    </row>
    <row r="67" ht="12" customHeight="1">
      <c r="B67" s="944" t="s">
        <v>2026</v>
      </c>
    </row>
    <row r="68" ht="12" customHeight="1">
      <c r="B68" s="944" t="s">
        <v>2027</v>
      </c>
    </row>
    <row r="69" ht="12" customHeight="1">
      <c r="B69" s="944" t="s">
        <v>2028</v>
      </c>
    </row>
    <row r="70" ht="12" customHeight="1">
      <c r="B70" s="944" t="s">
        <v>2029</v>
      </c>
    </row>
    <row r="71" ht="12" customHeight="1">
      <c r="B71" s="944" t="s">
        <v>2030</v>
      </c>
    </row>
    <row r="72" ht="12" customHeight="1">
      <c r="B72" s="944" t="s">
        <v>2031</v>
      </c>
    </row>
    <row r="73" ht="12" customHeight="1">
      <c r="B73" s="944" t="s">
        <v>1073</v>
      </c>
    </row>
    <row r="74" ht="12" customHeight="1">
      <c r="B74" s="944" t="s">
        <v>1074</v>
      </c>
    </row>
    <row r="75" ht="12" customHeight="1">
      <c r="B75" s="944" t="s">
        <v>2032</v>
      </c>
    </row>
    <row r="76" ht="12" customHeight="1">
      <c r="B76" s="944" t="s">
        <v>2033</v>
      </c>
    </row>
    <row r="77" ht="12" customHeight="1">
      <c r="B77" s="944" t="s">
        <v>2034</v>
      </c>
    </row>
    <row r="78" ht="12" customHeight="1">
      <c r="B78" s="944" t="s">
        <v>2035</v>
      </c>
    </row>
    <row r="79" ht="12" customHeight="1">
      <c r="B79" s="944" t="s">
        <v>2036</v>
      </c>
    </row>
    <row r="80" ht="12" customHeight="1">
      <c r="B80" s="944" t="s">
        <v>2037</v>
      </c>
    </row>
    <row r="81" ht="12" customHeight="1">
      <c r="B81" s="944" t="s">
        <v>2038</v>
      </c>
    </row>
    <row r="82" ht="12" customHeight="1">
      <c r="B82" s="944" t="s">
        <v>2039</v>
      </c>
    </row>
    <row r="83" ht="12" customHeight="1">
      <c r="B83" s="944" t="s">
        <v>2040</v>
      </c>
    </row>
    <row r="84" ht="12" customHeight="1">
      <c r="B84" s="944" t="s">
        <v>2041</v>
      </c>
    </row>
    <row r="85" ht="12" customHeight="1">
      <c r="B85" s="944" t="s">
        <v>2042</v>
      </c>
    </row>
    <row r="86" ht="12" customHeight="1">
      <c r="B86" s="944" t="s">
        <v>2043</v>
      </c>
    </row>
    <row r="87" ht="12" customHeight="1">
      <c r="B87" s="944" t="s">
        <v>2044</v>
      </c>
    </row>
    <row r="88" ht="12" customHeight="1">
      <c r="B88" s="944" t="s">
        <v>2045</v>
      </c>
    </row>
    <row r="89" ht="12" customHeight="1">
      <c r="B89" s="944" t="s">
        <v>2046</v>
      </c>
    </row>
    <row r="90" ht="12" customHeight="1">
      <c r="B90" s="944" t="s">
        <v>2047</v>
      </c>
    </row>
    <row r="91" ht="12" customHeight="1">
      <c r="B91" s="944" t="s">
        <v>2048</v>
      </c>
    </row>
    <row r="92" ht="12" customHeight="1">
      <c r="B92" s="944" t="s">
        <v>2049</v>
      </c>
    </row>
    <row r="93" ht="12" customHeight="1">
      <c r="B93" s="944" t="s">
        <v>2050</v>
      </c>
    </row>
    <row r="94" ht="12" customHeight="1">
      <c r="B94" s="944" t="s">
        <v>2051</v>
      </c>
    </row>
    <row r="95" ht="12" customHeight="1">
      <c r="B95" s="944" t="s">
        <v>2052</v>
      </c>
    </row>
    <row r="96" ht="12" customHeight="1">
      <c r="B96" s="944" t="s">
        <v>2053</v>
      </c>
    </row>
    <row r="97" ht="12" customHeight="1">
      <c r="B97" s="944" t="s">
        <v>2054</v>
      </c>
    </row>
    <row r="98" ht="12" customHeight="1">
      <c r="B98" s="944" t="s">
        <v>2055</v>
      </c>
    </row>
    <row r="99" ht="12" customHeight="1">
      <c r="B99" s="944" t="s">
        <v>2056</v>
      </c>
    </row>
    <row r="100" ht="12" customHeight="1">
      <c r="B100" s="944" t="s">
        <v>2057</v>
      </c>
    </row>
    <row r="101" ht="12" customHeight="1">
      <c r="B101" s="944" t="s">
        <v>2058</v>
      </c>
    </row>
    <row r="102" ht="12" customHeight="1">
      <c r="B102" s="944" t="s">
        <v>2059</v>
      </c>
    </row>
    <row r="103" ht="12" customHeight="1">
      <c r="B103" s="944" t="s">
        <v>2060</v>
      </c>
    </row>
    <row r="104" ht="12" customHeight="1">
      <c r="B104" s="944" t="s">
        <v>2061</v>
      </c>
    </row>
    <row r="105" ht="12" customHeight="1">
      <c r="B105" s="944" t="s">
        <v>2062</v>
      </c>
    </row>
    <row r="106" ht="12" customHeight="1">
      <c r="B106" s="944" t="s">
        <v>2063</v>
      </c>
    </row>
    <row r="107" ht="12" customHeight="1">
      <c r="B107" s="944" t="s">
        <v>2064</v>
      </c>
    </row>
    <row r="108" ht="12" customHeight="1">
      <c r="B108" s="944" t="s">
        <v>2065</v>
      </c>
    </row>
    <row r="109" ht="12" customHeight="1">
      <c r="B109" s="944" t="s">
        <v>2066</v>
      </c>
    </row>
    <row r="110" ht="12" customHeight="1">
      <c r="B110" s="944" t="s">
        <v>2066</v>
      </c>
    </row>
    <row r="111" ht="12" customHeight="1">
      <c r="B111" s="944" t="s">
        <v>2066</v>
      </c>
    </row>
    <row r="112" ht="12" customHeight="1">
      <c r="B112" s="944" t="s">
        <v>2066</v>
      </c>
    </row>
    <row r="113" ht="12" customHeight="1">
      <c r="B113" s="944" t="s">
        <v>2066</v>
      </c>
    </row>
    <row r="114" ht="12" customHeight="1">
      <c r="B114" s="944" t="s">
        <v>2066</v>
      </c>
    </row>
    <row r="115" ht="15">
      <c r="B115" s="944" t="s">
        <v>2066</v>
      </c>
    </row>
    <row r="116" ht="15">
      <c r="B116" s="944" t="s">
        <v>2067</v>
      </c>
    </row>
    <row r="117" ht="15">
      <c r="B117" s="944"/>
    </row>
    <row r="118" ht="15">
      <c r="B118" s="944"/>
    </row>
    <row r="119" ht="15">
      <c r="B119" s="944"/>
    </row>
    <row r="120" ht="15">
      <c r="B120" s="944"/>
    </row>
    <row r="121" ht="15">
      <c r="B121" s="944"/>
    </row>
    <row r="122" ht="15">
      <c r="B122" s="944"/>
    </row>
    <row r="123" ht="15">
      <c r="B123" s="944"/>
    </row>
    <row r="124" ht="15">
      <c r="B124" s="944"/>
    </row>
    <row r="125" ht="15">
      <c r="B125" s="944"/>
    </row>
    <row r="126" ht="15">
      <c r="B126" s="944"/>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hyperlinks>
    <hyperlink ref="J1:J55" location="'GO TO'!G18" display=" "/>
  </hyperlinks>
  <printOptions horizontalCentered="1"/>
  <pageMargins left="0.4" right="0.45" top="0.5" bottom="0.25" header="0.24" footer="0.5"/>
  <pageSetup fitToHeight="0" fitToWidth="1" horizontalDpi="600" verticalDpi="600" orientation="portrait" scale="80" r:id="rId3"/>
  <legacyDrawing r:id="rId2"/>
</worksheet>
</file>

<file path=xl/worksheets/sheet35.xml><?xml version="1.0" encoding="utf-8"?>
<worksheet xmlns="http://schemas.openxmlformats.org/spreadsheetml/2006/main" xmlns:r="http://schemas.openxmlformats.org/officeDocument/2006/relationships">
  <sheetPr codeName="Sheet21111">
    <pageSetUpPr fitToPage="1"/>
  </sheetPr>
  <dimension ref="B1:M91"/>
  <sheetViews>
    <sheetView zoomScale="50" zoomScaleNormal="50" workbookViewId="0" topLeftCell="A1">
      <selection activeCell="M9" sqref="M9"/>
    </sheetView>
  </sheetViews>
  <sheetFormatPr defaultColWidth="8.88671875" defaultRowHeight="15"/>
  <cols>
    <col min="1" max="1" width="1.77734375" style="670" customWidth="1"/>
    <col min="2" max="2" width="8.3359375" style="670" customWidth="1"/>
    <col min="3" max="3" width="37.5546875" style="670" customWidth="1"/>
    <col min="4" max="4" width="7.99609375" style="670" customWidth="1"/>
    <col min="5" max="10" width="12.21484375" style="670" customWidth="1"/>
    <col min="11" max="11" width="1.88671875" style="670" customWidth="1"/>
    <col min="12" max="16384" width="8.88671875" style="670" customWidth="1"/>
  </cols>
  <sheetData>
    <row r="1" spans="2:11" ht="18">
      <c r="B1" s="36"/>
      <c r="C1" s="34" t="str">
        <f>"T3-"&amp;yeartext&amp;" SLIPS DATA ENTRY FORM"</f>
        <v>T3-2006 SLIPS DATA ENTRY FORM</v>
      </c>
      <c r="D1" s="34"/>
      <c r="E1" s="358"/>
      <c r="F1" s="36"/>
      <c r="G1" s="34" t="s">
        <v>820</v>
      </c>
      <c r="H1" s="37"/>
      <c r="I1" s="36"/>
      <c r="J1" s="37" t="str">
        <f>yeartext</f>
        <v>2006</v>
      </c>
      <c r="K1" s="669"/>
    </row>
    <row r="2" spans="2:11" ht="15.75">
      <c r="B2" s="36"/>
      <c r="C2" s="36"/>
      <c r="D2" s="38"/>
      <c r="E2" s="669"/>
      <c r="F2" s="36"/>
      <c r="G2" s="36"/>
      <c r="H2" s="36"/>
      <c r="I2" s="36"/>
      <c r="J2" s="36"/>
      <c r="K2" s="669"/>
    </row>
    <row r="3" spans="2:11" ht="18">
      <c r="B3" s="39"/>
      <c r="C3" s="39" t="s">
        <v>439</v>
      </c>
      <c r="D3" s="36"/>
      <c r="E3" s="38"/>
      <c r="F3" s="36"/>
      <c r="G3" s="36"/>
      <c r="H3" s="36"/>
      <c r="I3" s="36"/>
      <c r="J3" s="36"/>
      <c r="K3" s="669"/>
    </row>
    <row r="4" spans="2:11" ht="18">
      <c r="B4" s="39"/>
      <c r="C4" s="39" t="s">
        <v>1759</v>
      </c>
      <c r="D4" s="36"/>
      <c r="E4" s="38"/>
      <c r="F4" s="36"/>
      <c r="G4" s="36"/>
      <c r="H4" s="36"/>
      <c r="I4" s="36"/>
      <c r="J4" s="36"/>
      <c r="K4" s="669"/>
    </row>
    <row r="5" spans="2:11" ht="18">
      <c r="B5" s="39"/>
      <c r="C5" s="39" t="s">
        <v>2276</v>
      </c>
      <c r="D5" s="36"/>
      <c r="E5" s="38"/>
      <c r="F5" s="36"/>
      <c r="G5" s="36"/>
      <c r="H5" s="36"/>
      <c r="I5" s="36"/>
      <c r="J5" s="36"/>
      <c r="K5" s="669"/>
    </row>
    <row r="6" spans="2:11" ht="18">
      <c r="B6" s="39"/>
      <c r="C6" s="39" t="s">
        <v>2277</v>
      </c>
      <c r="D6" s="36"/>
      <c r="E6" s="38"/>
      <c r="F6" s="36"/>
      <c r="G6" s="36"/>
      <c r="H6" s="36"/>
      <c r="I6" s="36"/>
      <c r="J6" s="36"/>
      <c r="K6" s="669"/>
    </row>
    <row r="7" spans="2:11" ht="18">
      <c r="B7" s="39"/>
      <c r="C7" s="39" t="s">
        <v>2164</v>
      </c>
      <c r="D7" s="36"/>
      <c r="E7" s="38"/>
      <c r="F7" s="36"/>
      <c r="G7" s="36"/>
      <c r="H7" s="36"/>
      <c r="I7" s="36"/>
      <c r="J7" s="36"/>
      <c r="K7" s="669"/>
    </row>
    <row r="8" spans="2:11" ht="18">
      <c r="B8" s="39"/>
      <c r="C8" s="39" t="s">
        <v>1129</v>
      </c>
      <c r="D8" s="36"/>
      <c r="E8" s="38"/>
      <c r="F8" s="36"/>
      <c r="G8" s="36"/>
      <c r="H8" s="36"/>
      <c r="I8" s="36"/>
      <c r="J8" s="36"/>
      <c r="K8" s="669"/>
    </row>
    <row r="9" spans="2:11" ht="18">
      <c r="B9" s="39"/>
      <c r="C9" s="39" t="s">
        <v>1130</v>
      </c>
      <c r="D9" s="36"/>
      <c r="E9" s="38"/>
      <c r="F9" s="36"/>
      <c r="G9" s="36"/>
      <c r="H9" s="36"/>
      <c r="I9" s="36"/>
      <c r="J9" s="36"/>
      <c r="K9" s="669"/>
    </row>
    <row r="10" spans="2:11" ht="18">
      <c r="B10" s="39"/>
      <c r="C10" s="39" t="s">
        <v>1826</v>
      </c>
      <c r="D10" s="36"/>
      <c r="E10" s="38"/>
      <c r="F10" s="36"/>
      <c r="G10" s="36"/>
      <c r="H10" s="36"/>
      <c r="I10" s="36"/>
      <c r="J10" s="36"/>
      <c r="K10" s="669"/>
    </row>
    <row r="11" spans="2:11" ht="18">
      <c r="B11" s="39"/>
      <c r="C11" s="39" t="s">
        <v>1530</v>
      </c>
      <c r="D11" s="36"/>
      <c r="E11" s="38"/>
      <c r="F11" s="36"/>
      <c r="G11" s="36"/>
      <c r="H11" s="36"/>
      <c r="I11" s="36"/>
      <c r="J11" s="36"/>
      <c r="K11" s="669"/>
    </row>
    <row r="12" spans="2:11" ht="18">
      <c r="B12" s="39"/>
      <c r="C12" s="39"/>
      <c r="D12" s="36"/>
      <c r="E12" s="38"/>
      <c r="F12" s="36"/>
      <c r="G12" s="36"/>
      <c r="H12" s="36"/>
      <c r="I12" s="36"/>
      <c r="J12" s="36"/>
      <c r="K12" s="669"/>
    </row>
    <row r="13" spans="2:11" ht="23.25">
      <c r="B13" s="409" t="s">
        <v>1332</v>
      </c>
      <c r="C13" s="39"/>
      <c r="D13" s="36"/>
      <c r="E13" s="406"/>
      <c r="F13" s="36"/>
      <c r="G13" s="36"/>
      <c r="H13" s="36"/>
      <c r="I13" s="36"/>
      <c r="J13" s="36"/>
      <c r="K13" s="669"/>
    </row>
    <row r="14" spans="2:13" ht="36">
      <c r="B14" s="42" t="s">
        <v>1829</v>
      </c>
      <c r="C14" s="42" t="s">
        <v>1742</v>
      </c>
      <c r="D14" s="42" t="s">
        <v>21</v>
      </c>
      <c r="E14" s="43" t="s">
        <v>1051</v>
      </c>
      <c r="F14" s="43" t="s">
        <v>1052</v>
      </c>
      <c r="G14" s="43" t="s">
        <v>1053</v>
      </c>
      <c r="H14" s="43" t="s">
        <v>866</v>
      </c>
      <c r="I14" s="43" t="s">
        <v>895</v>
      </c>
      <c r="J14" s="43" t="s">
        <v>503</v>
      </c>
      <c r="K14" s="669"/>
      <c r="M14" s="958"/>
    </row>
    <row r="15" spans="2:11" ht="18">
      <c r="B15" s="39"/>
      <c r="C15" s="39"/>
      <c r="D15" s="36"/>
      <c r="E15" s="38"/>
      <c r="F15" s="36"/>
      <c r="G15" s="36"/>
      <c r="H15" s="36"/>
      <c r="I15" s="36"/>
      <c r="J15" s="36"/>
      <c r="K15" s="669"/>
    </row>
    <row r="16" spans="2:11" ht="18">
      <c r="B16" s="47" t="s">
        <v>802</v>
      </c>
      <c r="C16" s="363" t="s">
        <v>1359</v>
      </c>
      <c r="D16" s="959" t="s">
        <v>1224</v>
      </c>
      <c r="E16" s="407"/>
      <c r="F16" s="407"/>
      <c r="G16" s="407"/>
      <c r="H16" s="407"/>
      <c r="I16" s="407"/>
      <c r="J16" s="671">
        <f>SUM(E16:I16)</f>
        <v>0</v>
      </c>
      <c r="K16" s="669"/>
    </row>
    <row r="17" spans="2:11" ht="18">
      <c r="B17" s="36" t="s">
        <v>803</v>
      </c>
      <c r="C17" s="39"/>
      <c r="D17" s="959"/>
      <c r="E17" s="38"/>
      <c r="F17" s="36"/>
      <c r="G17" s="36"/>
      <c r="H17" s="38"/>
      <c r="I17" s="36"/>
      <c r="J17" s="36"/>
      <c r="K17" s="669"/>
    </row>
    <row r="18" spans="2:11" ht="18">
      <c r="B18" s="47" t="s">
        <v>1988</v>
      </c>
      <c r="C18" s="363" t="s">
        <v>1360</v>
      </c>
      <c r="D18" s="959" t="s">
        <v>515</v>
      </c>
      <c r="E18" s="407"/>
      <c r="F18" s="407"/>
      <c r="G18" s="407"/>
      <c r="H18" s="407"/>
      <c r="I18" s="407"/>
      <c r="J18" s="671">
        <f>SUM(E18:I18)</f>
        <v>0</v>
      </c>
      <c r="K18" s="669"/>
    </row>
    <row r="19" spans="2:11" ht="18">
      <c r="B19" s="34"/>
      <c r="C19" s="358"/>
      <c r="D19" s="959"/>
      <c r="E19" s="34"/>
      <c r="F19" s="34"/>
      <c r="G19" s="34"/>
      <c r="H19" s="34"/>
      <c r="I19" s="34"/>
      <c r="J19" s="34"/>
      <c r="K19" s="669"/>
    </row>
    <row r="20" spans="2:11" ht="18">
      <c r="B20" s="47" t="s">
        <v>1770</v>
      </c>
      <c r="C20" s="363" t="s">
        <v>122</v>
      </c>
      <c r="D20" s="959" t="s">
        <v>1635</v>
      </c>
      <c r="E20" s="407"/>
      <c r="F20" s="407"/>
      <c r="G20" s="407"/>
      <c r="H20" s="407"/>
      <c r="I20" s="407"/>
      <c r="J20" s="671">
        <f>SUM(E20:I20)</f>
        <v>0</v>
      </c>
      <c r="K20" s="669"/>
    </row>
    <row r="21" spans="2:11" ht="18">
      <c r="B21" s="377" t="s">
        <v>989</v>
      </c>
      <c r="C21" s="39"/>
      <c r="D21" s="959"/>
      <c r="E21" s="34"/>
      <c r="F21" s="36"/>
      <c r="G21" s="36"/>
      <c r="H21" s="36"/>
      <c r="I21" s="36"/>
      <c r="J21" s="36"/>
      <c r="K21" s="669"/>
    </row>
    <row r="22" spans="2:11" ht="18">
      <c r="B22" s="58" t="s">
        <v>804</v>
      </c>
      <c r="C22" s="363" t="s">
        <v>123</v>
      </c>
      <c r="D22" s="959" t="s">
        <v>1349</v>
      </c>
      <c r="E22" s="407"/>
      <c r="F22" s="407"/>
      <c r="G22" s="407"/>
      <c r="H22" s="407"/>
      <c r="I22" s="407"/>
      <c r="J22" s="671">
        <f>SUM(E22:I22)</f>
        <v>0</v>
      </c>
      <c r="K22" s="669"/>
    </row>
    <row r="23" spans="2:11" ht="18">
      <c r="B23" s="377" t="s">
        <v>805</v>
      </c>
      <c r="C23" s="39"/>
      <c r="D23" s="959"/>
      <c r="E23" s="34"/>
      <c r="F23" s="36"/>
      <c r="G23" s="36"/>
      <c r="H23" s="36"/>
      <c r="I23" s="36"/>
      <c r="J23" s="36"/>
      <c r="K23" s="669"/>
    </row>
    <row r="24" spans="2:11" ht="18">
      <c r="B24" s="47" t="s">
        <v>806</v>
      </c>
      <c r="C24" s="363" t="s">
        <v>1418</v>
      </c>
      <c r="D24" s="959" t="s">
        <v>1637</v>
      </c>
      <c r="E24" s="407"/>
      <c r="F24" s="407"/>
      <c r="G24" s="407"/>
      <c r="H24" s="407"/>
      <c r="I24" s="407"/>
      <c r="J24" s="671">
        <f>SUM(E24:I24)</f>
        <v>0</v>
      </c>
      <c r="K24" s="669"/>
    </row>
    <row r="25" spans="2:11" ht="18">
      <c r="B25" s="36" t="s">
        <v>807</v>
      </c>
      <c r="C25" s="363"/>
      <c r="D25" s="960"/>
      <c r="E25" s="38"/>
      <c r="F25" s="36"/>
      <c r="G25" s="36"/>
      <c r="H25" s="36"/>
      <c r="I25" s="36"/>
      <c r="J25" s="36"/>
      <c r="K25" s="669"/>
    </row>
    <row r="26" spans="2:11" ht="18">
      <c r="B26" s="44" t="s">
        <v>808</v>
      </c>
      <c r="C26" s="363" t="s">
        <v>124</v>
      </c>
      <c r="D26" s="959" t="s">
        <v>1920</v>
      </c>
      <c r="E26" s="407"/>
      <c r="F26" s="407"/>
      <c r="G26" s="407"/>
      <c r="H26" s="407"/>
      <c r="I26" s="407"/>
      <c r="J26" s="671">
        <f>SUM(E26:I26)</f>
        <v>0</v>
      </c>
      <c r="K26" s="669"/>
    </row>
    <row r="27" spans="2:11" ht="18">
      <c r="B27" s="36" t="s">
        <v>809</v>
      </c>
      <c r="C27" s="363"/>
      <c r="D27" s="959"/>
      <c r="E27" s="38"/>
      <c r="F27" s="36"/>
      <c r="G27" s="36"/>
      <c r="H27" s="38"/>
      <c r="I27" s="36"/>
      <c r="J27" s="36"/>
      <c r="K27" s="669"/>
    </row>
    <row r="28" spans="2:11" ht="18">
      <c r="B28" s="58" t="s">
        <v>801</v>
      </c>
      <c r="C28" s="363" t="s">
        <v>125</v>
      </c>
      <c r="D28" s="959" t="s">
        <v>1921</v>
      </c>
      <c r="E28" s="407"/>
      <c r="F28" s="407"/>
      <c r="G28" s="407"/>
      <c r="H28" s="407"/>
      <c r="I28" s="407"/>
      <c r="J28" s="671">
        <f>SUM(E28:I28)</f>
        <v>0</v>
      </c>
      <c r="K28" s="669"/>
    </row>
    <row r="29" spans="2:11" ht="18">
      <c r="B29" s="34"/>
      <c r="C29" s="358"/>
      <c r="D29" s="959"/>
      <c r="E29" s="34"/>
      <c r="F29" s="34"/>
      <c r="G29" s="34"/>
      <c r="H29" s="34"/>
      <c r="I29" s="34"/>
      <c r="J29" s="34"/>
      <c r="K29" s="669"/>
    </row>
    <row r="30" spans="2:11" ht="18">
      <c r="B30" s="58" t="s">
        <v>1610</v>
      </c>
      <c r="C30" s="363" t="s">
        <v>1381</v>
      </c>
      <c r="D30" s="959" t="s">
        <v>1922</v>
      </c>
      <c r="E30" s="407"/>
      <c r="F30" s="407"/>
      <c r="G30" s="407"/>
      <c r="H30" s="407"/>
      <c r="I30" s="407"/>
      <c r="J30" s="671">
        <f>SUM(E30:I30)</f>
        <v>0</v>
      </c>
      <c r="K30" s="669"/>
    </row>
    <row r="31" spans="2:11" ht="18">
      <c r="B31" s="36"/>
      <c r="C31" s="39"/>
      <c r="D31" s="959"/>
      <c r="E31" s="34"/>
      <c r="F31" s="36"/>
      <c r="G31" s="36"/>
      <c r="H31" s="36"/>
      <c r="I31" s="36"/>
      <c r="J31" s="36"/>
      <c r="K31" s="669"/>
    </row>
    <row r="32" spans="2:11" ht="18">
      <c r="B32" s="47" t="s">
        <v>989</v>
      </c>
      <c r="C32" s="363" t="s">
        <v>126</v>
      </c>
      <c r="D32" s="959" t="s">
        <v>1913</v>
      </c>
      <c r="E32" s="407"/>
      <c r="F32" s="407"/>
      <c r="G32" s="407"/>
      <c r="H32" s="407"/>
      <c r="I32" s="407"/>
      <c r="J32" s="671">
        <f>SUM(E32:I32)</f>
        <v>0</v>
      </c>
      <c r="K32" s="669"/>
    </row>
    <row r="33" spans="2:11" ht="18">
      <c r="B33" s="36"/>
      <c r="C33" s="39"/>
      <c r="D33" s="959"/>
      <c r="E33" s="38"/>
      <c r="F33" s="36"/>
      <c r="G33" s="36"/>
      <c r="H33" s="38"/>
      <c r="I33" s="36"/>
      <c r="J33" s="36"/>
      <c r="K33" s="669"/>
    </row>
    <row r="34" spans="2:11" ht="18">
      <c r="B34" s="44" t="s">
        <v>812</v>
      </c>
      <c r="C34" s="363" t="s">
        <v>811</v>
      </c>
      <c r="D34" s="959" t="s">
        <v>1914</v>
      </c>
      <c r="E34" s="407"/>
      <c r="F34" s="407"/>
      <c r="G34" s="407"/>
      <c r="H34" s="407"/>
      <c r="I34" s="407"/>
      <c r="J34" s="671">
        <f>SUM(E34:I34)</f>
        <v>0</v>
      </c>
      <c r="K34" s="669"/>
    </row>
    <row r="35" spans="2:11" ht="18">
      <c r="B35" s="34"/>
      <c r="C35" s="358" t="s">
        <v>810</v>
      </c>
      <c r="D35" s="959"/>
      <c r="E35" s="34"/>
      <c r="F35" s="34"/>
      <c r="G35" s="34"/>
      <c r="H35" s="34"/>
      <c r="I35" s="34"/>
      <c r="J35" s="34"/>
      <c r="K35" s="669"/>
    </row>
    <row r="36" spans="2:11" ht="18">
      <c r="B36" s="47" t="s">
        <v>1988</v>
      </c>
      <c r="C36" s="363" t="s">
        <v>818</v>
      </c>
      <c r="D36" s="959" t="s">
        <v>1915</v>
      </c>
      <c r="E36" s="407"/>
      <c r="F36" s="407"/>
      <c r="G36" s="407"/>
      <c r="H36" s="407"/>
      <c r="I36" s="407"/>
      <c r="J36" s="671">
        <f>SUM(E36:I36)</f>
        <v>0</v>
      </c>
      <c r="K36" s="669"/>
    </row>
    <row r="37" spans="2:11" ht="18">
      <c r="B37" s="36"/>
      <c r="C37" s="39"/>
      <c r="D37" s="959"/>
      <c r="E37" s="34"/>
      <c r="F37" s="36"/>
      <c r="G37" s="36"/>
      <c r="H37" s="36"/>
      <c r="I37" s="36"/>
      <c r="J37" s="36"/>
      <c r="K37" s="669"/>
    </row>
    <row r="38" spans="2:11" ht="18">
      <c r="B38" s="58" t="s">
        <v>814</v>
      </c>
      <c r="C38" s="363" t="s">
        <v>813</v>
      </c>
      <c r="D38" s="959" t="s">
        <v>1919</v>
      </c>
      <c r="E38" s="407"/>
      <c r="F38" s="407"/>
      <c r="G38" s="407"/>
      <c r="H38" s="407"/>
      <c r="I38" s="407"/>
      <c r="J38" s="671">
        <f>SUM(E38:I38)</f>
        <v>0</v>
      </c>
      <c r="K38" s="669"/>
    </row>
    <row r="39" spans="2:11" ht="18">
      <c r="B39" s="377" t="s">
        <v>815</v>
      </c>
      <c r="C39" s="39"/>
      <c r="D39" s="959"/>
      <c r="E39" s="34"/>
      <c r="F39" s="36"/>
      <c r="G39" s="36"/>
      <c r="H39" s="36"/>
      <c r="I39" s="36"/>
      <c r="J39" s="36"/>
      <c r="K39" s="669"/>
    </row>
    <row r="40" spans="2:11" ht="18">
      <c r="B40" s="44" t="s">
        <v>816</v>
      </c>
      <c r="C40" s="363" t="s">
        <v>127</v>
      </c>
      <c r="D40" s="959" t="s">
        <v>517</v>
      </c>
      <c r="E40" s="407"/>
      <c r="F40" s="407"/>
      <c r="G40" s="407"/>
      <c r="H40" s="407"/>
      <c r="I40" s="407"/>
      <c r="J40" s="671">
        <f>SUM(E40:I40)</f>
        <v>0</v>
      </c>
      <c r="K40" s="669"/>
    </row>
    <row r="41" spans="2:11" ht="18">
      <c r="B41" s="36"/>
      <c r="C41" s="363" t="s">
        <v>128</v>
      </c>
      <c r="D41" s="960"/>
      <c r="E41" s="38"/>
      <c r="F41" s="36"/>
      <c r="G41" s="36"/>
      <c r="H41" s="36"/>
      <c r="I41" s="36"/>
      <c r="J41" s="36"/>
      <c r="K41" s="669"/>
    </row>
    <row r="42" spans="2:11" ht="18">
      <c r="B42" s="47" t="s">
        <v>1781</v>
      </c>
      <c r="C42" s="363" t="s">
        <v>129</v>
      </c>
      <c r="D42" s="959" t="s">
        <v>2171</v>
      </c>
      <c r="E42" s="407"/>
      <c r="F42" s="407"/>
      <c r="G42" s="407"/>
      <c r="H42" s="407"/>
      <c r="I42" s="407"/>
      <c r="J42" s="671">
        <f>SUM(E42:I42)</f>
        <v>0</v>
      </c>
      <c r="K42" s="669"/>
    </row>
    <row r="43" spans="2:11" ht="18">
      <c r="B43" s="36"/>
      <c r="C43" s="363"/>
      <c r="D43" s="959"/>
      <c r="E43" s="38"/>
      <c r="F43" s="36"/>
      <c r="G43" s="36"/>
      <c r="H43" s="38"/>
      <c r="I43" s="36"/>
      <c r="J43" s="36"/>
      <c r="K43" s="669"/>
    </row>
    <row r="44" spans="2:11" ht="18">
      <c r="B44" s="58" t="s">
        <v>817</v>
      </c>
      <c r="C44" s="363" t="s">
        <v>1382</v>
      </c>
      <c r="D44" s="959" t="s">
        <v>1954</v>
      </c>
      <c r="E44" s="407"/>
      <c r="F44" s="407"/>
      <c r="G44" s="407"/>
      <c r="H44" s="407"/>
      <c r="I44" s="407"/>
      <c r="J44" s="671">
        <f>SUM(E44:I44)</f>
        <v>0</v>
      </c>
      <c r="K44" s="669"/>
    </row>
    <row r="45" spans="2:11" ht="18">
      <c r="B45" s="34"/>
      <c r="C45" s="358"/>
      <c r="D45" s="959"/>
      <c r="E45" s="34"/>
      <c r="F45" s="34"/>
      <c r="G45" s="34"/>
      <c r="H45" s="34"/>
      <c r="I45" s="34"/>
      <c r="J45" s="34"/>
      <c r="K45" s="669"/>
    </row>
    <row r="46" spans="2:11" ht="18">
      <c r="B46" s="58" t="s">
        <v>2198</v>
      </c>
      <c r="C46" s="363" t="s">
        <v>130</v>
      </c>
      <c r="D46" s="959" t="s">
        <v>2173</v>
      </c>
      <c r="E46" s="407"/>
      <c r="F46" s="407"/>
      <c r="G46" s="407"/>
      <c r="H46" s="407"/>
      <c r="I46" s="407"/>
      <c r="J46" s="671">
        <f>SUM(E46:I46)</f>
        <v>0</v>
      </c>
      <c r="K46" s="669"/>
    </row>
    <row r="47" spans="2:11" ht="18">
      <c r="B47" s="47"/>
      <c r="C47" s="39" t="s">
        <v>131</v>
      </c>
      <c r="D47" s="36"/>
      <c r="E47" s="34"/>
      <c r="F47" s="36"/>
      <c r="G47" s="36"/>
      <c r="H47" s="36"/>
      <c r="I47" s="36"/>
      <c r="J47" s="36"/>
      <c r="K47" s="669"/>
    </row>
    <row r="48" spans="2:11" ht="18">
      <c r="B48" s="58" t="s">
        <v>2198</v>
      </c>
      <c r="C48" s="363" t="s">
        <v>130</v>
      </c>
      <c r="D48" s="349" t="s">
        <v>1956</v>
      </c>
      <c r="E48" s="407"/>
      <c r="F48" s="407"/>
      <c r="G48" s="407"/>
      <c r="H48" s="407"/>
      <c r="I48" s="407"/>
      <c r="J48" s="671">
        <f>SUM(E48:I48)</f>
        <v>0</v>
      </c>
      <c r="K48" s="669"/>
    </row>
    <row r="49" spans="2:11" ht="18">
      <c r="B49" s="34"/>
      <c r="C49" s="380" t="s">
        <v>407</v>
      </c>
      <c r="D49" s="349"/>
      <c r="E49" s="34"/>
      <c r="F49" s="34"/>
      <c r="G49" s="34"/>
      <c r="H49" s="34"/>
      <c r="I49" s="34"/>
      <c r="J49" s="34"/>
      <c r="K49" s="669"/>
    </row>
    <row r="50" spans="2:11" ht="18">
      <c r="B50" s="58" t="s">
        <v>1820</v>
      </c>
      <c r="C50" s="363" t="s">
        <v>799</v>
      </c>
      <c r="D50" s="349" t="s">
        <v>2178</v>
      </c>
      <c r="E50" s="407"/>
      <c r="F50" s="407"/>
      <c r="G50" s="407"/>
      <c r="H50" s="407"/>
      <c r="I50" s="407"/>
      <c r="J50" s="671">
        <f>SUM(E50:I50)</f>
        <v>0</v>
      </c>
      <c r="K50" s="669"/>
    </row>
    <row r="51" spans="2:11" ht="18">
      <c r="B51" s="39"/>
      <c r="C51" s="39"/>
      <c r="D51" s="36"/>
      <c r="E51" s="38"/>
      <c r="F51" s="36"/>
      <c r="G51" s="36"/>
      <c r="H51" s="36"/>
      <c r="I51" s="36"/>
      <c r="J51" s="36"/>
      <c r="K51" s="669"/>
    </row>
    <row r="52" spans="2:11" ht="18">
      <c r="B52" s="47"/>
      <c r="C52" s="363" t="s">
        <v>800</v>
      </c>
      <c r="D52" s="58"/>
      <c r="E52" s="407"/>
      <c r="F52" s="407"/>
      <c r="G52" s="407"/>
      <c r="H52" s="407"/>
      <c r="I52" s="407"/>
      <c r="J52" s="36"/>
      <c r="K52" s="669"/>
    </row>
    <row r="53" spans="2:11" ht="18.75" thickBot="1">
      <c r="B53" s="330"/>
      <c r="C53" s="331"/>
      <c r="D53" s="330"/>
      <c r="E53" s="332"/>
      <c r="F53" s="333"/>
      <c r="G53" s="333"/>
      <c r="H53" s="672"/>
      <c r="I53" s="333"/>
      <c r="J53" s="673"/>
      <c r="K53" s="674"/>
    </row>
    <row r="54" spans="2:11" ht="18">
      <c r="B54" s="47"/>
      <c r="C54" s="34" t="str">
        <f>"T3-"&amp;yeartext&amp;" GENERAL DATA SUMMARY"</f>
        <v>T3-2006 GENERAL DATA SUMMARY</v>
      </c>
      <c r="D54" s="34"/>
      <c r="E54" s="35" t="s">
        <v>438</v>
      </c>
      <c r="F54" s="36"/>
      <c r="G54" s="36"/>
      <c r="H54" s="37"/>
      <c r="I54" s="36"/>
      <c r="J54" s="37" t="str">
        <f>yeartext</f>
        <v>2006</v>
      </c>
      <c r="K54" s="669"/>
    </row>
    <row r="55" spans="2:11" ht="18">
      <c r="B55" s="47"/>
      <c r="C55" s="50"/>
      <c r="D55" s="47"/>
      <c r="E55" s="52"/>
      <c r="F55" s="49"/>
      <c r="G55" s="49"/>
      <c r="H55" s="675"/>
      <c r="I55" s="49"/>
      <c r="J55" s="676"/>
      <c r="K55" s="669"/>
    </row>
    <row r="56" spans="2:11" ht="18">
      <c r="B56" s="47"/>
      <c r="C56" s="42" t="s">
        <v>1210</v>
      </c>
      <c r="D56" s="42" t="s">
        <v>1829</v>
      </c>
      <c r="E56" s="42" t="s">
        <v>1211</v>
      </c>
      <c r="F56" s="365"/>
      <c r="G56" s="365"/>
      <c r="H56" s="365"/>
      <c r="I56" s="365"/>
      <c r="J56" s="365"/>
      <c r="K56" s="669"/>
    </row>
    <row r="57" spans="2:11" ht="18">
      <c r="B57" s="47"/>
      <c r="C57" s="328" t="s">
        <v>1209</v>
      </c>
      <c r="D57" s="329" t="s">
        <v>1987</v>
      </c>
      <c r="E57" s="370"/>
      <c r="F57" s="366"/>
      <c r="G57" s="366"/>
      <c r="H57" s="366"/>
      <c r="I57" s="366"/>
      <c r="J57" s="366"/>
      <c r="K57" s="669"/>
    </row>
    <row r="58" spans="2:11" ht="18">
      <c r="B58" s="47"/>
      <c r="C58" s="328" t="s">
        <v>1209</v>
      </c>
      <c r="D58" s="329" t="s">
        <v>1610</v>
      </c>
      <c r="E58" s="370">
        <f>J30</f>
        <v>0</v>
      </c>
      <c r="F58" s="366"/>
      <c r="G58" s="366"/>
      <c r="H58" s="366"/>
      <c r="I58" s="366"/>
      <c r="J58" s="366"/>
      <c r="K58" s="669"/>
    </row>
    <row r="59" spans="2:11" ht="18">
      <c r="B59" s="47"/>
      <c r="C59" s="328" t="s">
        <v>1209</v>
      </c>
      <c r="D59" s="329" t="s">
        <v>1988</v>
      </c>
      <c r="E59" s="370"/>
      <c r="F59" s="366"/>
      <c r="G59" s="366"/>
      <c r="H59" s="366"/>
      <c r="I59" s="366"/>
      <c r="J59" s="366"/>
      <c r="K59" s="669"/>
    </row>
    <row r="60" spans="2:11" ht="18">
      <c r="B60" s="47"/>
      <c r="C60" s="328" t="s">
        <v>1209</v>
      </c>
      <c r="D60" s="329" t="s">
        <v>1770</v>
      </c>
      <c r="E60" s="370"/>
      <c r="F60" s="366"/>
      <c r="G60" s="366"/>
      <c r="H60" s="366"/>
      <c r="I60" s="366"/>
      <c r="J60" s="366"/>
      <c r="K60" s="669"/>
    </row>
    <row r="61" spans="2:11" ht="18">
      <c r="B61" s="47"/>
      <c r="C61" s="328" t="s">
        <v>2197</v>
      </c>
      <c r="D61" s="329" t="s">
        <v>1214</v>
      </c>
      <c r="E61" s="370"/>
      <c r="F61" s="376"/>
      <c r="G61" s="376" t="s">
        <v>1567</v>
      </c>
      <c r="H61" s="376"/>
      <c r="I61" s="376"/>
      <c r="J61" s="366"/>
      <c r="K61" s="669"/>
    </row>
    <row r="62" spans="2:11" ht="18">
      <c r="B62" s="47"/>
      <c r="C62" s="328" t="s">
        <v>1606</v>
      </c>
      <c r="D62" s="329" t="s">
        <v>1778</v>
      </c>
      <c r="E62" s="370">
        <f>J44</f>
        <v>0</v>
      </c>
      <c r="F62" s="376"/>
      <c r="G62" s="376" t="s">
        <v>1568</v>
      </c>
      <c r="H62" s="376"/>
      <c r="I62" s="376"/>
      <c r="J62" s="366"/>
      <c r="K62" s="669"/>
    </row>
    <row r="63" spans="2:11" ht="18">
      <c r="B63" s="47"/>
      <c r="C63" s="328" t="s">
        <v>1606</v>
      </c>
      <c r="D63" s="329" t="s">
        <v>1779</v>
      </c>
      <c r="E63" s="370"/>
      <c r="F63" s="376"/>
      <c r="G63" s="376"/>
      <c r="H63" s="376"/>
      <c r="I63" s="376"/>
      <c r="J63" s="366"/>
      <c r="K63" s="669"/>
    </row>
    <row r="64" spans="2:11" ht="18">
      <c r="B64" s="47"/>
      <c r="C64" s="328" t="s">
        <v>1606</v>
      </c>
      <c r="D64" s="329" t="s">
        <v>1780</v>
      </c>
      <c r="E64" s="370"/>
      <c r="F64" s="376"/>
      <c r="G64" s="366" t="s">
        <v>1569</v>
      </c>
      <c r="H64" s="376"/>
      <c r="I64" s="376"/>
      <c r="J64" s="366"/>
      <c r="K64" s="669"/>
    </row>
    <row r="65" spans="2:11" ht="18">
      <c r="B65" s="47"/>
      <c r="C65" s="328" t="s">
        <v>389</v>
      </c>
      <c r="D65" s="329" t="s">
        <v>1781</v>
      </c>
      <c r="E65" s="370">
        <f>J42</f>
        <v>0</v>
      </c>
      <c r="F65" s="366"/>
      <c r="G65" s="366" t="s">
        <v>1570</v>
      </c>
      <c r="H65" s="366"/>
      <c r="I65" s="366"/>
      <c r="J65" s="366"/>
      <c r="K65" s="669"/>
    </row>
    <row r="66" spans="2:11" ht="18">
      <c r="B66" s="47"/>
      <c r="C66" s="328" t="s">
        <v>1777</v>
      </c>
      <c r="D66" s="329" t="s">
        <v>1782</v>
      </c>
      <c r="E66" s="370"/>
      <c r="F66" s="366"/>
      <c r="G66" s="366"/>
      <c r="H66" s="366"/>
      <c r="I66" s="366"/>
      <c r="J66" s="366"/>
      <c r="K66" s="669"/>
    </row>
    <row r="67" spans="2:11" ht="18">
      <c r="B67" s="47"/>
      <c r="C67" s="328" t="s">
        <v>1777</v>
      </c>
      <c r="D67" s="329" t="s">
        <v>1813</v>
      </c>
      <c r="E67" s="370"/>
      <c r="F67" s="366"/>
      <c r="G67" s="366" t="s">
        <v>453</v>
      </c>
      <c r="H67" s="366"/>
      <c r="I67" s="366"/>
      <c r="J67" s="366"/>
      <c r="K67" s="669"/>
    </row>
    <row r="68" spans="2:11" ht="18">
      <c r="B68" s="47"/>
      <c r="C68" s="328" t="s">
        <v>1777</v>
      </c>
      <c r="D68" s="329" t="s">
        <v>1772</v>
      </c>
      <c r="E68" s="370"/>
      <c r="F68" s="366"/>
      <c r="G68" s="366" t="s">
        <v>1566</v>
      </c>
      <c r="H68" s="366"/>
      <c r="I68" s="366"/>
      <c r="J68" s="366"/>
      <c r="K68" s="669"/>
    </row>
    <row r="69" spans="2:11" ht="18">
      <c r="B69" s="47"/>
      <c r="C69" s="328" t="s">
        <v>1777</v>
      </c>
      <c r="D69" s="329" t="s">
        <v>1814</v>
      </c>
      <c r="E69" s="370">
        <f>J40</f>
        <v>0</v>
      </c>
      <c r="F69" s="366"/>
      <c r="G69" s="366"/>
      <c r="H69" s="366"/>
      <c r="I69" s="366"/>
      <c r="J69" s="366"/>
      <c r="K69" s="669"/>
    </row>
    <row r="70" spans="2:11" ht="18">
      <c r="B70" s="47"/>
      <c r="C70" s="328" t="s">
        <v>1777</v>
      </c>
      <c r="D70" s="329" t="s">
        <v>1773</v>
      </c>
      <c r="E70" s="370"/>
      <c r="F70" s="366" t="s">
        <v>819</v>
      </c>
      <c r="G70" s="366"/>
      <c r="H70" s="366"/>
      <c r="I70" s="366"/>
      <c r="J70" s="366"/>
      <c r="K70" s="669"/>
    </row>
    <row r="71" spans="2:11" ht="18">
      <c r="B71" s="47"/>
      <c r="C71" s="328" t="s">
        <v>1815</v>
      </c>
      <c r="D71" s="329" t="s">
        <v>2196</v>
      </c>
      <c r="E71" s="370"/>
      <c r="F71" s="366"/>
      <c r="G71" s="366"/>
      <c r="H71" s="366"/>
      <c r="I71" s="366"/>
      <c r="J71" s="366"/>
      <c r="K71" s="669"/>
    </row>
    <row r="72" spans="2:11" ht="18">
      <c r="B72" s="47"/>
      <c r="C72" s="328" t="s">
        <v>390</v>
      </c>
      <c r="D72" s="329" t="s">
        <v>1817</v>
      </c>
      <c r="E72" s="370"/>
      <c r="F72" s="366"/>
      <c r="G72" s="366"/>
      <c r="H72" s="366"/>
      <c r="I72" s="366"/>
      <c r="J72" s="366"/>
      <c r="K72" s="669"/>
    </row>
    <row r="73" spans="2:11" ht="18">
      <c r="B73" s="47"/>
      <c r="C73" s="328" t="s">
        <v>390</v>
      </c>
      <c r="D73" s="329" t="s">
        <v>1818</v>
      </c>
      <c r="E73" s="370"/>
      <c r="F73" s="366"/>
      <c r="G73" s="366"/>
      <c r="H73" s="366"/>
      <c r="I73" s="366"/>
      <c r="J73" s="366"/>
      <c r="K73" s="669"/>
    </row>
    <row r="74" spans="2:11" ht="18">
      <c r="B74" s="47"/>
      <c r="C74" s="328" t="s">
        <v>390</v>
      </c>
      <c r="D74" s="329" t="s">
        <v>1819</v>
      </c>
      <c r="E74" s="370"/>
      <c r="F74" s="366"/>
      <c r="G74" s="366"/>
      <c r="H74" s="366"/>
      <c r="I74" s="366"/>
      <c r="J74" s="366"/>
      <c r="K74" s="669"/>
    </row>
    <row r="75" spans="2:11" ht="18">
      <c r="B75" s="47"/>
      <c r="C75" s="328" t="s">
        <v>1820</v>
      </c>
      <c r="D75" s="329"/>
      <c r="E75" s="370"/>
      <c r="F75" s="366"/>
      <c r="G75" s="366"/>
      <c r="H75" s="366"/>
      <c r="I75" s="366"/>
      <c r="J75" s="366"/>
      <c r="K75" s="669"/>
    </row>
    <row r="76" spans="2:11" ht="18">
      <c r="B76" s="47"/>
      <c r="C76" s="328" t="s">
        <v>2198</v>
      </c>
      <c r="D76" s="329"/>
      <c r="E76" s="370"/>
      <c r="F76" s="366"/>
      <c r="G76" s="366"/>
      <c r="H76" s="366"/>
      <c r="I76" s="366"/>
      <c r="J76" s="366"/>
      <c r="K76" s="669"/>
    </row>
    <row r="77" spans="2:11" ht="18">
      <c r="B77" s="47"/>
      <c r="C77" s="328" t="s">
        <v>989</v>
      </c>
      <c r="D77" s="329"/>
      <c r="E77" s="370"/>
      <c r="F77" s="366"/>
      <c r="G77" s="366"/>
      <c r="H77" s="366"/>
      <c r="I77" s="366"/>
      <c r="J77" s="366"/>
      <c r="K77" s="669"/>
    </row>
    <row r="78" spans="2:11" ht="18">
      <c r="B78" s="47"/>
      <c r="C78" s="347"/>
      <c r="D78" s="348"/>
      <c r="E78" s="362"/>
      <c r="F78" s="366"/>
      <c r="G78" s="366"/>
      <c r="H78" s="366"/>
      <c r="I78" s="366"/>
      <c r="J78" s="366"/>
      <c r="K78" s="669"/>
    </row>
    <row r="79" spans="2:11" ht="18">
      <c r="B79" s="47"/>
      <c r="C79" s="349"/>
      <c r="D79" s="47"/>
      <c r="E79" s="366"/>
      <c r="F79" s="366"/>
      <c r="G79" s="366"/>
      <c r="H79" s="366"/>
      <c r="I79" s="366"/>
      <c r="J79" s="366"/>
      <c r="K79" s="669"/>
    </row>
    <row r="80" spans="2:4" ht="15">
      <c r="B80" s="677"/>
      <c r="D80" s="56"/>
    </row>
    <row r="81" spans="2:4" ht="15">
      <c r="B81" s="677"/>
      <c r="D81" s="56"/>
    </row>
    <row r="82" spans="2:4" ht="15">
      <c r="B82" s="677"/>
      <c r="D82" s="56"/>
    </row>
    <row r="83" spans="2:4" ht="15">
      <c r="B83" s="677"/>
      <c r="D83" s="56"/>
    </row>
    <row r="84" spans="2:4" ht="15">
      <c r="B84" s="677"/>
      <c r="D84" s="56"/>
    </row>
    <row r="85" spans="2:4" ht="15">
      <c r="B85" s="677"/>
      <c r="D85" s="56"/>
    </row>
    <row r="86" spans="2:4" ht="15">
      <c r="B86" s="677"/>
      <c r="D86" s="56"/>
    </row>
    <row r="87" spans="2:4" ht="15">
      <c r="B87" s="677"/>
      <c r="D87" s="56"/>
    </row>
    <row r="88" spans="2:4" ht="15">
      <c r="B88" s="677"/>
      <c r="D88" s="56"/>
    </row>
    <row r="89" spans="2:4" ht="15">
      <c r="B89" s="677"/>
      <c r="D89" s="56"/>
    </row>
    <row r="90" spans="2:4" ht="15">
      <c r="B90" s="677"/>
      <c r="D90" s="56"/>
    </row>
    <row r="91" spans="2:4" ht="15">
      <c r="B91" s="677"/>
      <c r="D91" s="56"/>
    </row>
  </sheetData>
  <sheetProtection password="EC35" sheet="1" objects="1" scenarios="1"/>
  <printOptions horizontalCentered="1"/>
  <pageMargins left="0" right="0" top="0" bottom="0" header="0.5" footer="0.5"/>
  <pageSetup fitToHeight="0" fitToWidth="1" horizontalDpi="600" verticalDpi="600" orientation="portrait" scale="50" r:id="rId1"/>
</worksheet>
</file>

<file path=xl/worksheets/sheet36.xml><?xml version="1.0" encoding="utf-8"?>
<worksheet xmlns="http://schemas.openxmlformats.org/spreadsheetml/2006/main" xmlns:r="http://schemas.openxmlformats.org/officeDocument/2006/relationships">
  <sheetPr codeName="Sheet2111111111">
    <pageSetUpPr fitToPage="1"/>
  </sheetPr>
  <dimension ref="A1:IV70"/>
  <sheetViews>
    <sheetView zoomScale="50" zoomScaleNormal="50" workbookViewId="0" topLeftCell="A1">
      <selection activeCell="B12" sqref="B12"/>
    </sheetView>
  </sheetViews>
  <sheetFormatPr defaultColWidth="8.88671875" defaultRowHeight="15"/>
  <cols>
    <col min="1" max="1" width="1.77734375" style="670" customWidth="1"/>
    <col min="2" max="2" width="8.3359375" style="670" customWidth="1"/>
    <col min="3" max="3" width="34.77734375" style="670" customWidth="1"/>
    <col min="4" max="4" width="7.99609375" style="670" customWidth="1"/>
    <col min="5" max="10" width="12.21484375" style="670" customWidth="1"/>
    <col min="11" max="11" width="1.88671875" style="670" customWidth="1"/>
    <col min="12" max="16384" width="8.88671875" style="670" customWidth="1"/>
  </cols>
  <sheetData>
    <row r="1" spans="2:11" ht="18">
      <c r="B1" s="36"/>
      <c r="C1" s="34" t="str">
        <f>"T5-"&amp;yeartext&amp;" SLIPS DATA ENTRY FOR"</f>
        <v>T5-2006 SLIPS DATA ENTRY FOR</v>
      </c>
      <c r="D1" s="34"/>
      <c r="E1" s="358" t="s">
        <v>593</v>
      </c>
      <c r="F1" s="36"/>
      <c r="G1" s="36"/>
      <c r="H1" s="37"/>
      <c r="I1" s="36"/>
      <c r="J1" s="37" t="str">
        <f>yeartext</f>
        <v>2006</v>
      </c>
      <c r="K1" s="669"/>
    </row>
    <row r="2" spans="2:11" ht="15.75">
      <c r="B2" s="36"/>
      <c r="C2" s="36"/>
      <c r="D2" s="38"/>
      <c r="E2" s="669"/>
      <c r="F2" s="36"/>
      <c r="G2" s="36"/>
      <c r="H2" s="36"/>
      <c r="I2" s="36"/>
      <c r="J2" s="36"/>
      <c r="K2" s="669"/>
    </row>
    <row r="3" spans="2:11" ht="18">
      <c r="B3" s="39"/>
      <c r="C3" s="39" t="s">
        <v>87</v>
      </c>
      <c r="D3" s="36"/>
      <c r="E3" s="38"/>
      <c r="F3" s="36"/>
      <c r="G3" s="36"/>
      <c r="H3" s="36"/>
      <c r="I3" s="36"/>
      <c r="J3" s="36"/>
      <c r="K3" s="669"/>
    </row>
    <row r="4" spans="2:11" ht="18">
      <c r="B4" s="39"/>
      <c r="C4" s="39" t="s">
        <v>88</v>
      </c>
      <c r="D4" s="36"/>
      <c r="E4" s="38"/>
      <c r="F4" s="36"/>
      <c r="G4" s="36"/>
      <c r="H4" s="36"/>
      <c r="I4" s="36"/>
      <c r="J4" s="36"/>
      <c r="K4" s="669"/>
    </row>
    <row r="5" spans="2:11" ht="18">
      <c r="B5" s="39"/>
      <c r="C5" s="39" t="s">
        <v>882</v>
      </c>
      <c r="D5" s="36"/>
      <c r="E5" s="38"/>
      <c r="F5" s="36"/>
      <c r="G5" s="36"/>
      <c r="H5" s="36"/>
      <c r="I5" s="36"/>
      <c r="J5" s="36"/>
      <c r="K5" s="669"/>
    </row>
    <row r="6" spans="2:11" ht="18">
      <c r="B6" s="39"/>
      <c r="C6" s="39" t="s">
        <v>833</v>
      </c>
      <c r="D6" s="36"/>
      <c r="E6" s="38"/>
      <c r="F6" s="36"/>
      <c r="G6" s="36"/>
      <c r="H6" s="36"/>
      <c r="I6" s="36"/>
      <c r="J6" s="36"/>
      <c r="K6" s="669"/>
    </row>
    <row r="7" spans="2:11" ht="18">
      <c r="B7" s="39"/>
      <c r="C7" s="39" t="s">
        <v>473</v>
      </c>
      <c r="D7" s="36"/>
      <c r="E7" s="38"/>
      <c r="F7" s="36"/>
      <c r="G7" s="36"/>
      <c r="H7" s="36"/>
      <c r="I7" s="36"/>
      <c r="J7" s="36"/>
      <c r="K7" s="669"/>
    </row>
    <row r="8" spans="2:11" ht="18">
      <c r="B8" s="39"/>
      <c r="C8" s="39" t="s">
        <v>1763</v>
      </c>
      <c r="D8" s="36"/>
      <c r="E8" s="38"/>
      <c r="F8" s="36"/>
      <c r="G8" s="36"/>
      <c r="H8" s="36"/>
      <c r="I8" s="36"/>
      <c r="J8" s="36"/>
      <c r="K8" s="669"/>
    </row>
    <row r="9" spans="2:11" ht="18">
      <c r="B9" s="39"/>
      <c r="C9" s="39" t="s">
        <v>913</v>
      </c>
      <c r="D9" s="36"/>
      <c r="E9" s="38"/>
      <c r="F9" s="36"/>
      <c r="G9" s="36"/>
      <c r="H9" s="36"/>
      <c r="I9" s="36"/>
      <c r="J9" s="36"/>
      <c r="K9" s="669"/>
    </row>
    <row r="10" spans="2:11" ht="18">
      <c r="B10" s="39"/>
      <c r="C10" s="39" t="s">
        <v>914</v>
      </c>
      <c r="D10" s="36"/>
      <c r="E10" s="38"/>
      <c r="F10" s="36"/>
      <c r="G10" s="36"/>
      <c r="H10" s="36"/>
      <c r="I10" s="36"/>
      <c r="J10" s="36"/>
      <c r="K10" s="669"/>
    </row>
    <row r="11" spans="2:11" ht="18">
      <c r="B11" s="39"/>
      <c r="C11" s="39" t="s">
        <v>1826</v>
      </c>
      <c r="D11" s="36"/>
      <c r="E11" s="38"/>
      <c r="F11" s="36"/>
      <c r="G11" s="36"/>
      <c r="H11" s="36"/>
      <c r="I11" s="36"/>
      <c r="J11" s="36"/>
      <c r="K11" s="669"/>
    </row>
    <row r="12" spans="2:11" ht="18">
      <c r="B12" s="39"/>
      <c r="C12" s="39" t="s">
        <v>1530</v>
      </c>
      <c r="D12" s="36"/>
      <c r="E12" s="38"/>
      <c r="F12" s="36"/>
      <c r="G12" s="36"/>
      <c r="H12" s="36"/>
      <c r="I12" s="36"/>
      <c r="J12" s="36"/>
      <c r="K12" s="669"/>
    </row>
    <row r="13" spans="2:11" ht="18">
      <c r="B13" s="39"/>
      <c r="C13" s="39"/>
      <c r="D13" s="36"/>
      <c r="E13" s="38"/>
      <c r="F13" s="36"/>
      <c r="G13" s="36"/>
      <c r="H13" s="36"/>
      <c r="I13" s="36"/>
      <c r="J13" s="36"/>
      <c r="K13" s="669"/>
    </row>
    <row r="14" spans="2:11" ht="23.25">
      <c r="B14" s="409" t="s">
        <v>1333</v>
      </c>
      <c r="C14" s="39"/>
      <c r="D14" s="36"/>
      <c r="E14" s="38"/>
      <c r="F14" s="36"/>
      <c r="G14" s="36"/>
      <c r="H14" s="36"/>
      <c r="I14" s="36"/>
      <c r="J14" s="36"/>
      <c r="K14" s="669"/>
    </row>
    <row r="15" spans="2:11" ht="36">
      <c r="B15" s="42" t="s">
        <v>21</v>
      </c>
      <c r="C15" s="42" t="s">
        <v>1742</v>
      </c>
      <c r="D15" s="42" t="s">
        <v>1829</v>
      </c>
      <c r="E15" s="42" t="s">
        <v>1764</v>
      </c>
      <c r="F15" s="42" t="s">
        <v>2161</v>
      </c>
      <c r="G15" s="42" t="s">
        <v>2162</v>
      </c>
      <c r="H15" s="42" t="s">
        <v>2163</v>
      </c>
      <c r="I15" s="42" t="s">
        <v>1311</v>
      </c>
      <c r="J15" s="43" t="s">
        <v>503</v>
      </c>
      <c r="K15" s="669"/>
    </row>
    <row r="16" spans="2:11" ht="18">
      <c r="B16" s="39"/>
      <c r="C16" s="39"/>
      <c r="D16" s="36"/>
      <c r="E16" s="38"/>
      <c r="F16" s="36"/>
      <c r="G16" s="36"/>
      <c r="H16" s="36"/>
      <c r="I16" s="36"/>
      <c r="J16" s="36"/>
      <c r="K16" s="669"/>
    </row>
    <row r="17" spans="2:11" ht="18">
      <c r="B17" s="47" t="s">
        <v>504</v>
      </c>
      <c r="C17" s="363" t="s">
        <v>1380</v>
      </c>
      <c r="D17" s="47"/>
      <c r="E17" s="407"/>
      <c r="F17" s="407"/>
      <c r="G17" s="407"/>
      <c r="H17" s="407"/>
      <c r="I17" s="407"/>
      <c r="J17" s="671">
        <f>SUM(E17:I17)</f>
        <v>0</v>
      </c>
      <c r="K17" s="669"/>
    </row>
    <row r="18" spans="2:11" ht="18">
      <c r="B18" s="47"/>
      <c r="C18" s="39"/>
      <c r="D18" s="36"/>
      <c r="E18" s="38"/>
      <c r="F18" s="36"/>
      <c r="G18" s="36"/>
      <c r="H18" s="38"/>
      <c r="I18" s="36"/>
      <c r="J18" s="36"/>
      <c r="K18" s="669"/>
    </row>
    <row r="19" spans="2:11" ht="18">
      <c r="B19" s="47" t="s">
        <v>980</v>
      </c>
      <c r="C19" s="363" t="s">
        <v>1381</v>
      </c>
      <c r="D19" s="47" t="s">
        <v>1610</v>
      </c>
      <c r="E19" s="407"/>
      <c r="F19" s="407"/>
      <c r="G19" s="407"/>
      <c r="H19" s="407"/>
      <c r="I19" s="407"/>
      <c r="J19" s="671">
        <f>SUM(E19:I19)</f>
        <v>0</v>
      </c>
      <c r="K19" s="669"/>
    </row>
    <row r="20" spans="1:256" s="697" customFormat="1" ht="18">
      <c r="A20" s="408"/>
      <c r="B20" s="47"/>
      <c r="C20" s="358"/>
      <c r="D20" s="34"/>
      <c r="E20" s="38"/>
      <c r="F20" s="36"/>
      <c r="G20" s="36"/>
      <c r="H20" s="38"/>
      <c r="I20" s="36"/>
      <c r="J20" s="36"/>
      <c r="K20" s="669"/>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08"/>
      <c r="DG20" s="408"/>
      <c r="DH20" s="408"/>
      <c r="DI20" s="408"/>
      <c r="DJ20" s="408"/>
      <c r="DK20" s="408"/>
      <c r="DL20" s="408"/>
      <c r="DM20" s="408"/>
      <c r="DN20" s="408"/>
      <c r="DO20" s="408"/>
      <c r="DP20" s="408"/>
      <c r="DQ20" s="408"/>
      <c r="DR20" s="408"/>
      <c r="DS20" s="408"/>
      <c r="DT20" s="408"/>
      <c r="DU20" s="408"/>
      <c r="DV20" s="408"/>
      <c r="DW20" s="408"/>
      <c r="DX20" s="408"/>
      <c r="DY20" s="408"/>
      <c r="DZ20" s="408"/>
      <c r="EA20" s="408"/>
      <c r="EB20" s="408"/>
      <c r="EC20" s="408"/>
      <c r="ED20" s="408"/>
      <c r="EE20" s="408"/>
      <c r="EF20" s="408"/>
      <c r="EG20" s="408"/>
      <c r="EH20" s="408"/>
      <c r="EI20" s="408"/>
      <c r="EJ20" s="408"/>
      <c r="EK20" s="408"/>
      <c r="EL20" s="408"/>
      <c r="EM20" s="408"/>
      <c r="EN20" s="408"/>
      <c r="EO20" s="408"/>
      <c r="EP20" s="408"/>
      <c r="EQ20" s="408"/>
      <c r="ER20" s="408"/>
      <c r="ES20" s="408"/>
      <c r="ET20" s="408"/>
      <c r="EU20" s="408"/>
      <c r="EV20" s="408"/>
      <c r="EW20" s="408"/>
      <c r="EX20" s="408"/>
      <c r="EY20" s="408"/>
      <c r="EZ20" s="408"/>
      <c r="FA20" s="408"/>
      <c r="FB20" s="408"/>
      <c r="FC20" s="408"/>
      <c r="FD20" s="408"/>
      <c r="FE20" s="408"/>
      <c r="FF20" s="408"/>
      <c r="FG20" s="408"/>
      <c r="FH20" s="408"/>
      <c r="FI20" s="408"/>
      <c r="FJ20" s="408"/>
      <c r="FK20" s="408"/>
      <c r="FL20" s="408"/>
      <c r="FM20" s="408"/>
      <c r="FN20" s="408"/>
      <c r="FO20" s="408"/>
      <c r="FP20" s="408"/>
      <c r="FQ20" s="408"/>
      <c r="FR20" s="408"/>
      <c r="FS20" s="408"/>
      <c r="FT20" s="408"/>
      <c r="FU20" s="408"/>
      <c r="FV20" s="408"/>
      <c r="FW20" s="408"/>
      <c r="FX20" s="408"/>
      <c r="FY20" s="408"/>
      <c r="FZ20" s="408"/>
      <c r="GA20" s="408"/>
      <c r="GB20" s="408"/>
      <c r="GC20" s="408"/>
      <c r="GD20" s="408"/>
      <c r="GE20" s="408"/>
      <c r="GF20" s="408"/>
      <c r="GG20" s="408"/>
      <c r="GH20" s="408"/>
      <c r="GI20" s="408"/>
      <c r="GJ20" s="408"/>
      <c r="GK20" s="408"/>
      <c r="GL20" s="408"/>
      <c r="GM20" s="408"/>
      <c r="GN20" s="408"/>
      <c r="GO20" s="408"/>
      <c r="GP20" s="408"/>
      <c r="GQ20" s="408"/>
      <c r="GR20" s="408"/>
      <c r="GS20" s="408"/>
      <c r="GT20" s="408"/>
      <c r="GU20" s="408"/>
      <c r="GV20" s="408"/>
      <c r="GW20" s="408"/>
      <c r="GX20" s="408"/>
      <c r="GY20" s="408"/>
      <c r="GZ20" s="408"/>
      <c r="HA20" s="408"/>
      <c r="HB20" s="408"/>
      <c r="HC20" s="408"/>
      <c r="HD20" s="408"/>
      <c r="HE20" s="408"/>
      <c r="HF20" s="408"/>
      <c r="HG20" s="408"/>
      <c r="HH20" s="408"/>
      <c r="HI20" s="408"/>
      <c r="HJ20" s="408"/>
      <c r="HK20" s="408"/>
      <c r="HL20" s="408"/>
      <c r="HM20" s="408"/>
      <c r="HN20" s="408"/>
      <c r="HO20" s="408"/>
      <c r="HP20" s="408"/>
      <c r="HQ20" s="408"/>
      <c r="HR20" s="408"/>
      <c r="HS20" s="408"/>
      <c r="HT20" s="408"/>
      <c r="HU20" s="408"/>
      <c r="HV20" s="408"/>
      <c r="HW20" s="408"/>
      <c r="HX20" s="408"/>
      <c r="HY20" s="408"/>
      <c r="HZ20" s="408"/>
      <c r="IA20" s="408"/>
      <c r="IB20" s="408"/>
      <c r="IC20" s="408"/>
      <c r="ID20" s="408"/>
      <c r="IE20" s="408"/>
      <c r="IF20" s="408"/>
      <c r="IG20" s="408"/>
      <c r="IH20" s="408"/>
      <c r="II20" s="408"/>
      <c r="IJ20" s="408"/>
      <c r="IK20" s="408"/>
      <c r="IL20" s="408"/>
      <c r="IM20" s="408"/>
      <c r="IN20" s="408"/>
      <c r="IO20" s="408"/>
      <c r="IP20" s="408"/>
      <c r="IQ20" s="408"/>
      <c r="IR20" s="408"/>
      <c r="IS20" s="408"/>
      <c r="IT20" s="408"/>
      <c r="IU20" s="408"/>
      <c r="IV20" s="408"/>
    </row>
    <row r="21" spans="2:11" ht="18">
      <c r="B21" s="47" t="s">
        <v>982</v>
      </c>
      <c r="C21" s="363" t="s">
        <v>1382</v>
      </c>
      <c r="D21" s="47" t="s">
        <v>1778</v>
      </c>
      <c r="E21" s="407"/>
      <c r="F21" s="407"/>
      <c r="G21" s="407"/>
      <c r="H21" s="407"/>
      <c r="I21" s="407"/>
      <c r="J21" s="671">
        <f>SUM(E21:I21)</f>
        <v>0</v>
      </c>
      <c r="K21" s="669"/>
    </row>
    <row r="22" spans="2:11" ht="18">
      <c r="B22" s="47"/>
      <c r="C22" s="39"/>
      <c r="D22" s="36"/>
      <c r="E22" s="34"/>
      <c r="F22" s="36"/>
      <c r="G22" s="36"/>
      <c r="H22" s="36"/>
      <c r="I22" s="36"/>
      <c r="J22" s="36"/>
      <c r="K22" s="669"/>
    </row>
    <row r="23" spans="2:11" ht="18">
      <c r="B23" s="47" t="s">
        <v>984</v>
      </c>
      <c r="C23" s="363" t="s">
        <v>1492</v>
      </c>
      <c r="D23" s="58" t="s">
        <v>1611</v>
      </c>
      <c r="E23" s="407"/>
      <c r="F23" s="407"/>
      <c r="G23" s="407"/>
      <c r="H23" s="407"/>
      <c r="I23" s="407"/>
      <c r="J23" s="671">
        <f>SUM(E23:I23)</f>
        <v>0</v>
      </c>
      <c r="K23" s="669"/>
    </row>
    <row r="24" spans="2:11" ht="18">
      <c r="B24" s="47"/>
      <c r="C24" s="39"/>
      <c r="D24" s="377"/>
      <c r="E24" s="34"/>
      <c r="F24" s="36"/>
      <c r="G24" s="36"/>
      <c r="H24" s="36"/>
      <c r="I24" s="36"/>
      <c r="J24" s="36"/>
      <c r="K24" s="669"/>
    </row>
    <row r="25" spans="2:11" ht="18">
      <c r="B25" s="47" t="s">
        <v>506</v>
      </c>
      <c r="C25" s="363" t="s">
        <v>1323</v>
      </c>
      <c r="D25" s="47" t="s">
        <v>1611</v>
      </c>
      <c r="E25" s="407"/>
      <c r="F25" s="407"/>
      <c r="G25" s="407"/>
      <c r="H25" s="407"/>
      <c r="I25" s="407"/>
      <c r="J25" s="671">
        <f>SUM(E25:I25)</f>
        <v>0</v>
      </c>
      <c r="K25" s="669"/>
    </row>
    <row r="26" spans="2:11" ht="18">
      <c r="B26" s="39"/>
      <c r="C26" s="363" t="s">
        <v>1541</v>
      </c>
      <c r="D26" s="36"/>
      <c r="E26" s="38"/>
      <c r="F26" s="36"/>
      <c r="G26" s="36"/>
      <c r="H26" s="36"/>
      <c r="I26" s="36"/>
      <c r="J26" s="36"/>
      <c r="K26" s="669"/>
    </row>
    <row r="27" spans="2:11" ht="18">
      <c r="B27" s="47" t="s">
        <v>1223</v>
      </c>
      <c r="C27" s="363" t="s">
        <v>1493</v>
      </c>
      <c r="D27" s="47" t="s">
        <v>1611</v>
      </c>
      <c r="E27" s="407"/>
      <c r="F27" s="407"/>
      <c r="G27" s="407"/>
      <c r="H27" s="407"/>
      <c r="I27" s="407"/>
      <c r="J27" s="671">
        <f>SUM(E27:I27)</f>
        <v>0</v>
      </c>
      <c r="K27" s="669"/>
    </row>
    <row r="28" spans="2:11" ht="18">
      <c r="B28" s="47"/>
      <c r="C28" s="363"/>
      <c r="D28" s="36"/>
      <c r="E28" s="38"/>
      <c r="F28" s="36"/>
      <c r="G28" s="36"/>
      <c r="H28" s="38"/>
      <c r="I28" s="36"/>
      <c r="J28" s="36"/>
      <c r="K28" s="669"/>
    </row>
    <row r="29" spans="2:11" ht="18">
      <c r="B29" s="47" t="s">
        <v>508</v>
      </c>
      <c r="C29" s="363" t="s">
        <v>1494</v>
      </c>
      <c r="D29" s="58" t="s">
        <v>1542</v>
      </c>
      <c r="E29" s="407"/>
      <c r="F29" s="407"/>
      <c r="G29" s="407"/>
      <c r="H29" s="407"/>
      <c r="I29" s="407"/>
      <c r="J29" s="671">
        <f>SUM(E29:I29)</f>
        <v>0</v>
      </c>
      <c r="K29" s="669"/>
    </row>
    <row r="30" spans="2:11" ht="18">
      <c r="B30" s="47"/>
      <c r="C30" s="358"/>
      <c r="D30" s="34"/>
      <c r="E30" s="34"/>
      <c r="F30" s="34"/>
      <c r="G30" s="34"/>
      <c r="H30" s="34"/>
      <c r="I30" s="34"/>
      <c r="J30" s="34"/>
      <c r="K30" s="669"/>
    </row>
    <row r="31" spans="2:11" ht="18">
      <c r="B31" s="47" t="s">
        <v>510</v>
      </c>
      <c r="C31" s="363" t="s">
        <v>1516</v>
      </c>
      <c r="D31" s="58" t="s">
        <v>1212</v>
      </c>
      <c r="E31" s="407"/>
      <c r="F31" s="407"/>
      <c r="G31" s="407"/>
      <c r="H31" s="407"/>
      <c r="I31" s="407"/>
      <c r="J31" s="671">
        <f>SUM(E31:I31)</f>
        <v>0</v>
      </c>
      <c r="K31" s="669"/>
    </row>
    <row r="32" spans="2:11" ht="18">
      <c r="B32" s="47"/>
      <c r="C32" s="39" t="s">
        <v>216</v>
      </c>
      <c r="D32" s="36"/>
      <c r="E32" s="34"/>
      <c r="F32" s="36"/>
      <c r="G32" s="36"/>
      <c r="H32" s="36"/>
      <c r="I32" s="36"/>
      <c r="J32" s="36"/>
      <c r="K32" s="669"/>
    </row>
    <row r="33" spans="2:11" ht="18">
      <c r="B33" s="47"/>
      <c r="C33" s="39"/>
      <c r="D33" s="36"/>
      <c r="E33" s="34"/>
      <c r="F33" s="36"/>
      <c r="G33" s="36"/>
      <c r="H33" s="36"/>
      <c r="I33" s="36"/>
      <c r="J33" s="36"/>
      <c r="K33" s="669"/>
    </row>
    <row r="34" spans="2:11" ht="18">
      <c r="B34" s="47" t="s">
        <v>511</v>
      </c>
      <c r="C34" s="363" t="s">
        <v>1517</v>
      </c>
      <c r="D34" s="47" t="s">
        <v>1814</v>
      </c>
      <c r="E34" s="407"/>
      <c r="F34" s="407"/>
      <c r="G34" s="407"/>
      <c r="H34" s="407"/>
      <c r="I34" s="407"/>
      <c r="J34" s="671">
        <f>SUM(E34:I34)</f>
        <v>0</v>
      </c>
      <c r="K34" s="669"/>
    </row>
    <row r="35" spans="2:11" ht="18">
      <c r="B35" s="39"/>
      <c r="C35" s="39"/>
      <c r="D35" s="377" t="s">
        <v>1777</v>
      </c>
      <c r="E35" s="410"/>
      <c r="F35" s="34"/>
      <c r="G35" s="36"/>
      <c r="H35" s="36"/>
      <c r="I35" s="36"/>
      <c r="J35" s="36"/>
      <c r="K35" s="669"/>
    </row>
    <row r="36" spans="2:11" ht="18">
      <c r="B36" s="47">
        <v>19</v>
      </c>
      <c r="C36" s="363" t="s">
        <v>1518</v>
      </c>
      <c r="D36" s="47" t="s">
        <v>1543</v>
      </c>
      <c r="E36" s="407"/>
      <c r="F36" s="407"/>
      <c r="G36" s="407"/>
      <c r="H36" s="407"/>
      <c r="I36" s="407"/>
      <c r="J36" s="671">
        <f>SUM(E36:I36)</f>
        <v>0</v>
      </c>
      <c r="K36" s="669"/>
    </row>
    <row r="37" spans="2:11" ht="18">
      <c r="B37" s="47"/>
      <c r="C37" s="363"/>
      <c r="D37" s="36"/>
      <c r="E37" s="38"/>
      <c r="F37" s="36"/>
      <c r="G37" s="36"/>
      <c r="H37" s="38"/>
      <c r="I37" s="36"/>
      <c r="J37" s="36"/>
      <c r="K37" s="669"/>
    </row>
    <row r="38" spans="2:11" ht="18">
      <c r="B38" s="47">
        <v>20</v>
      </c>
      <c r="C38" s="363" t="s">
        <v>1519</v>
      </c>
      <c r="D38" s="58" t="s">
        <v>580</v>
      </c>
      <c r="E38" s="407"/>
      <c r="F38" s="407"/>
      <c r="G38" s="407"/>
      <c r="H38" s="407"/>
      <c r="I38" s="407"/>
      <c r="J38" s="671">
        <f>SUM(E38:I38)</f>
        <v>0</v>
      </c>
      <c r="K38" s="669"/>
    </row>
    <row r="39" spans="2:11" ht="18">
      <c r="B39" s="47"/>
      <c r="C39" s="358" t="s">
        <v>1520</v>
      </c>
      <c r="D39" s="34"/>
      <c r="E39" s="34"/>
      <c r="F39" s="34"/>
      <c r="G39" s="34"/>
      <c r="H39" s="34"/>
      <c r="I39" s="34"/>
      <c r="J39" s="34"/>
      <c r="K39" s="669"/>
    </row>
    <row r="40" spans="2:11" ht="18">
      <c r="B40" s="47">
        <v>40</v>
      </c>
      <c r="C40" s="363" t="s">
        <v>1521</v>
      </c>
      <c r="D40" s="47" t="s">
        <v>1814</v>
      </c>
      <c r="E40" s="407"/>
      <c r="F40" s="407"/>
      <c r="G40" s="407"/>
      <c r="H40" s="407"/>
      <c r="I40" s="407"/>
      <c r="J40" s="671">
        <f>SUM(E40:I40)</f>
        <v>0</v>
      </c>
      <c r="K40" s="669"/>
    </row>
    <row r="41" spans="2:11" ht="18">
      <c r="B41" s="47"/>
      <c r="C41" s="39"/>
      <c r="D41" s="377" t="s">
        <v>1777</v>
      </c>
      <c r="E41" s="34"/>
      <c r="F41" s="36"/>
      <c r="G41" s="36"/>
      <c r="H41" s="36"/>
      <c r="I41" s="36"/>
      <c r="J41" s="36"/>
      <c r="K41" s="669"/>
    </row>
    <row r="42" spans="2:11" ht="18">
      <c r="B42" s="47">
        <v>41</v>
      </c>
      <c r="C42" s="363" t="s">
        <v>1522</v>
      </c>
      <c r="D42" s="47" t="s">
        <v>1814</v>
      </c>
      <c r="E42" s="407"/>
      <c r="F42" s="407"/>
      <c r="G42" s="407"/>
      <c r="H42" s="407"/>
      <c r="I42" s="407"/>
      <c r="J42" s="671">
        <f>SUM(E42:I42)</f>
        <v>0</v>
      </c>
      <c r="K42" s="669"/>
    </row>
    <row r="43" spans="2:11" ht="18">
      <c r="B43" s="39"/>
      <c r="C43" s="39"/>
      <c r="D43" s="377" t="s">
        <v>1777</v>
      </c>
      <c r="E43" s="38"/>
      <c r="F43" s="36"/>
      <c r="G43" s="36"/>
      <c r="H43" s="36"/>
      <c r="I43" s="36"/>
      <c r="J43" s="36"/>
      <c r="K43" s="669"/>
    </row>
    <row r="44" spans="2:11" ht="18.75" thickBot="1">
      <c r="B44" s="330"/>
      <c r="C44" s="331"/>
      <c r="D44" s="330"/>
      <c r="E44" s="332"/>
      <c r="F44" s="333"/>
      <c r="G44" s="333"/>
      <c r="H44" s="672"/>
      <c r="I44" s="333"/>
      <c r="J44" s="673"/>
      <c r="K44" s="674"/>
    </row>
    <row r="45" spans="2:11" ht="18">
      <c r="B45" s="47"/>
      <c r="C45" s="34" t="str">
        <f>"T5-"&amp;yeartext&amp;" GENERAL DATA SUMMARY"</f>
        <v>T5-2006 GENERAL DATA SUMMARY</v>
      </c>
      <c r="D45" s="34"/>
      <c r="E45" s="358" t="s">
        <v>593</v>
      </c>
      <c r="F45" s="36"/>
      <c r="G45" s="36"/>
      <c r="H45" s="37"/>
      <c r="I45" s="36"/>
      <c r="J45" s="37" t="str">
        <f>yeartext</f>
        <v>2006</v>
      </c>
      <c r="K45" s="669"/>
    </row>
    <row r="46" spans="2:11" ht="18">
      <c r="B46" s="47"/>
      <c r="C46" s="50"/>
      <c r="D46" s="47"/>
      <c r="E46" s="52"/>
      <c r="F46" s="49"/>
      <c r="G46" s="49"/>
      <c r="H46" s="675"/>
      <c r="I46" s="49"/>
      <c r="J46" s="676"/>
      <c r="K46" s="669"/>
    </row>
    <row r="47" spans="2:11" ht="18">
      <c r="B47" s="47"/>
      <c r="C47" s="42" t="s">
        <v>1210</v>
      </c>
      <c r="D47" s="42" t="s">
        <v>1829</v>
      </c>
      <c r="E47" s="42" t="s">
        <v>1211</v>
      </c>
      <c r="F47" s="365"/>
      <c r="G47" s="365"/>
      <c r="H47" s="365"/>
      <c r="I47" s="365"/>
      <c r="J47" s="365"/>
      <c r="K47" s="669"/>
    </row>
    <row r="48" spans="2:11" ht="18">
      <c r="B48" s="47"/>
      <c r="C48" s="334" t="s">
        <v>1209</v>
      </c>
      <c r="D48" s="335" t="s">
        <v>1212</v>
      </c>
      <c r="E48" s="370">
        <f>J31</f>
        <v>0</v>
      </c>
      <c r="F48" s="366"/>
      <c r="G48" s="366"/>
      <c r="H48" s="366"/>
      <c r="I48" s="366"/>
      <c r="J48" s="366"/>
      <c r="K48" s="669"/>
    </row>
    <row r="49" spans="2:11" ht="18">
      <c r="B49" s="47"/>
      <c r="C49" s="328" t="s">
        <v>1209</v>
      </c>
      <c r="D49" s="329" t="s">
        <v>1987</v>
      </c>
      <c r="E49" s="370"/>
      <c r="F49" s="366" t="s">
        <v>1194</v>
      </c>
      <c r="G49" s="376" t="s">
        <v>1567</v>
      </c>
      <c r="H49" s="366"/>
      <c r="I49" s="366"/>
      <c r="J49" s="366"/>
      <c r="K49" s="669"/>
    </row>
    <row r="50" spans="2:11" ht="18">
      <c r="B50" s="47"/>
      <c r="C50" s="328" t="s">
        <v>1209</v>
      </c>
      <c r="D50" s="329" t="s">
        <v>1610</v>
      </c>
      <c r="E50" s="370">
        <f>J19</f>
        <v>0</v>
      </c>
      <c r="F50" s="366"/>
      <c r="G50" s="376" t="s">
        <v>1568</v>
      </c>
      <c r="H50" s="366"/>
      <c r="I50" s="366"/>
      <c r="J50" s="366"/>
      <c r="K50" s="669"/>
    </row>
    <row r="51" spans="2:11" ht="18">
      <c r="B51" s="47"/>
      <c r="C51" s="328" t="s">
        <v>1209</v>
      </c>
      <c r="D51" s="329" t="s">
        <v>1611</v>
      </c>
      <c r="E51" s="370">
        <f>J23+J25+J27</f>
        <v>0</v>
      </c>
      <c r="F51" s="366" t="s">
        <v>1193</v>
      </c>
      <c r="G51" s="376"/>
      <c r="H51" s="366"/>
      <c r="I51" s="366"/>
      <c r="J51" s="366"/>
      <c r="K51" s="669"/>
    </row>
    <row r="52" spans="2:11" ht="18">
      <c r="B52" s="47"/>
      <c r="C52" s="328" t="s">
        <v>1213</v>
      </c>
      <c r="D52" s="329" t="s">
        <v>580</v>
      </c>
      <c r="E52" s="370">
        <f>0.25*J38</f>
        <v>0</v>
      </c>
      <c r="F52" s="366"/>
      <c r="G52" s="366" t="s">
        <v>1569</v>
      </c>
      <c r="H52" s="366"/>
      <c r="I52" s="366"/>
      <c r="J52" s="366"/>
      <c r="K52" s="669"/>
    </row>
    <row r="53" spans="2:11" ht="18">
      <c r="B53" s="47"/>
      <c r="C53" s="328" t="s">
        <v>1606</v>
      </c>
      <c r="D53" s="329" t="s">
        <v>1778</v>
      </c>
      <c r="E53" s="370">
        <f>J21</f>
        <v>0</v>
      </c>
      <c r="F53" s="376"/>
      <c r="G53" s="366" t="s">
        <v>1570</v>
      </c>
      <c r="H53" s="376"/>
      <c r="I53" s="376"/>
      <c r="J53" s="366"/>
      <c r="K53" s="669"/>
    </row>
    <row r="54" spans="2:11" ht="18">
      <c r="B54" s="47"/>
      <c r="C54" s="328" t="s">
        <v>1606</v>
      </c>
      <c r="D54" s="329" t="s">
        <v>1779</v>
      </c>
      <c r="E54" s="370"/>
      <c r="F54" s="376" t="s">
        <v>1195</v>
      </c>
      <c r="G54" s="366"/>
      <c r="H54" s="376"/>
      <c r="I54" s="376"/>
      <c r="J54" s="366"/>
      <c r="K54" s="669"/>
    </row>
    <row r="55" spans="2:11" ht="18">
      <c r="B55" s="47"/>
      <c r="C55" s="328" t="s">
        <v>1606</v>
      </c>
      <c r="D55" s="329" t="s">
        <v>1780</v>
      </c>
      <c r="E55" s="370"/>
      <c r="F55" s="376" t="s">
        <v>1195</v>
      </c>
      <c r="G55" s="366" t="s">
        <v>453</v>
      </c>
      <c r="H55" s="376"/>
      <c r="I55" s="376"/>
      <c r="J55" s="366"/>
      <c r="K55" s="669"/>
    </row>
    <row r="56" spans="2:11" ht="18">
      <c r="B56" s="47"/>
      <c r="C56" s="328" t="s">
        <v>1777</v>
      </c>
      <c r="D56" s="329" t="s">
        <v>1814</v>
      </c>
      <c r="E56" s="370">
        <f>J34+J40+J42</f>
        <v>0</v>
      </c>
      <c r="F56" s="366"/>
      <c r="G56" s="366" t="s">
        <v>1566</v>
      </c>
      <c r="H56" s="366"/>
      <c r="I56" s="366"/>
      <c r="J56" s="366"/>
      <c r="K56" s="669"/>
    </row>
    <row r="57" spans="2:11" ht="18">
      <c r="B57" s="47"/>
      <c r="C57" s="328" t="s">
        <v>989</v>
      </c>
      <c r="D57" s="329"/>
      <c r="E57" s="370"/>
      <c r="F57" s="49" t="s">
        <v>1196</v>
      </c>
      <c r="G57" s="49"/>
      <c r="H57" s="675"/>
      <c r="I57" s="49"/>
      <c r="J57" s="676"/>
      <c r="K57" s="669"/>
    </row>
    <row r="58" spans="2:11" ht="18">
      <c r="B58" s="47"/>
      <c r="C58" s="50"/>
      <c r="D58" s="47"/>
      <c r="E58" s="52"/>
      <c r="F58" s="49"/>
      <c r="G58" s="49"/>
      <c r="H58" s="675"/>
      <c r="I58" s="49"/>
      <c r="J58" s="676"/>
      <c r="K58" s="669"/>
    </row>
    <row r="59" spans="2:4" ht="15">
      <c r="B59" s="677"/>
      <c r="D59" s="56"/>
    </row>
    <row r="60" spans="2:4" ht="15">
      <c r="B60" s="677"/>
      <c r="D60" s="56"/>
    </row>
    <row r="61" spans="2:4" ht="15">
      <c r="B61" s="677"/>
      <c r="D61" s="56"/>
    </row>
    <row r="62" spans="2:4" ht="15">
      <c r="B62" s="677"/>
      <c r="D62" s="56"/>
    </row>
    <row r="63" spans="2:4" ht="15">
      <c r="B63" s="677"/>
      <c r="D63" s="56"/>
    </row>
    <row r="64" spans="2:4" ht="15">
      <c r="B64" s="677"/>
      <c r="D64" s="56"/>
    </row>
    <row r="65" spans="2:4" ht="15">
      <c r="B65" s="677"/>
      <c r="D65" s="56"/>
    </row>
    <row r="66" spans="2:4" ht="15">
      <c r="B66" s="677"/>
      <c r="D66" s="56"/>
    </row>
    <row r="67" spans="2:4" ht="15">
      <c r="B67" s="677"/>
      <c r="D67" s="56"/>
    </row>
    <row r="68" spans="2:4" ht="15">
      <c r="B68" s="677"/>
      <c r="D68" s="56"/>
    </row>
    <row r="69" spans="2:4" ht="15">
      <c r="B69" s="677"/>
      <c r="D69" s="56"/>
    </row>
    <row r="70" spans="2:4" ht="15">
      <c r="B70" s="677"/>
      <c r="D70" s="56"/>
    </row>
  </sheetData>
  <sheetProtection password="EC35" sheet="1" objects="1" scenarios="1"/>
  <printOptions horizontalCentered="1"/>
  <pageMargins left="0" right="0" top="0" bottom="0" header="0.5" footer="0.5"/>
  <pageSetup fitToHeight="0" fitToWidth="1" horizontalDpi="600" verticalDpi="600" orientation="portrait" scale="54" r:id="rId1"/>
</worksheet>
</file>

<file path=xl/worksheets/sheet37.xml><?xml version="1.0" encoding="utf-8"?>
<worksheet xmlns="http://schemas.openxmlformats.org/spreadsheetml/2006/main" xmlns:r="http://schemas.openxmlformats.org/officeDocument/2006/relationships">
  <sheetPr codeName="Sheet211111121">
    <pageSetUpPr fitToPage="1"/>
  </sheetPr>
  <dimension ref="B1:L48"/>
  <sheetViews>
    <sheetView showGridLines="0" zoomScale="65" zoomScaleNormal="65" workbookViewId="0" topLeftCell="A1">
      <selection activeCell="B1" sqref="B1"/>
    </sheetView>
  </sheetViews>
  <sheetFormatPr defaultColWidth="8.88671875" defaultRowHeight="15"/>
  <cols>
    <col min="1" max="1" width="1.77734375" style="670" customWidth="1"/>
    <col min="2" max="2" width="8.3359375" style="670" customWidth="1"/>
    <col min="3" max="3" width="38.88671875" style="670" customWidth="1"/>
    <col min="4" max="4" width="7.99609375" style="670" customWidth="1"/>
    <col min="5" max="10" width="12.21484375" style="670" customWidth="1"/>
    <col min="11" max="11" width="1.88671875" style="670" customWidth="1"/>
    <col min="12" max="16384" width="8.88671875" style="670" customWidth="1"/>
  </cols>
  <sheetData>
    <row r="1" spans="2:12" ht="18">
      <c r="B1" s="36"/>
      <c r="C1" s="34" t="str">
        <f>"T5007-"&amp;yeartext&amp;" SLIPS DATA ENTRY FORM"</f>
        <v>T5007-2006 SLIPS DATA ENTRY FORM</v>
      </c>
      <c r="D1" s="34"/>
      <c r="E1" s="358" t="s">
        <v>1291</v>
      </c>
      <c r="F1" s="36"/>
      <c r="G1" s="36"/>
      <c r="H1" s="37"/>
      <c r="I1" s="36"/>
      <c r="J1" s="37" t="str">
        <f>yeartext</f>
        <v>2006</v>
      </c>
      <c r="K1" s="669"/>
      <c r="L1" s="1412" t="s">
        <v>1793</v>
      </c>
    </row>
    <row r="2" spans="2:12" ht="15.75">
      <c r="B2" s="36"/>
      <c r="C2" s="36"/>
      <c r="D2" s="38"/>
      <c r="E2" s="669"/>
      <c r="F2" s="36"/>
      <c r="G2" s="36"/>
      <c r="H2" s="36"/>
      <c r="I2" s="36"/>
      <c r="J2" s="36"/>
      <c r="K2" s="669"/>
      <c r="L2" s="1412"/>
    </row>
    <row r="3" spans="2:12" ht="18">
      <c r="B3" s="39"/>
      <c r="C3" s="39" t="s">
        <v>378</v>
      </c>
      <c r="D3" s="36"/>
      <c r="E3" s="38"/>
      <c r="F3" s="36"/>
      <c r="G3" s="36"/>
      <c r="H3" s="36"/>
      <c r="I3" s="36"/>
      <c r="J3" s="36"/>
      <c r="K3" s="669"/>
      <c r="L3" s="1412"/>
    </row>
    <row r="4" spans="2:12" ht="18">
      <c r="B4" s="39"/>
      <c r="C4" s="39" t="s">
        <v>379</v>
      </c>
      <c r="D4" s="36"/>
      <c r="E4" s="38"/>
      <c r="F4" s="36"/>
      <c r="G4" s="36"/>
      <c r="H4" s="36"/>
      <c r="I4" s="36"/>
      <c r="J4" s="36"/>
      <c r="K4" s="669"/>
      <c r="L4" s="1412"/>
    </row>
    <row r="5" spans="2:12" ht="18">
      <c r="B5" s="39"/>
      <c r="C5" s="39" t="s">
        <v>1627</v>
      </c>
      <c r="D5" s="36"/>
      <c r="E5" s="38"/>
      <c r="F5" s="36"/>
      <c r="G5" s="36"/>
      <c r="H5" s="36"/>
      <c r="I5" s="36"/>
      <c r="J5" s="36"/>
      <c r="K5" s="669"/>
      <c r="L5" s="1412"/>
    </row>
    <row r="6" spans="2:12" ht="18">
      <c r="B6" s="39"/>
      <c r="C6" s="39" t="s">
        <v>1628</v>
      </c>
      <c r="D6" s="36"/>
      <c r="E6" s="38"/>
      <c r="F6" s="36"/>
      <c r="G6" s="36"/>
      <c r="H6" s="36"/>
      <c r="I6" s="36"/>
      <c r="J6" s="36"/>
      <c r="K6" s="669"/>
      <c r="L6" s="1412"/>
    </row>
    <row r="7" spans="2:12" ht="18">
      <c r="B7" s="39"/>
      <c r="C7" s="39" t="s">
        <v>473</v>
      </c>
      <c r="D7" s="36"/>
      <c r="E7" s="38"/>
      <c r="F7" s="36"/>
      <c r="G7" s="36"/>
      <c r="H7" s="36"/>
      <c r="I7" s="36"/>
      <c r="J7" s="36"/>
      <c r="K7" s="669"/>
      <c r="L7" s="1412"/>
    </row>
    <row r="8" spans="2:12" ht="18">
      <c r="B8" s="39"/>
      <c r="C8" s="39" t="s">
        <v>1765</v>
      </c>
      <c r="D8" s="36"/>
      <c r="E8" s="38"/>
      <c r="F8" s="36"/>
      <c r="G8" s="36"/>
      <c r="H8" s="36"/>
      <c r="I8" s="36"/>
      <c r="J8" s="36"/>
      <c r="K8" s="669"/>
      <c r="L8" s="1412"/>
    </row>
    <row r="9" spans="2:12" ht="18">
      <c r="B9" s="39"/>
      <c r="C9" s="39" t="s">
        <v>1292</v>
      </c>
      <c r="D9" s="36"/>
      <c r="E9" s="38"/>
      <c r="F9" s="36"/>
      <c r="G9" s="36"/>
      <c r="H9" s="36"/>
      <c r="I9" s="36"/>
      <c r="J9" s="36"/>
      <c r="K9" s="669"/>
      <c r="L9" s="1412"/>
    </row>
    <row r="10" spans="2:12" ht="18">
      <c r="B10" s="39"/>
      <c r="C10" s="39" t="s">
        <v>2142</v>
      </c>
      <c r="D10" s="36"/>
      <c r="E10" s="38"/>
      <c r="F10" s="36"/>
      <c r="G10" s="36"/>
      <c r="H10" s="36"/>
      <c r="I10" s="36"/>
      <c r="J10" s="36"/>
      <c r="K10" s="669"/>
      <c r="L10" s="1412"/>
    </row>
    <row r="11" spans="2:12" ht="18">
      <c r="B11" s="39"/>
      <c r="C11" s="39" t="s">
        <v>1826</v>
      </c>
      <c r="D11" s="36"/>
      <c r="E11" s="38"/>
      <c r="F11" s="36"/>
      <c r="G11" s="36"/>
      <c r="H11" s="36"/>
      <c r="I11" s="36"/>
      <c r="J11" s="36"/>
      <c r="K11" s="669"/>
      <c r="L11" s="1412"/>
    </row>
    <row r="12" spans="2:12" ht="18">
      <c r="B12" s="39"/>
      <c r="C12" s="39" t="s">
        <v>1530</v>
      </c>
      <c r="D12" s="36"/>
      <c r="E12" s="38"/>
      <c r="F12" s="36"/>
      <c r="G12" s="36"/>
      <c r="H12" s="36"/>
      <c r="I12" s="36"/>
      <c r="J12" s="36"/>
      <c r="K12" s="669"/>
      <c r="L12" s="1412"/>
    </row>
    <row r="13" spans="2:12" ht="18">
      <c r="B13" s="39"/>
      <c r="C13" s="39"/>
      <c r="D13" s="36"/>
      <c r="E13" s="38"/>
      <c r="F13" s="36"/>
      <c r="G13" s="36"/>
      <c r="H13" s="36"/>
      <c r="I13" s="36"/>
      <c r="J13" s="36"/>
      <c r="K13" s="669"/>
      <c r="L13" s="1412"/>
    </row>
    <row r="14" spans="2:12" ht="18">
      <c r="B14" s="39"/>
      <c r="C14" s="39"/>
      <c r="D14" s="36"/>
      <c r="E14" s="38"/>
      <c r="F14" s="36"/>
      <c r="G14" s="36"/>
      <c r="H14" s="36"/>
      <c r="I14" s="36"/>
      <c r="J14" s="36"/>
      <c r="K14" s="669"/>
      <c r="L14" s="1412"/>
    </row>
    <row r="15" spans="2:12" ht="36">
      <c r="B15" s="42" t="s">
        <v>1829</v>
      </c>
      <c r="C15" s="42" t="s">
        <v>1742</v>
      </c>
      <c r="D15" s="42" t="s">
        <v>1737</v>
      </c>
      <c r="E15" s="42" t="s">
        <v>1766</v>
      </c>
      <c r="F15" s="42" t="s">
        <v>1767</v>
      </c>
      <c r="G15" s="42" t="s">
        <v>1768</v>
      </c>
      <c r="H15" s="42" t="s">
        <v>1289</v>
      </c>
      <c r="I15" s="42" t="s">
        <v>1290</v>
      </c>
      <c r="J15" s="43" t="s">
        <v>503</v>
      </c>
      <c r="K15" s="669"/>
      <c r="L15" s="1412"/>
    </row>
    <row r="16" spans="2:12" ht="18">
      <c r="B16" s="36"/>
      <c r="C16" s="39"/>
      <c r="D16" s="39"/>
      <c r="E16" s="38"/>
      <c r="F16" s="36"/>
      <c r="G16" s="36"/>
      <c r="H16" s="36"/>
      <c r="I16" s="36"/>
      <c r="J16" s="36"/>
      <c r="K16" s="669"/>
      <c r="L16" s="1412"/>
    </row>
    <row r="17" spans="2:12" ht="18">
      <c r="B17" s="47" t="s">
        <v>1562</v>
      </c>
      <c r="C17" s="363" t="s">
        <v>468</v>
      </c>
      <c r="D17" s="349" t="s">
        <v>504</v>
      </c>
      <c r="E17" s="364"/>
      <c r="F17" s="364"/>
      <c r="G17" s="364"/>
      <c r="H17" s="364"/>
      <c r="I17" s="364"/>
      <c r="J17" s="671">
        <f>SUM(E17:I17)</f>
        <v>0</v>
      </c>
      <c r="K17" s="669"/>
      <c r="L17" s="1412"/>
    </row>
    <row r="18" spans="2:12" ht="18">
      <c r="B18" s="36"/>
      <c r="C18" s="39"/>
      <c r="D18" s="349"/>
      <c r="E18" s="38"/>
      <c r="F18" s="36"/>
      <c r="G18" s="36"/>
      <c r="H18" s="38"/>
      <c r="I18" s="36"/>
      <c r="J18" s="36"/>
      <c r="K18" s="669"/>
      <c r="L18" s="1412"/>
    </row>
    <row r="19" spans="2:12" ht="18">
      <c r="B19" s="47" t="s">
        <v>1563</v>
      </c>
      <c r="C19" s="363" t="s">
        <v>1544</v>
      </c>
      <c r="D19" s="349" t="s">
        <v>980</v>
      </c>
      <c r="E19" s="364"/>
      <c r="F19" s="364"/>
      <c r="G19" s="364"/>
      <c r="H19" s="364"/>
      <c r="I19" s="364"/>
      <c r="J19" s="671">
        <f>SUM(E19:I19)</f>
        <v>0</v>
      </c>
      <c r="K19" s="669"/>
      <c r="L19" s="1412"/>
    </row>
    <row r="20" spans="2:12" ht="18">
      <c r="B20" s="36"/>
      <c r="C20" s="358" t="s">
        <v>251</v>
      </c>
      <c r="D20" s="349"/>
      <c r="E20" s="34"/>
      <c r="F20" s="34"/>
      <c r="G20" s="34"/>
      <c r="H20" s="34"/>
      <c r="I20" s="34"/>
      <c r="J20" s="34"/>
      <c r="K20" s="669"/>
      <c r="L20" s="1412"/>
    </row>
    <row r="21" spans="2:12" ht="18">
      <c r="B21" s="36"/>
      <c r="C21" s="358"/>
      <c r="D21" s="349"/>
      <c r="E21" s="34"/>
      <c r="F21" s="34"/>
      <c r="G21" s="34"/>
      <c r="H21" s="34"/>
      <c r="I21" s="34"/>
      <c r="J21" s="34"/>
      <c r="K21" s="669"/>
      <c r="L21" s="1412"/>
    </row>
    <row r="22" spans="2:12" ht="18">
      <c r="B22" s="58"/>
      <c r="C22" s="363" t="s">
        <v>1561</v>
      </c>
      <c r="D22" s="349" t="s">
        <v>984</v>
      </c>
      <c r="E22" s="382"/>
      <c r="F22" s="382"/>
      <c r="G22" s="382"/>
      <c r="H22" s="382"/>
      <c r="I22" s="382"/>
      <c r="J22" s="34"/>
      <c r="K22" s="669"/>
      <c r="L22" s="1412"/>
    </row>
    <row r="23" spans="2:12" ht="18">
      <c r="B23" s="47"/>
      <c r="C23" s="39"/>
      <c r="D23" s="36"/>
      <c r="E23" s="34"/>
      <c r="F23" s="36"/>
      <c r="G23" s="36"/>
      <c r="H23" s="36"/>
      <c r="I23" s="36"/>
      <c r="J23" s="36"/>
      <c r="K23" s="669"/>
      <c r="L23" s="1412"/>
    </row>
    <row r="24" spans="2:12" ht="18.75" thickBot="1">
      <c r="B24" s="330"/>
      <c r="C24" s="331"/>
      <c r="D24" s="330"/>
      <c r="E24" s="332"/>
      <c r="F24" s="333"/>
      <c r="G24" s="333"/>
      <c r="H24" s="672"/>
      <c r="I24" s="333"/>
      <c r="J24" s="673"/>
      <c r="K24" s="674"/>
      <c r="L24" s="1412"/>
    </row>
    <row r="25" spans="2:12" ht="18">
      <c r="B25" s="47"/>
      <c r="C25" s="34" t="str">
        <f>"T5007-"&amp;yeartext&amp;" GENERAL DATA SUMMARY"</f>
        <v>T5007-2006 GENERAL DATA SUMMARY</v>
      </c>
      <c r="D25" s="34"/>
      <c r="E25" s="358" t="s">
        <v>1291</v>
      </c>
      <c r="F25" s="36"/>
      <c r="G25" s="36"/>
      <c r="H25" s="37"/>
      <c r="I25" s="36"/>
      <c r="J25" s="37" t="str">
        <f>yeartext</f>
        <v>2006</v>
      </c>
      <c r="K25" s="669"/>
      <c r="L25" s="1412"/>
    </row>
    <row r="26" spans="2:12" ht="18">
      <c r="B26" s="47"/>
      <c r="C26" s="50"/>
      <c r="D26" s="47"/>
      <c r="E26" s="52"/>
      <c r="F26" s="49"/>
      <c r="G26" s="49"/>
      <c r="H26" s="675"/>
      <c r="I26" s="49"/>
      <c r="J26" s="676"/>
      <c r="K26" s="669"/>
      <c r="L26" s="1412"/>
    </row>
    <row r="27" spans="2:12" ht="18">
      <c r="B27" s="47"/>
      <c r="C27" s="42" t="s">
        <v>1210</v>
      </c>
      <c r="D27" s="42" t="s">
        <v>1829</v>
      </c>
      <c r="E27" s="43" t="s">
        <v>1211</v>
      </c>
      <c r="F27" s="365"/>
      <c r="G27" s="376" t="s">
        <v>1567</v>
      </c>
      <c r="H27" s="365"/>
      <c r="I27" s="365"/>
      <c r="J27" s="365"/>
      <c r="K27" s="669"/>
      <c r="L27" s="1412"/>
    </row>
    <row r="28" spans="2:12" ht="18">
      <c r="B28" s="47"/>
      <c r="C28" s="328" t="s">
        <v>1209</v>
      </c>
      <c r="D28" s="329" t="s">
        <v>469</v>
      </c>
      <c r="E28" s="370">
        <f>J17</f>
        <v>0</v>
      </c>
      <c r="F28" s="365"/>
      <c r="G28" s="376" t="s">
        <v>1568</v>
      </c>
      <c r="H28" s="365"/>
      <c r="I28" s="365"/>
      <c r="J28" s="365"/>
      <c r="K28" s="669"/>
      <c r="L28" s="1412"/>
    </row>
    <row r="29" spans="2:12" ht="18">
      <c r="B29" s="47"/>
      <c r="C29" s="328" t="s">
        <v>1209</v>
      </c>
      <c r="D29" s="329" t="s">
        <v>1564</v>
      </c>
      <c r="E29" s="370">
        <f>J19</f>
        <v>0</v>
      </c>
      <c r="F29" s="365"/>
      <c r="G29" s="376"/>
      <c r="H29" s="365"/>
      <c r="I29" s="365"/>
      <c r="J29" s="365"/>
      <c r="K29" s="669"/>
      <c r="L29" s="1412"/>
    </row>
    <row r="30" spans="2:12" ht="18">
      <c r="B30" s="47"/>
      <c r="C30" s="328" t="s">
        <v>1213</v>
      </c>
      <c r="D30" s="329" t="s">
        <v>1776</v>
      </c>
      <c r="E30" s="370">
        <f>J17+J19</f>
        <v>0</v>
      </c>
      <c r="F30" s="365"/>
      <c r="G30" s="366" t="s">
        <v>1569</v>
      </c>
      <c r="H30" s="365"/>
      <c r="I30" s="365"/>
      <c r="J30" s="365"/>
      <c r="K30" s="669"/>
      <c r="L30" s="1412"/>
    </row>
    <row r="31" spans="2:12" ht="18">
      <c r="B31" s="47"/>
      <c r="C31" s="347"/>
      <c r="D31" s="348"/>
      <c r="E31" s="362"/>
      <c r="F31" s="365"/>
      <c r="G31" s="366" t="s">
        <v>1570</v>
      </c>
      <c r="H31" s="365"/>
      <c r="I31" s="365"/>
      <c r="J31" s="365"/>
      <c r="K31" s="669"/>
      <c r="L31" s="1412"/>
    </row>
    <row r="32" spans="2:12" ht="18">
      <c r="B32" s="47"/>
      <c r="C32" s="349"/>
      <c r="D32" s="47"/>
      <c r="E32" s="366"/>
      <c r="F32" s="365"/>
      <c r="G32" s="366"/>
      <c r="H32" s="365"/>
      <c r="I32" s="365"/>
      <c r="J32" s="365"/>
      <c r="K32" s="669"/>
      <c r="L32" s="1412"/>
    </row>
    <row r="33" spans="2:12" ht="18">
      <c r="B33" s="47"/>
      <c r="C33" s="349"/>
      <c r="D33" s="47"/>
      <c r="E33" s="366"/>
      <c r="F33" s="366"/>
      <c r="G33" s="366" t="s">
        <v>453</v>
      </c>
      <c r="H33" s="366"/>
      <c r="I33" s="366"/>
      <c r="J33" s="366"/>
      <c r="K33" s="669"/>
      <c r="L33" s="1412"/>
    </row>
    <row r="34" spans="2:12" ht="18">
      <c r="B34" s="47"/>
      <c r="C34" s="349"/>
      <c r="D34" s="47"/>
      <c r="E34" s="366"/>
      <c r="F34" s="366"/>
      <c r="G34" s="366" t="s">
        <v>1566</v>
      </c>
      <c r="H34" s="366"/>
      <c r="I34" s="366"/>
      <c r="J34" s="366"/>
      <c r="K34" s="669"/>
      <c r="L34" s="1412"/>
    </row>
    <row r="35" spans="2:12" ht="18">
      <c r="B35" s="47"/>
      <c r="C35" s="50"/>
      <c r="D35" s="47"/>
      <c r="E35" s="52"/>
      <c r="F35" s="49"/>
      <c r="G35" s="49"/>
      <c r="H35" s="675"/>
      <c r="I35" s="49"/>
      <c r="J35" s="676"/>
      <c r="K35" s="669"/>
      <c r="L35" s="1412"/>
    </row>
    <row r="36" spans="2:12" ht="18">
      <c r="B36" s="47"/>
      <c r="C36" s="50"/>
      <c r="D36" s="47"/>
      <c r="E36" s="52"/>
      <c r="F36" s="49"/>
      <c r="G36" s="49"/>
      <c r="H36" s="675"/>
      <c r="I36" s="49"/>
      <c r="J36" s="676"/>
      <c r="K36" s="669"/>
      <c r="L36" s="1412"/>
    </row>
    <row r="37" spans="2:4" ht="15">
      <c r="B37" s="677"/>
      <c r="D37" s="56"/>
    </row>
    <row r="38" spans="2:4" ht="15">
      <c r="B38" s="677"/>
      <c r="D38" s="56"/>
    </row>
    <row r="39" spans="2:4" ht="15">
      <c r="B39" s="677"/>
      <c r="D39" s="56"/>
    </row>
    <row r="40" spans="2:4" ht="15">
      <c r="B40" s="677"/>
      <c r="D40" s="56"/>
    </row>
    <row r="41" spans="2:4" ht="15">
      <c r="B41" s="677"/>
      <c r="D41" s="56"/>
    </row>
    <row r="42" spans="2:4" ht="15">
      <c r="B42" s="677"/>
      <c r="D42" s="56"/>
    </row>
    <row r="43" spans="2:4" ht="15">
      <c r="B43" s="677"/>
      <c r="D43" s="56"/>
    </row>
    <row r="44" spans="2:4" ht="15">
      <c r="B44" s="677"/>
      <c r="D44" s="56"/>
    </row>
    <row r="45" spans="2:4" ht="15">
      <c r="B45" s="677"/>
      <c r="D45" s="56"/>
    </row>
    <row r="46" spans="2:4" ht="15">
      <c r="B46" s="677"/>
      <c r="D46" s="56"/>
    </row>
    <row r="47" spans="2:4" ht="15">
      <c r="B47" s="677"/>
      <c r="D47" s="56"/>
    </row>
    <row r="48" spans="2:4" ht="15">
      <c r="B48" s="677"/>
      <c r="D48" s="56"/>
    </row>
  </sheetData>
  <sheetProtection password="EC35" sheet="1" objects="1" scenarios="1"/>
  <mergeCells count="1">
    <mergeCell ref="L1:L36"/>
  </mergeCells>
  <hyperlinks>
    <hyperlink ref="L1:L36" location="'GO TO'!G19" display=" "/>
  </hyperlinks>
  <printOptions horizontalCentered="1"/>
  <pageMargins left="0" right="0" top="0" bottom="0" header="0.5" footer="0.5"/>
  <pageSetup fitToHeight="0" fitToWidth="1" horizontalDpi="600" verticalDpi="600" orientation="portrait" scale="66" r:id="rId1"/>
</worksheet>
</file>

<file path=xl/worksheets/sheet38.xml><?xml version="1.0" encoding="utf-8"?>
<worksheet xmlns="http://schemas.openxmlformats.org/spreadsheetml/2006/main" xmlns:r="http://schemas.openxmlformats.org/officeDocument/2006/relationships">
  <sheetPr codeName="Sheet2111">
    <pageSetUpPr fitToPage="1"/>
  </sheetPr>
  <dimension ref="B1:N94"/>
  <sheetViews>
    <sheetView showGridLines="0" zoomScale="75" zoomScaleNormal="75" workbookViewId="0" topLeftCell="A1">
      <selection activeCell="C3" sqref="C3"/>
    </sheetView>
  </sheetViews>
  <sheetFormatPr defaultColWidth="8.88671875" defaultRowHeight="15"/>
  <cols>
    <col min="1" max="2" width="1.77734375" style="670" customWidth="1"/>
    <col min="3" max="3" width="34.77734375" style="670" customWidth="1"/>
    <col min="4" max="4" width="7.99609375" style="670" customWidth="1"/>
    <col min="5" max="12" width="12.21484375" style="670" customWidth="1"/>
    <col min="13" max="13" width="1.88671875" style="670" customWidth="1"/>
    <col min="14" max="16384" width="8.88671875" style="670" customWidth="1"/>
  </cols>
  <sheetData>
    <row r="1" spans="2:14" ht="18">
      <c r="B1" s="36"/>
      <c r="C1" s="34" t="str">
        <f>"MISC-"&amp;yeartext&amp;" SLIPS DATA ENTRY FORM"</f>
        <v>MISC-2006 SLIPS DATA ENTRY FORM</v>
      </c>
      <c r="D1" s="34"/>
      <c r="E1" s="35" t="s">
        <v>445</v>
      </c>
      <c r="F1" s="36"/>
      <c r="G1" s="36"/>
      <c r="H1" s="37"/>
      <c r="I1" s="37"/>
      <c r="J1" s="37"/>
      <c r="K1" s="36"/>
      <c r="L1" s="37" t="str">
        <f>yeartext</f>
        <v>2006</v>
      </c>
      <c r="M1" s="669"/>
      <c r="N1" s="1441" t="s">
        <v>1793</v>
      </c>
    </row>
    <row r="2" spans="2:14" ht="15.75">
      <c r="B2" s="36"/>
      <c r="C2" s="36"/>
      <c r="D2" s="38"/>
      <c r="E2" s="669"/>
      <c r="F2" s="36"/>
      <c r="G2" s="36"/>
      <c r="H2" s="36"/>
      <c r="I2" s="36"/>
      <c r="J2" s="36"/>
      <c r="K2" s="36"/>
      <c r="L2" s="36"/>
      <c r="M2" s="669"/>
      <c r="N2" s="1442"/>
    </row>
    <row r="3" spans="2:14" ht="15.75">
      <c r="B3" s="36"/>
      <c r="C3" s="36"/>
      <c r="D3" s="38"/>
      <c r="E3" s="669"/>
      <c r="F3" s="36"/>
      <c r="G3" s="36"/>
      <c r="H3" s="36"/>
      <c r="I3" s="36"/>
      <c r="J3" s="36"/>
      <c r="K3" s="36"/>
      <c r="L3" s="36"/>
      <c r="M3" s="669"/>
      <c r="N3" s="1442"/>
    </row>
    <row r="4" spans="2:14" ht="18">
      <c r="B4" s="39"/>
      <c r="C4" s="39" t="s">
        <v>1495</v>
      </c>
      <c r="D4" s="36"/>
      <c r="E4" s="38"/>
      <c r="F4" s="36"/>
      <c r="G4" s="36"/>
      <c r="H4" s="36"/>
      <c r="I4" s="36"/>
      <c r="J4" s="36"/>
      <c r="K4" s="36"/>
      <c r="L4" s="36"/>
      <c r="M4" s="669"/>
      <c r="N4" s="1442"/>
    </row>
    <row r="5" spans="2:14" ht="18">
      <c r="B5" s="39"/>
      <c r="C5" s="39" t="s">
        <v>395</v>
      </c>
      <c r="D5" s="36"/>
      <c r="E5" s="38"/>
      <c r="F5" s="36"/>
      <c r="G5" s="36"/>
      <c r="H5" s="36"/>
      <c r="I5" s="36"/>
      <c r="J5" s="36"/>
      <c r="K5" s="36"/>
      <c r="L5" s="36"/>
      <c r="M5" s="669"/>
      <c r="N5" s="1442"/>
    </row>
    <row r="6" spans="2:14" ht="18">
      <c r="B6" s="39"/>
      <c r="C6" s="39" t="s">
        <v>396</v>
      </c>
      <c r="D6" s="36"/>
      <c r="E6" s="38"/>
      <c r="F6" s="36"/>
      <c r="G6" s="36"/>
      <c r="H6" s="36"/>
      <c r="I6" s="36"/>
      <c r="J6" s="36"/>
      <c r="K6" s="36"/>
      <c r="L6" s="36"/>
      <c r="M6" s="669"/>
      <c r="N6" s="1442"/>
    </row>
    <row r="7" spans="2:14" ht="18">
      <c r="B7" s="39"/>
      <c r="C7" s="39" t="s">
        <v>1036</v>
      </c>
      <c r="D7" s="36"/>
      <c r="E7" s="38"/>
      <c r="F7" s="36"/>
      <c r="G7" s="36"/>
      <c r="H7" s="36"/>
      <c r="I7" s="36"/>
      <c r="J7" s="36"/>
      <c r="K7" s="36"/>
      <c r="L7" s="36"/>
      <c r="M7" s="669"/>
      <c r="N7" s="1442"/>
    </row>
    <row r="8" spans="2:14" ht="18">
      <c r="B8" s="39"/>
      <c r="C8" s="39" t="s">
        <v>247</v>
      </c>
      <c r="D8" s="36"/>
      <c r="E8" s="38"/>
      <c r="F8" s="36"/>
      <c r="G8" s="36"/>
      <c r="H8" s="36"/>
      <c r="I8" s="36"/>
      <c r="J8" s="36"/>
      <c r="K8" s="36"/>
      <c r="L8" s="36"/>
      <c r="M8" s="669"/>
      <c r="N8" s="1442"/>
    </row>
    <row r="9" spans="2:14" ht="18">
      <c r="B9" s="39"/>
      <c r="C9" s="39" t="s">
        <v>950</v>
      </c>
      <c r="D9" s="36"/>
      <c r="E9" s="38"/>
      <c r="F9" s="36"/>
      <c r="G9" s="36"/>
      <c r="H9" s="36"/>
      <c r="I9" s="36"/>
      <c r="J9" s="36"/>
      <c r="K9" s="36"/>
      <c r="L9" s="36"/>
      <c r="M9" s="669"/>
      <c r="N9" s="1442"/>
    </row>
    <row r="10" spans="2:14" ht="18">
      <c r="B10" s="39"/>
      <c r="C10" s="39" t="s">
        <v>1932</v>
      </c>
      <c r="D10" s="36"/>
      <c r="E10" s="38"/>
      <c r="F10" s="36"/>
      <c r="G10" s="36"/>
      <c r="H10" s="36"/>
      <c r="I10" s="36"/>
      <c r="J10" s="36"/>
      <c r="K10" s="36"/>
      <c r="L10" s="36"/>
      <c r="M10" s="669"/>
      <c r="N10" s="1442"/>
    </row>
    <row r="11" spans="2:14" ht="18">
      <c r="B11" s="39"/>
      <c r="C11" s="39" t="s">
        <v>440</v>
      </c>
      <c r="D11" s="36"/>
      <c r="E11" s="38"/>
      <c r="F11" s="36"/>
      <c r="G11" s="36"/>
      <c r="H11" s="36"/>
      <c r="I11" s="36"/>
      <c r="J11" s="36"/>
      <c r="K11" s="36"/>
      <c r="L11" s="36"/>
      <c r="M11" s="669"/>
      <c r="N11" s="1442"/>
    </row>
    <row r="12" spans="2:14" ht="18">
      <c r="B12" s="39"/>
      <c r="C12" s="39" t="s">
        <v>992</v>
      </c>
      <c r="D12" s="36"/>
      <c r="E12" s="38"/>
      <c r="F12" s="36"/>
      <c r="G12" s="36"/>
      <c r="H12" s="36"/>
      <c r="I12" s="36"/>
      <c r="J12" s="36"/>
      <c r="K12" s="36"/>
      <c r="L12" s="36"/>
      <c r="M12" s="669"/>
      <c r="N12" s="1442"/>
    </row>
    <row r="13" spans="2:14" ht="18">
      <c r="B13" s="39"/>
      <c r="C13" s="39" t="s">
        <v>772</v>
      </c>
      <c r="D13" s="36"/>
      <c r="E13" s="38"/>
      <c r="F13" s="36"/>
      <c r="G13" s="36"/>
      <c r="H13" s="36"/>
      <c r="I13" s="36"/>
      <c r="J13" s="36"/>
      <c r="K13" s="36"/>
      <c r="L13" s="36"/>
      <c r="M13" s="669"/>
      <c r="N13" s="1442"/>
    </row>
    <row r="14" spans="2:14" ht="18">
      <c r="B14" s="39"/>
      <c r="C14" s="39" t="s">
        <v>1769</v>
      </c>
      <c r="D14" s="36"/>
      <c r="E14" s="38"/>
      <c r="F14" s="36"/>
      <c r="G14" s="36"/>
      <c r="H14" s="36"/>
      <c r="I14" s="36"/>
      <c r="J14" s="36"/>
      <c r="K14" s="36"/>
      <c r="L14" s="36"/>
      <c r="M14" s="669"/>
      <c r="N14" s="1442"/>
    </row>
    <row r="15" spans="2:14" ht="18">
      <c r="B15" s="39"/>
      <c r="C15" s="39" t="s">
        <v>1826</v>
      </c>
      <c r="D15" s="36"/>
      <c r="E15" s="38"/>
      <c r="F15" s="36"/>
      <c r="G15" s="36"/>
      <c r="H15" s="36"/>
      <c r="I15" s="36"/>
      <c r="J15" s="36"/>
      <c r="K15" s="36"/>
      <c r="L15" s="36"/>
      <c r="M15" s="669"/>
      <c r="N15" s="1442"/>
    </row>
    <row r="16" spans="2:14" ht="18">
      <c r="B16" s="39"/>
      <c r="C16" s="39" t="s">
        <v>20</v>
      </c>
      <c r="D16" s="36"/>
      <c r="E16" s="38"/>
      <c r="F16" s="36"/>
      <c r="G16" s="36"/>
      <c r="H16" s="36"/>
      <c r="I16" s="36"/>
      <c r="J16" s="36"/>
      <c r="K16" s="36"/>
      <c r="L16" s="36"/>
      <c r="M16" s="669"/>
      <c r="N16" s="1442"/>
    </row>
    <row r="17" spans="2:14" ht="18.75" thickBot="1">
      <c r="B17" s="330"/>
      <c r="C17" s="331"/>
      <c r="D17" s="330"/>
      <c r="E17" s="332"/>
      <c r="F17" s="333"/>
      <c r="G17" s="333"/>
      <c r="H17" s="672"/>
      <c r="I17" s="672"/>
      <c r="J17" s="672"/>
      <c r="K17" s="333"/>
      <c r="L17" s="673"/>
      <c r="M17" s="674"/>
      <c r="N17" s="1442"/>
    </row>
    <row r="18" spans="2:14" ht="18">
      <c r="B18" s="47"/>
      <c r="C18" s="34" t="str">
        <f>"MISC-"&amp;yeartext&amp;" DATA SUMMARY"</f>
        <v>MISC-2006 DATA SUMMARY</v>
      </c>
      <c r="D18" s="34"/>
      <c r="E18" s="35" t="s">
        <v>445</v>
      </c>
      <c r="F18" s="36"/>
      <c r="G18" s="36"/>
      <c r="H18" s="37"/>
      <c r="I18" s="37"/>
      <c r="J18" s="37"/>
      <c r="K18" s="36"/>
      <c r="L18" s="37" t="str">
        <f>yeartext</f>
        <v>2006</v>
      </c>
      <c r="M18" s="669"/>
      <c r="N18" s="1442"/>
    </row>
    <row r="19" spans="2:14" ht="18">
      <c r="B19" s="47"/>
      <c r="C19" s="50"/>
      <c r="D19" s="47"/>
      <c r="E19" s="52"/>
      <c r="F19" s="49"/>
      <c r="G19" s="49"/>
      <c r="H19" s="675"/>
      <c r="I19" s="675"/>
      <c r="J19" s="675"/>
      <c r="K19" s="49"/>
      <c r="L19" s="676"/>
      <c r="M19" s="669"/>
      <c r="N19" s="1442"/>
    </row>
    <row r="20" spans="2:14" ht="54">
      <c r="B20" s="47"/>
      <c r="C20" s="353" t="s">
        <v>1210</v>
      </c>
      <c r="D20" s="353" t="s">
        <v>1829</v>
      </c>
      <c r="E20" s="353" t="s">
        <v>290</v>
      </c>
      <c r="F20" s="353" t="s">
        <v>290</v>
      </c>
      <c r="G20" s="353" t="s">
        <v>290</v>
      </c>
      <c r="H20" s="353" t="s">
        <v>290</v>
      </c>
      <c r="I20" s="353" t="s">
        <v>290</v>
      </c>
      <c r="J20" s="353" t="s">
        <v>290</v>
      </c>
      <c r="K20" s="353" t="s">
        <v>629</v>
      </c>
      <c r="L20" s="353" t="s">
        <v>993</v>
      </c>
      <c r="M20" s="669"/>
      <c r="N20" s="1442"/>
    </row>
    <row r="21" spans="2:14" ht="18">
      <c r="B21" s="47"/>
      <c r="C21" s="356" t="s">
        <v>1209</v>
      </c>
      <c r="D21" s="354" t="s">
        <v>507</v>
      </c>
      <c r="E21" s="350"/>
      <c r="F21" s="350"/>
      <c r="G21" s="350"/>
      <c r="H21" s="350"/>
      <c r="I21" s="350"/>
      <c r="J21" s="722">
        <f>+'T4'!E103</f>
        <v>0</v>
      </c>
      <c r="K21" s="722">
        <f>SUM(E21:J21)</f>
        <v>0</v>
      </c>
      <c r="L21" s="722">
        <f>K21</f>
        <v>0</v>
      </c>
      <c r="M21" s="669"/>
      <c r="N21" s="1442"/>
    </row>
    <row r="22" spans="2:14" ht="18">
      <c r="B22" s="47"/>
      <c r="C22" s="356" t="s">
        <v>1209</v>
      </c>
      <c r="D22" s="354" t="s">
        <v>648</v>
      </c>
      <c r="E22" s="350"/>
      <c r="F22" s="350"/>
      <c r="G22" s="350"/>
      <c r="H22" s="350"/>
      <c r="I22" s="350"/>
      <c r="J22" s="722">
        <f>+'T4'!E104</f>
        <v>0</v>
      </c>
      <c r="K22" s="722">
        <f aca="true" t="shared" si="0" ref="K22:K91">SUM(E22:J22)</f>
        <v>0</v>
      </c>
      <c r="L22" s="722">
        <f aca="true" t="shared" si="1" ref="L22:L91">K22</f>
        <v>0</v>
      </c>
      <c r="M22" s="669"/>
      <c r="N22" s="1442"/>
    </row>
    <row r="23" spans="2:14" ht="18">
      <c r="B23" s="47"/>
      <c r="C23" s="356" t="s">
        <v>1209</v>
      </c>
      <c r="D23" s="354" t="s">
        <v>1212</v>
      </c>
      <c r="E23" s="350"/>
      <c r="F23" s="350"/>
      <c r="G23" s="350"/>
      <c r="H23" s="350"/>
      <c r="I23" s="722">
        <f>+'T4A'!E52</f>
        <v>0</v>
      </c>
      <c r="J23" s="722">
        <f>+'T4PS'!E52</f>
        <v>0</v>
      </c>
      <c r="K23" s="722">
        <f t="shared" si="0"/>
        <v>0</v>
      </c>
      <c r="L23" s="722">
        <f t="shared" si="1"/>
        <v>0</v>
      </c>
      <c r="M23" s="669"/>
      <c r="N23" s="1442"/>
    </row>
    <row r="24" spans="2:14" ht="18">
      <c r="B24" s="47"/>
      <c r="C24" s="356" t="s">
        <v>1209</v>
      </c>
      <c r="D24" s="354" t="s">
        <v>1608</v>
      </c>
      <c r="E24" s="350"/>
      <c r="F24" s="350"/>
      <c r="G24" s="350"/>
      <c r="H24" s="350"/>
      <c r="I24" s="350"/>
      <c r="J24" s="722">
        <f>+'T4A(OAS)'!E33</f>
        <v>0</v>
      </c>
      <c r="K24" s="722">
        <f t="shared" si="0"/>
        <v>0</v>
      </c>
      <c r="L24" s="722">
        <f t="shared" si="1"/>
        <v>0</v>
      </c>
      <c r="M24" s="669"/>
      <c r="N24" s="1442"/>
    </row>
    <row r="25" spans="2:14" ht="18">
      <c r="B25" s="47"/>
      <c r="C25" s="356" t="s">
        <v>1209</v>
      </c>
      <c r="D25" s="354" t="s">
        <v>1837</v>
      </c>
      <c r="E25" s="350"/>
      <c r="F25" s="350"/>
      <c r="G25" s="350"/>
      <c r="H25" s="350"/>
      <c r="I25" s="350"/>
      <c r="J25" s="722">
        <f>'T4A(P)'!E28</f>
        <v>0</v>
      </c>
      <c r="K25" s="722">
        <f t="shared" si="0"/>
        <v>0</v>
      </c>
      <c r="L25" s="722">
        <f>K25</f>
        <v>0</v>
      </c>
      <c r="M25" s="669"/>
      <c r="N25" s="1442"/>
    </row>
    <row r="26" spans="2:14" ht="18">
      <c r="B26" s="47"/>
      <c r="C26" s="357" t="s">
        <v>1209</v>
      </c>
      <c r="D26" s="355" t="s">
        <v>1987</v>
      </c>
      <c r="E26" s="350"/>
      <c r="F26" s="350"/>
      <c r="G26" s="350"/>
      <c r="H26" s="722">
        <f>'T4RIF'!J48</f>
        <v>0</v>
      </c>
      <c r="I26" s="722">
        <f>IF(year='T2205'!G4,IF(age&gt;=65,'T2205'!G51,0),0)</f>
        <v>0</v>
      </c>
      <c r="J26" s="722">
        <f>+'T4A'!E53</f>
        <v>0</v>
      </c>
      <c r="K26" s="722">
        <f t="shared" si="0"/>
        <v>0</v>
      </c>
      <c r="L26" s="722">
        <f t="shared" si="1"/>
        <v>0</v>
      </c>
      <c r="M26" s="669"/>
      <c r="N26" s="1442"/>
    </row>
    <row r="27" spans="2:14" ht="18">
      <c r="B27" s="47"/>
      <c r="C27" s="357" t="s">
        <v>1209</v>
      </c>
      <c r="D27" s="355" t="s">
        <v>1609</v>
      </c>
      <c r="E27" s="350"/>
      <c r="F27" s="350"/>
      <c r="G27" s="350"/>
      <c r="H27" s="350"/>
      <c r="I27" s="350"/>
      <c r="J27" s="722">
        <f>+'T4E'!E45</f>
        <v>0</v>
      </c>
      <c r="K27" s="722">
        <f t="shared" si="0"/>
        <v>0</v>
      </c>
      <c r="L27" s="722">
        <f t="shared" si="1"/>
        <v>0</v>
      </c>
      <c r="M27" s="669"/>
      <c r="N27" s="1442"/>
    </row>
    <row r="28" spans="2:14" ht="18">
      <c r="B28" s="47"/>
      <c r="C28" s="357" t="s">
        <v>1209</v>
      </c>
      <c r="D28" s="355" t="s">
        <v>1610</v>
      </c>
      <c r="E28" s="350"/>
      <c r="F28" s="350"/>
      <c r="G28" s="350"/>
      <c r="H28" s="350"/>
      <c r="I28" s="350"/>
      <c r="J28" s="722">
        <f>Sch4!E14</f>
        <v>0</v>
      </c>
      <c r="K28" s="722">
        <f t="shared" si="0"/>
        <v>0</v>
      </c>
      <c r="L28" s="722">
        <f t="shared" si="1"/>
        <v>0</v>
      </c>
      <c r="M28" s="669"/>
      <c r="N28" s="1442"/>
    </row>
    <row r="29" spans="2:14" ht="18">
      <c r="B29" s="47"/>
      <c r="C29" s="357" t="s">
        <v>1209</v>
      </c>
      <c r="D29" s="355" t="s">
        <v>1611</v>
      </c>
      <c r="E29" s="350"/>
      <c r="F29" s="350"/>
      <c r="G29" s="350"/>
      <c r="H29" s="350"/>
      <c r="I29" s="350"/>
      <c r="J29" s="722">
        <f>Sch4!E17</f>
        <v>0</v>
      </c>
      <c r="K29" s="722">
        <f t="shared" si="0"/>
        <v>0</v>
      </c>
      <c r="L29" s="722">
        <f t="shared" si="1"/>
        <v>0</v>
      </c>
      <c r="M29" s="669"/>
      <c r="N29" s="1442"/>
    </row>
    <row r="30" spans="2:14" ht="18">
      <c r="B30" s="47"/>
      <c r="C30" s="357" t="s">
        <v>1209</v>
      </c>
      <c r="D30" s="355" t="s">
        <v>1144</v>
      </c>
      <c r="E30" s="350"/>
      <c r="F30" s="350"/>
      <c r="G30" s="350"/>
      <c r="H30" s="350"/>
      <c r="I30" s="350"/>
      <c r="J30" s="722">
        <f>Sch4!E22</f>
        <v>0</v>
      </c>
      <c r="K30" s="722">
        <f>SUM(E30:J30)</f>
        <v>0</v>
      </c>
      <c r="L30" s="722">
        <f t="shared" si="1"/>
        <v>0</v>
      </c>
      <c r="M30" s="669"/>
      <c r="N30" s="1442"/>
    </row>
    <row r="31" spans="2:14" ht="18">
      <c r="B31" s="47"/>
      <c r="C31" s="357" t="s">
        <v>1209</v>
      </c>
      <c r="D31" s="355" t="s">
        <v>1612</v>
      </c>
      <c r="E31" s="350"/>
      <c r="F31" s="350"/>
      <c r="G31" s="350"/>
      <c r="H31" s="350"/>
      <c r="I31" s="722">
        <f>IF(year='T2205'!G4,'T2205'!G26,0)</f>
        <v>0</v>
      </c>
      <c r="J31" s="722">
        <f>'T4RSP'!J59</f>
        <v>0</v>
      </c>
      <c r="K31" s="722">
        <f t="shared" si="0"/>
        <v>0</v>
      </c>
      <c r="L31" s="722">
        <f t="shared" si="1"/>
        <v>0</v>
      </c>
      <c r="M31" s="669"/>
      <c r="N31" s="1442"/>
    </row>
    <row r="32" spans="2:14" ht="18">
      <c r="B32" s="47"/>
      <c r="C32" s="357" t="s">
        <v>1209</v>
      </c>
      <c r="D32" s="355" t="s">
        <v>1988</v>
      </c>
      <c r="E32" s="351"/>
      <c r="F32" s="351"/>
      <c r="G32" s="351"/>
      <c r="H32" s="722">
        <f>'T4RIF'!J52</f>
        <v>0</v>
      </c>
      <c r="I32" s="722">
        <f>IF(year='T2205'!G4,IF(age&lt;65,'T2205'!G51,0),0)</f>
        <v>0</v>
      </c>
      <c r="J32" s="722">
        <f>+'T4A'!E54</f>
        <v>0</v>
      </c>
      <c r="K32" s="722">
        <f t="shared" si="0"/>
        <v>0</v>
      </c>
      <c r="L32" s="722">
        <f t="shared" si="1"/>
        <v>0</v>
      </c>
      <c r="M32" s="669"/>
      <c r="N32" s="1442"/>
    </row>
    <row r="33" spans="2:14" ht="18">
      <c r="B33" s="47"/>
      <c r="C33" s="357" t="s">
        <v>1209</v>
      </c>
      <c r="D33" s="355" t="s">
        <v>1615</v>
      </c>
      <c r="E33" s="351"/>
      <c r="F33" s="351"/>
      <c r="G33" s="351"/>
      <c r="H33" s="351"/>
      <c r="I33" s="350"/>
      <c r="J33" s="722">
        <f>+'T4A'!E55</f>
        <v>0</v>
      </c>
      <c r="K33" s="722">
        <f t="shared" si="0"/>
        <v>0</v>
      </c>
      <c r="L33" s="722">
        <f t="shared" si="1"/>
        <v>0</v>
      </c>
      <c r="M33" s="669"/>
      <c r="N33" s="1442"/>
    </row>
    <row r="34" spans="2:14" ht="18">
      <c r="B34" s="47"/>
      <c r="C34" s="357" t="s">
        <v>1209</v>
      </c>
      <c r="D34" s="355" t="s">
        <v>469</v>
      </c>
      <c r="E34" s="351"/>
      <c r="F34" s="351"/>
      <c r="G34" s="351"/>
      <c r="H34" s="351"/>
      <c r="I34" s="351"/>
      <c r="J34" s="722">
        <f>'T5007'!E28</f>
        <v>0</v>
      </c>
      <c r="K34" s="722">
        <f t="shared" si="0"/>
        <v>0</v>
      </c>
      <c r="L34" s="722">
        <f t="shared" si="1"/>
        <v>0</v>
      </c>
      <c r="M34" s="669"/>
      <c r="N34" s="1442"/>
    </row>
    <row r="35" spans="2:14" ht="18">
      <c r="B35" s="47"/>
      <c r="C35" s="357" t="s">
        <v>1209</v>
      </c>
      <c r="D35" s="355" t="s">
        <v>1564</v>
      </c>
      <c r="E35" s="351"/>
      <c r="F35" s="351"/>
      <c r="G35" s="351"/>
      <c r="H35" s="351"/>
      <c r="I35" s="351"/>
      <c r="J35" s="722">
        <f>'T5007'!E29</f>
        <v>0</v>
      </c>
      <c r="K35" s="722">
        <f t="shared" si="0"/>
        <v>0</v>
      </c>
      <c r="L35" s="722">
        <f t="shared" si="1"/>
        <v>0</v>
      </c>
      <c r="M35" s="669"/>
      <c r="N35" s="1442"/>
    </row>
    <row r="36" spans="2:14" ht="18">
      <c r="B36" s="47"/>
      <c r="C36" s="357" t="s">
        <v>1209</v>
      </c>
      <c r="D36" s="355" t="s">
        <v>1771</v>
      </c>
      <c r="E36" s="351"/>
      <c r="F36" s="351"/>
      <c r="G36" s="351"/>
      <c r="H36" s="351"/>
      <c r="I36" s="350"/>
      <c r="J36" s="722">
        <f>+'T4A(OAS)'!E34</f>
        <v>0</v>
      </c>
      <c r="K36" s="722">
        <f t="shared" si="0"/>
        <v>0</v>
      </c>
      <c r="L36" s="722">
        <f t="shared" si="1"/>
        <v>0</v>
      </c>
      <c r="M36" s="669"/>
      <c r="N36" s="1442"/>
    </row>
    <row r="37" spans="2:14" ht="18">
      <c r="B37" s="47"/>
      <c r="C37" s="357" t="s">
        <v>1209</v>
      </c>
      <c r="D37" s="355" t="s">
        <v>1838</v>
      </c>
      <c r="E37" s="351"/>
      <c r="F37" s="351"/>
      <c r="G37" s="351"/>
      <c r="H37" s="351"/>
      <c r="I37" s="350"/>
      <c r="J37" s="722">
        <f>'T4A(P)'!E27</f>
        <v>0</v>
      </c>
      <c r="K37" s="722">
        <f t="shared" si="0"/>
        <v>0</v>
      </c>
      <c r="L37" s="722">
        <f t="shared" si="1"/>
        <v>0</v>
      </c>
      <c r="M37" s="669"/>
      <c r="N37" s="1442"/>
    </row>
    <row r="38" spans="2:14" ht="18">
      <c r="B38" s="47"/>
      <c r="C38" s="357" t="s">
        <v>1209</v>
      </c>
      <c r="D38" s="355" t="s">
        <v>1989</v>
      </c>
      <c r="E38" s="351"/>
      <c r="F38" s="351"/>
      <c r="G38" s="351"/>
      <c r="H38" s="351"/>
      <c r="I38" s="350"/>
      <c r="J38" s="722">
        <f>+'T4A'!E56</f>
        <v>0</v>
      </c>
      <c r="K38" s="722">
        <f t="shared" si="0"/>
        <v>0</v>
      </c>
      <c r="L38" s="722">
        <f t="shared" si="1"/>
        <v>0</v>
      </c>
      <c r="M38" s="669"/>
      <c r="N38" s="1442"/>
    </row>
    <row r="39" spans="2:14" ht="18">
      <c r="B39" s="47"/>
      <c r="C39" s="357" t="s">
        <v>1209</v>
      </c>
      <c r="D39" s="355" t="s">
        <v>1136</v>
      </c>
      <c r="E39" s="351"/>
      <c r="F39" s="351"/>
      <c r="G39" s="351"/>
      <c r="H39" s="351"/>
      <c r="I39" s="350"/>
      <c r="J39" s="722">
        <f>Sch4!E10</f>
        <v>0</v>
      </c>
      <c r="K39" s="722">
        <f>SUM(E39:J39)</f>
        <v>0</v>
      </c>
      <c r="L39" s="722">
        <f t="shared" si="1"/>
        <v>0</v>
      </c>
      <c r="M39" s="669"/>
      <c r="N39" s="1442"/>
    </row>
    <row r="40" spans="2:14" ht="18">
      <c r="B40" s="47"/>
      <c r="C40" s="357" t="s">
        <v>1213</v>
      </c>
      <c r="D40" s="355" t="s">
        <v>653</v>
      </c>
      <c r="E40" s="351"/>
      <c r="F40" s="351"/>
      <c r="G40" s="351"/>
      <c r="H40" s="351"/>
      <c r="I40" s="722">
        <f>+'T4'!E105</f>
        <v>0</v>
      </c>
      <c r="J40" s="722">
        <f>+'T4A'!E57</f>
        <v>0</v>
      </c>
      <c r="K40" s="722">
        <f t="shared" si="0"/>
        <v>0</v>
      </c>
      <c r="L40" s="722">
        <f t="shared" si="1"/>
        <v>0</v>
      </c>
      <c r="M40" s="669"/>
      <c r="N40" s="1442"/>
    </row>
    <row r="41" spans="2:14" ht="18">
      <c r="B41" s="47"/>
      <c r="C41" s="357" t="s">
        <v>1213</v>
      </c>
      <c r="D41" s="355" t="s">
        <v>514</v>
      </c>
      <c r="E41" s="351"/>
      <c r="F41" s="351"/>
      <c r="G41" s="351"/>
      <c r="H41" s="351"/>
      <c r="I41" s="722">
        <f>+'T4'!E106</f>
        <v>0</v>
      </c>
      <c r="J41" s="722">
        <f>+'T4A'!E58</f>
        <v>0</v>
      </c>
      <c r="K41" s="722">
        <f t="shared" si="0"/>
        <v>0</v>
      </c>
      <c r="L41" s="722">
        <f t="shared" si="1"/>
        <v>0</v>
      </c>
      <c r="M41" s="669"/>
      <c r="N41" s="1442"/>
    </row>
    <row r="42" spans="2:14" ht="18">
      <c r="B42" s="47"/>
      <c r="C42" s="357" t="s">
        <v>1213</v>
      </c>
      <c r="D42" s="355" t="s">
        <v>650</v>
      </c>
      <c r="E42" s="351"/>
      <c r="F42" s="351"/>
      <c r="G42" s="351"/>
      <c r="H42" s="351"/>
      <c r="I42" s="350"/>
      <c r="J42" s="722">
        <f>+'T4'!E107</f>
        <v>0</v>
      </c>
      <c r="K42" s="722">
        <f t="shared" si="0"/>
        <v>0</v>
      </c>
      <c r="L42" s="722">
        <f t="shared" si="1"/>
        <v>0</v>
      </c>
      <c r="M42" s="669"/>
      <c r="N42" s="1442"/>
    </row>
    <row r="43" spans="2:14" ht="18">
      <c r="B43" s="47"/>
      <c r="C43" s="357" t="s">
        <v>1213</v>
      </c>
      <c r="D43" s="355" t="s">
        <v>1143</v>
      </c>
      <c r="E43" s="351"/>
      <c r="F43" s="351"/>
      <c r="G43" s="351"/>
      <c r="H43" s="351"/>
      <c r="I43" s="350"/>
      <c r="J43" s="722">
        <f>Sch4!E28</f>
        <v>0</v>
      </c>
      <c r="K43" s="722">
        <f>SUM(E43:J43)</f>
        <v>0</v>
      </c>
      <c r="L43" s="722">
        <f t="shared" si="1"/>
        <v>0</v>
      </c>
      <c r="M43" s="669"/>
      <c r="N43" s="1442"/>
    </row>
    <row r="44" spans="2:14" ht="18">
      <c r="B44" s="47"/>
      <c r="C44" s="357" t="s">
        <v>1213</v>
      </c>
      <c r="D44" s="355" t="s">
        <v>580</v>
      </c>
      <c r="E44" s="351"/>
      <c r="F44" s="351"/>
      <c r="G44" s="351"/>
      <c r="H44" s="351"/>
      <c r="I44" s="350"/>
      <c r="J44" s="728" t="s">
        <v>349</v>
      </c>
      <c r="K44" s="722">
        <f t="shared" si="0"/>
        <v>0</v>
      </c>
      <c r="L44" s="722">
        <f t="shared" si="1"/>
        <v>0</v>
      </c>
      <c r="M44" s="669"/>
      <c r="N44" s="1442"/>
    </row>
    <row r="45" spans="2:14" ht="18">
      <c r="B45" s="47"/>
      <c r="C45" s="357" t="s">
        <v>1213</v>
      </c>
      <c r="D45" s="355" t="s">
        <v>1774</v>
      </c>
      <c r="E45" s="351"/>
      <c r="F45" s="351"/>
      <c r="G45" s="351"/>
      <c r="H45" s="351"/>
      <c r="I45" s="722">
        <f>'T4'!E108</f>
        <v>0</v>
      </c>
      <c r="J45" s="722">
        <f>+'T4PS'!E55</f>
        <v>0</v>
      </c>
      <c r="K45" s="722">
        <f t="shared" si="0"/>
        <v>0</v>
      </c>
      <c r="L45" s="722">
        <f t="shared" si="1"/>
        <v>0</v>
      </c>
      <c r="M45" s="669"/>
      <c r="N45" s="1442"/>
    </row>
    <row r="46" spans="2:14" ht="18">
      <c r="B46" s="47"/>
      <c r="C46" s="357" t="s">
        <v>1213</v>
      </c>
      <c r="D46" s="355" t="s">
        <v>1775</v>
      </c>
      <c r="E46" s="351"/>
      <c r="F46" s="351"/>
      <c r="G46" s="722">
        <f>'T4RIF'!J56</f>
        <v>0</v>
      </c>
      <c r="H46" s="722">
        <f>'T4RSP'!J64</f>
        <v>0</v>
      </c>
      <c r="I46" s="722">
        <f>+'T4A(OAS)'!E35</f>
        <v>0</v>
      </c>
      <c r="J46" s="722">
        <f>'T4E'!E46</f>
        <v>0</v>
      </c>
      <c r="K46" s="722">
        <f t="shared" si="0"/>
        <v>0</v>
      </c>
      <c r="L46" s="722">
        <f t="shared" si="1"/>
        <v>0</v>
      </c>
      <c r="M46" s="669"/>
      <c r="N46" s="1442"/>
    </row>
    <row r="47" spans="2:14" ht="18">
      <c r="B47" s="47"/>
      <c r="C47" s="357" t="s">
        <v>1213</v>
      </c>
      <c r="D47" s="355" t="s">
        <v>2254</v>
      </c>
      <c r="E47" s="351"/>
      <c r="F47" s="351"/>
      <c r="G47" s="351"/>
      <c r="H47" s="351"/>
      <c r="I47" s="350"/>
      <c r="J47" s="722">
        <f>'T4'!E109</f>
        <v>0</v>
      </c>
      <c r="K47" s="722">
        <f t="shared" si="0"/>
        <v>0</v>
      </c>
      <c r="L47" s="722">
        <f t="shared" si="1"/>
        <v>0</v>
      </c>
      <c r="M47" s="669"/>
      <c r="N47" s="1442"/>
    </row>
    <row r="48" spans="2:14" ht="18">
      <c r="B48" s="47"/>
      <c r="C48" s="357" t="s">
        <v>1213</v>
      </c>
      <c r="D48" s="355" t="s">
        <v>1953</v>
      </c>
      <c r="E48" s="351"/>
      <c r="F48" s="351"/>
      <c r="G48" s="351"/>
      <c r="H48" s="351"/>
      <c r="I48" s="350"/>
      <c r="J48" s="722">
        <f>+'T4'!E110</f>
        <v>0</v>
      </c>
      <c r="K48" s="722">
        <f t="shared" si="0"/>
        <v>0</v>
      </c>
      <c r="L48" s="722">
        <f t="shared" si="1"/>
        <v>0</v>
      </c>
      <c r="M48" s="669"/>
      <c r="N48" s="1442"/>
    </row>
    <row r="49" spans="2:14" ht="18">
      <c r="B49" s="47"/>
      <c r="C49" s="357" t="s">
        <v>1213</v>
      </c>
      <c r="D49" s="355" t="s">
        <v>1955</v>
      </c>
      <c r="E49" s="351"/>
      <c r="F49" s="351"/>
      <c r="G49" s="351"/>
      <c r="H49" s="351"/>
      <c r="I49" s="350"/>
      <c r="J49" s="722">
        <f>+'T4'!E111</f>
        <v>0</v>
      </c>
      <c r="K49" s="722">
        <f t="shared" si="0"/>
        <v>0</v>
      </c>
      <c r="L49" s="722">
        <f t="shared" si="1"/>
        <v>0</v>
      </c>
      <c r="M49" s="669"/>
      <c r="N49" s="1442"/>
    </row>
    <row r="50" spans="2:14" ht="18">
      <c r="B50" s="47"/>
      <c r="C50" s="357" t="s">
        <v>1213</v>
      </c>
      <c r="D50" s="355" t="s">
        <v>1776</v>
      </c>
      <c r="E50" s="390">
        <f>IF(AND('T1 GEN-2-3-4'!K83&gt;55309,L36&gt;0),"See guide re income &amp; allowable deduction","")</f>
      </c>
      <c r="F50" s="389"/>
      <c r="G50" s="351"/>
      <c r="H50" s="351"/>
      <c r="I50" s="722">
        <f>+'T4A(OAS)'!E36</f>
        <v>0</v>
      </c>
      <c r="J50" s="722">
        <f>+'T5007'!E30</f>
        <v>0</v>
      </c>
      <c r="K50" s="722">
        <f t="shared" si="0"/>
        <v>0</v>
      </c>
      <c r="L50" s="722">
        <f t="shared" si="1"/>
        <v>0</v>
      </c>
      <c r="M50" s="669"/>
      <c r="N50" s="1442"/>
    </row>
    <row r="51" spans="2:14" ht="18">
      <c r="B51" s="47"/>
      <c r="C51" s="357" t="s">
        <v>1213</v>
      </c>
      <c r="D51" s="355" t="s">
        <v>972</v>
      </c>
      <c r="E51" s="351"/>
      <c r="F51" s="351"/>
      <c r="G51" s="351"/>
      <c r="H51" s="351"/>
      <c r="I51" s="350"/>
      <c r="J51" s="722">
        <f>'T4E'!E48</f>
        <v>0</v>
      </c>
      <c r="K51" s="722">
        <f t="shared" si="0"/>
        <v>0</v>
      </c>
      <c r="L51" s="722">
        <f t="shared" si="1"/>
        <v>0</v>
      </c>
      <c r="M51" s="669"/>
      <c r="N51" s="1442"/>
    </row>
    <row r="52" spans="2:14" ht="18">
      <c r="B52" s="47"/>
      <c r="C52" s="357"/>
      <c r="D52" s="355"/>
      <c r="E52" s="351"/>
      <c r="F52" s="351"/>
      <c r="G52" s="351"/>
      <c r="H52" s="351"/>
      <c r="I52" s="350"/>
      <c r="J52" s="350"/>
      <c r="K52" s="722"/>
      <c r="L52" s="722"/>
      <c r="M52" s="669"/>
      <c r="N52" s="1442"/>
    </row>
    <row r="53" spans="2:14" ht="18">
      <c r="B53" s="47"/>
      <c r="C53" s="357" t="s">
        <v>2197</v>
      </c>
      <c r="D53" s="466" t="s">
        <v>1374</v>
      </c>
      <c r="E53" s="352"/>
      <c r="F53" s="352"/>
      <c r="G53" s="352"/>
      <c r="H53" s="352"/>
      <c r="I53" s="501"/>
      <c r="J53" s="722">
        <f>+'T4RSP'!J54</f>
        <v>0</v>
      </c>
      <c r="K53" s="722">
        <f t="shared" si="0"/>
        <v>0</v>
      </c>
      <c r="L53" s="722">
        <f t="shared" si="1"/>
        <v>0</v>
      </c>
      <c r="M53" s="669"/>
      <c r="N53" s="1442"/>
    </row>
    <row r="54" spans="2:14" ht="18">
      <c r="B54" s="47"/>
      <c r="C54" s="357"/>
      <c r="D54" s="466"/>
      <c r="E54" s="352"/>
      <c r="F54" s="352"/>
      <c r="G54" s="352"/>
      <c r="H54" s="352"/>
      <c r="I54" s="501"/>
      <c r="J54" s="722"/>
      <c r="K54" s="722"/>
      <c r="L54" s="722"/>
      <c r="M54" s="669"/>
      <c r="N54" s="1442"/>
    </row>
    <row r="55" spans="2:14" ht="18">
      <c r="B55" s="47"/>
      <c r="C55" s="357" t="s">
        <v>1606</v>
      </c>
      <c r="D55" s="355" t="s">
        <v>512</v>
      </c>
      <c r="E55" s="383"/>
      <c r="F55" s="383"/>
      <c r="G55" s="383"/>
      <c r="H55" s="383"/>
      <c r="I55" s="387"/>
      <c r="J55" s="722">
        <f>MIN('T2204'!I50,'T2204'!I53,'T2204'!I55)</f>
        <v>0</v>
      </c>
      <c r="K55" s="722">
        <f>SUM(E55:J55)</f>
        <v>0</v>
      </c>
      <c r="L55" s="722">
        <f t="shared" si="1"/>
        <v>0</v>
      </c>
      <c r="M55" s="669"/>
      <c r="N55" s="1442"/>
    </row>
    <row r="56" spans="2:14" ht="18">
      <c r="B56" s="47"/>
      <c r="C56" s="357" t="s">
        <v>1606</v>
      </c>
      <c r="D56" s="355" t="s">
        <v>2088</v>
      </c>
      <c r="E56" s="352"/>
      <c r="F56" s="352"/>
      <c r="G56" s="352"/>
      <c r="H56" s="352"/>
      <c r="I56" s="501"/>
      <c r="J56" s="722">
        <f>'T4'!E113</f>
        <v>0</v>
      </c>
      <c r="K56" s="722">
        <f>SUM(E56:J56)</f>
        <v>0</v>
      </c>
      <c r="L56" s="722">
        <f t="shared" si="1"/>
        <v>0</v>
      </c>
      <c r="M56" s="669"/>
      <c r="N56" s="1442"/>
    </row>
    <row r="57" spans="2:14" ht="18">
      <c r="B57" s="47"/>
      <c r="C57" s="357" t="s">
        <v>1606</v>
      </c>
      <c r="D57" s="355" t="s">
        <v>2083</v>
      </c>
      <c r="E57" s="352"/>
      <c r="F57" s="352"/>
      <c r="G57" s="352"/>
      <c r="H57" s="352"/>
      <c r="I57" s="501"/>
      <c r="J57" s="722">
        <f>'T4'!E114</f>
        <v>0</v>
      </c>
      <c r="K57" s="722">
        <f>SUM(E57:J57)</f>
        <v>0</v>
      </c>
      <c r="L57" s="722">
        <f t="shared" si="1"/>
        <v>0</v>
      </c>
      <c r="M57" s="669"/>
      <c r="N57" s="1442"/>
    </row>
    <row r="58" spans="2:14" ht="18">
      <c r="B58" s="47"/>
      <c r="C58" s="357" t="s">
        <v>1606</v>
      </c>
      <c r="D58" s="355" t="s">
        <v>1778</v>
      </c>
      <c r="E58" s="352"/>
      <c r="F58" s="352"/>
      <c r="G58" s="352"/>
      <c r="H58" s="1245">
        <f>0.189655*SUM('Sch4-2'!E35:E49)</f>
        <v>0</v>
      </c>
      <c r="I58" s="1244">
        <f>0.133333*SUM('Sch4-2'!E13:E27)</f>
        <v>0</v>
      </c>
      <c r="J58" s="722">
        <f>+'T4PS'!E56</f>
        <v>0</v>
      </c>
      <c r="K58" s="722">
        <f t="shared" si="0"/>
        <v>0</v>
      </c>
      <c r="L58" s="722">
        <f t="shared" si="1"/>
        <v>0</v>
      </c>
      <c r="M58" s="669"/>
      <c r="N58" s="1442"/>
    </row>
    <row r="59" spans="2:14" ht="18">
      <c r="B59" s="47"/>
      <c r="C59" s="357" t="s">
        <v>1606</v>
      </c>
      <c r="D59" s="355" t="s">
        <v>1779</v>
      </c>
      <c r="E59" s="352"/>
      <c r="F59" s="352"/>
      <c r="G59" s="352"/>
      <c r="H59" s="352"/>
      <c r="I59" s="501"/>
      <c r="J59" s="722">
        <f>+'T4PS'!E57</f>
        <v>0</v>
      </c>
      <c r="K59" s="722">
        <f t="shared" si="0"/>
        <v>0</v>
      </c>
      <c r="L59" s="722">
        <f t="shared" si="1"/>
        <v>0</v>
      </c>
      <c r="M59" s="669"/>
      <c r="N59" s="1442"/>
    </row>
    <row r="60" spans="2:14" ht="18.75" thickBot="1">
      <c r="B60" s="47"/>
      <c r="C60" s="567" t="s">
        <v>1606</v>
      </c>
      <c r="D60" s="568" t="s">
        <v>1780</v>
      </c>
      <c r="E60" s="569"/>
      <c r="F60" s="569"/>
      <c r="G60" s="569"/>
      <c r="H60" s="569"/>
      <c r="I60" s="570"/>
      <c r="J60" s="723">
        <f>+'T4PS'!E58</f>
        <v>0</v>
      </c>
      <c r="K60" s="723">
        <f t="shared" si="0"/>
        <v>0</v>
      </c>
      <c r="L60" s="723">
        <f t="shared" si="1"/>
        <v>0</v>
      </c>
      <c r="M60" s="669"/>
      <c r="N60" s="1442"/>
    </row>
    <row r="61" spans="2:14" ht="18">
      <c r="B61" s="47"/>
      <c r="C61" s="571" t="s">
        <v>389</v>
      </c>
      <c r="D61" s="572" t="s">
        <v>516</v>
      </c>
      <c r="E61" s="573"/>
      <c r="F61" s="574"/>
      <c r="G61" s="574"/>
      <c r="H61" s="724">
        <f>+'T4A(OAS)'!E37</f>
        <v>0</v>
      </c>
      <c r="I61" s="725">
        <f>+'T4E'!E50</f>
        <v>0</v>
      </c>
      <c r="J61" s="725">
        <f>'T4A'!E60</f>
        <v>0</v>
      </c>
      <c r="K61" s="725">
        <f>SUM(E61:J62)</f>
        <v>0</v>
      </c>
      <c r="L61" s="726">
        <f t="shared" si="1"/>
        <v>0</v>
      </c>
      <c r="M61" s="669"/>
      <c r="N61" s="1442"/>
    </row>
    <row r="62" spans="2:14" ht="18.75" thickBot="1">
      <c r="B62" s="47"/>
      <c r="C62" s="575" t="s">
        <v>389</v>
      </c>
      <c r="D62" s="576" t="s">
        <v>516</v>
      </c>
      <c r="E62" s="579"/>
      <c r="F62" s="579"/>
      <c r="G62" s="609">
        <f>'T4A(P)'!E29</f>
        <v>0</v>
      </c>
      <c r="H62" s="609">
        <f>'T4RIF'!J57</f>
        <v>0</v>
      </c>
      <c r="I62" s="727">
        <f>'T4RSP'!J67</f>
        <v>0</v>
      </c>
      <c r="J62" s="727">
        <f>+'T4'!E112</f>
        <v>0</v>
      </c>
      <c r="K62" s="577"/>
      <c r="L62" s="578"/>
      <c r="M62" s="669"/>
      <c r="N62" s="1442"/>
    </row>
    <row r="63" spans="2:14" ht="18">
      <c r="B63" s="47"/>
      <c r="C63" s="356"/>
      <c r="D63" s="354"/>
      <c r="E63" s="387"/>
      <c r="F63" s="387"/>
      <c r="G63" s="387"/>
      <c r="H63" s="387"/>
      <c r="I63" s="387"/>
      <c r="J63" s="387"/>
      <c r="K63" s="387"/>
      <c r="L63" s="387"/>
      <c r="M63" s="669"/>
      <c r="N63" s="1442"/>
    </row>
    <row r="64" spans="2:14" ht="18">
      <c r="B64" s="47"/>
      <c r="C64" s="357" t="s">
        <v>389</v>
      </c>
      <c r="D64" s="354" t="s">
        <v>152</v>
      </c>
      <c r="E64" s="351"/>
      <c r="F64" s="351"/>
      <c r="G64" s="351"/>
      <c r="H64" s="351"/>
      <c r="I64" s="350"/>
      <c r="J64" s="722">
        <f>IF('T2204'!I58&lt;1,0,'T2204'!I58)</f>
        <v>0</v>
      </c>
      <c r="K64" s="722">
        <f>SUM(E64:J64)</f>
        <v>0</v>
      </c>
      <c r="L64" s="722">
        <f t="shared" si="1"/>
        <v>0</v>
      </c>
      <c r="M64" s="669"/>
      <c r="N64" s="1442"/>
    </row>
    <row r="65" spans="2:14" ht="18">
      <c r="B65" s="47"/>
      <c r="C65" s="357" t="s">
        <v>389</v>
      </c>
      <c r="D65" s="355" t="s">
        <v>1781</v>
      </c>
      <c r="E65" s="351"/>
      <c r="F65" s="351"/>
      <c r="G65" s="351"/>
      <c r="H65" s="351"/>
      <c r="I65" s="350"/>
      <c r="J65" s="350"/>
      <c r="K65" s="722">
        <f t="shared" si="0"/>
        <v>0</v>
      </c>
      <c r="L65" s="722">
        <f t="shared" si="1"/>
        <v>0</v>
      </c>
      <c r="M65" s="669"/>
      <c r="N65" s="1442"/>
    </row>
    <row r="66" spans="2:14" ht="18">
      <c r="B66" s="47"/>
      <c r="C66" s="357" t="s">
        <v>1777</v>
      </c>
      <c r="D66" s="355" t="s">
        <v>1782</v>
      </c>
      <c r="E66" s="351"/>
      <c r="F66" s="351"/>
      <c r="G66" s="351"/>
      <c r="H66" s="351"/>
      <c r="I66" s="350"/>
      <c r="J66" s="350"/>
      <c r="K66" s="722">
        <f t="shared" si="0"/>
        <v>0</v>
      </c>
      <c r="L66" s="722">
        <f t="shared" si="1"/>
        <v>0</v>
      </c>
      <c r="M66" s="669"/>
      <c r="N66" s="1442"/>
    </row>
    <row r="67" spans="2:14" ht="18">
      <c r="B67" s="47"/>
      <c r="C67" s="357" t="s">
        <v>1777</v>
      </c>
      <c r="D67" s="355" t="s">
        <v>1813</v>
      </c>
      <c r="E67" s="351"/>
      <c r="F67" s="351"/>
      <c r="G67" s="351"/>
      <c r="H67" s="351"/>
      <c r="I67" s="350"/>
      <c r="J67" s="350"/>
      <c r="K67" s="722">
        <f t="shared" si="0"/>
        <v>0</v>
      </c>
      <c r="L67" s="722">
        <f t="shared" si="1"/>
        <v>0</v>
      </c>
      <c r="M67" s="669"/>
      <c r="N67" s="1442"/>
    </row>
    <row r="68" spans="2:14" ht="18">
      <c r="B68" s="47"/>
      <c r="C68" s="357" t="s">
        <v>1777</v>
      </c>
      <c r="D68" s="355" t="s">
        <v>1772</v>
      </c>
      <c r="E68" s="351"/>
      <c r="F68" s="351"/>
      <c r="G68" s="351"/>
      <c r="H68" s="351"/>
      <c r="I68" s="350"/>
      <c r="J68" s="350"/>
      <c r="K68" s="722">
        <f t="shared" si="0"/>
        <v>0</v>
      </c>
      <c r="L68" s="722">
        <f t="shared" si="1"/>
        <v>0</v>
      </c>
      <c r="M68" s="669"/>
      <c r="N68" s="1442"/>
    </row>
    <row r="69" spans="2:14" ht="18">
      <c r="B69" s="47"/>
      <c r="C69" s="357" t="s">
        <v>1777</v>
      </c>
      <c r="D69" s="355" t="s">
        <v>1814</v>
      </c>
      <c r="E69" s="351"/>
      <c r="F69" s="351"/>
      <c r="G69" s="351"/>
      <c r="H69" s="351"/>
      <c r="I69" s="350"/>
      <c r="J69" s="722">
        <f>+'T4PS'!E59</f>
        <v>0</v>
      </c>
      <c r="K69" s="722">
        <f t="shared" si="0"/>
        <v>0</v>
      </c>
      <c r="L69" s="722">
        <f t="shared" si="1"/>
        <v>0</v>
      </c>
      <c r="M69" s="669"/>
      <c r="N69" s="1442"/>
    </row>
    <row r="70" spans="2:14" ht="18">
      <c r="B70" s="47"/>
      <c r="C70" s="357" t="s">
        <v>1777</v>
      </c>
      <c r="D70" s="355" t="s">
        <v>1773</v>
      </c>
      <c r="E70" s="351"/>
      <c r="F70" s="351"/>
      <c r="G70" s="351"/>
      <c r="H70" s="351"/>
      <c r="I70" s="350"/>
      <c r="J70" s="350"/>
      <c r="K70" s="722">
        <f t="shared" si="0"/>
        <v>0</v>
      </c>
      <c r="L70" s="722">
        <f t="shared" si="1"/>
        <v>0</v>
      </c>
      <c r="M70" s="669"/>
      <c r="N70" s="1442"/>
    </row>
    <row r="71" spans="2:14" ht="18">
      <c r="B71" s="47"/>
      <c r="C71" s="357" t="s">
        <v>1815</v>
      </c>
      <c r="D71" s="355" t="s">
        <v>2196</v>
      </c>
      <c r="E71" s="351"/>
      <c r="F71" s="351"/>
      <c r="G71" s="351"/>
      <c r="H71" s="351"/>
      <c r="I71" s="350"/>
      <c r="J71" s="350"/>
      <c r="K71" s="722">
        <f t="shared" si="0"/>
        <v>0</v>
      </c>
      <c r="L71" s="722">
        <f t="shared" si="1"/>
        <v>0</v>
      </c>
      <c r="M71" s="669"/>
      <c r="N71" s="1442"/>
    </row>
    <row r="72" spans="2:14" ht="18">
      <c r="B72" s="47"/>
      <c r="C72" s="357" t="s">
        <v>1816</v>
      </c>
      <c r="D72" s="355" t="s">
        <v>1223</v>
      </c>
      <c r="E72" s="351"/>
      <c r="F72" s="351"/>
      <c r="G72" s="351"/>
      <c r="H72" s="351"/>
      <c r="I72" s="350"/>
      <c r="J72" s="722">
        <f>'T4RSP'!J69</f>
        <v>0</v>
      </c>
      <c r="K72" s="722">
        <f t="shared" si="0"/>
        <v>0</v>
      </c>
      <c r="L72" s="722">
        <f t="shared" si="1"/>
        <v>0</v>
      </c>
      <c r="M72" s="669"/>
      <c r="N72" s="1442"/>
    </row>
    <row r="73" spans="2:14" ht="18">
      <c r="B73" s="47"/>
      <c r="C73" s="357" t="s">
        <v>1816</v>
      </c>
      <c r="D73" s="355" t="s">
        <v>510</v>
      </c>
      <c r="E73" s="351"/>
      <c r="F73" s="351"/>
      <c r="G73" s="351"/>
      <c r="H73" s="351"/>
      <c r="I73" s="350"/>
      <c r="J73" s="722">
        <f>'T4RSP'!J70</f>
        <v>0</v>
      </c>
      <c r="K73" s="722">
        <f>SUM(E73:J73)</f>
        <v>0</v>
      </c>
      <c r="L73" s="722">
        <f t="shared" si="1"/>
        <v>0</v>
      </c>
      <c r="M73" s="669"/>
      <c r="N73" s="1442"/>
    </row>
    <row r="74" spans="2:14" ht="18">
      <c r="B74" s="47"/>
      <c r="C74" s="357" t="s">
        <v>1607</v>
      </c>
      <c r="D74" s="355" t="s">
        <v>617</v>
      </c>
      <c r="E74" s="351"/>
      <c r="F74" s="351"/>
      <c r="G74" s="351"/>
      <c r="H74" s="351"/>
      <c r="I74" s="350"/>
      <c r="J74" s="722">
        <f>+'T4'!E115</f>
        <v>0</v>
      </c>
      <c r="K74" s="722">
        <f t="shared" si="0"/>
        <v>0</v>
      </c>
      <c r="L74" s="722">
        <f t="shared" si="1"/>
        <v>0</v>
      </c>
      <c r="M74" s="669"/>
      <c r="N74" s="1442"/>
    </row>
    <row r="75" spans="2:14" ht="18">
      <c r="B75" s="47"/>
      <c r="C75" s="357" t="s">
        <v>1607</v>
      </c>
      <c r="D75" s="355" t="s">
        <v>750</v>
      </c>
      <c r="E75" s="351"/>
      <c r="F75" s="351"/>
      <c r="G75" s="351"/>
      <c r="H75" s="351"/>
      <c r="I75" s="350"/>
      <c r="J75" s="722">
        <f>+'T4'!E116</f>
        <v>0</v>
      </c>
      <c r="K75" s="722">
        <f t="shared" si="0"/>
        <v>0</v>
      </c>
      <c r="L75" s="722">
        <f t="shared" si="1"/>
        <v>0</v>
      </c>
      <c r="M75" s="669"/>
      <c r="N75" s="1442"/>
    </row>
    <row r="76" spans="2:14" ht="18">
      <c r="B76" s="47"/>
      <c r="C76" s="357" t="s">
        <v>390</v>
      </c>
      <c r="D76" s="355" t="s">
        <v>925</v>
      </c>
      <c r="E76" s="351"/>
      <c r="F76" s="351"/>
      <c r="G76" s="351"/>
      <c r="H76" s="351"/>
      <c r="I76" s="722">
        <f>+'T4'!E117</f>
        <v>0</v>
      </c>
      <c r="J76" s="722">
        <f>+'T4A'!E61</f>
        <v>0</v>
      </c>
      <c r="K76" s="722">
        <f t="shared" si="0"/>
        <v>0</v>
      </c>
      <c r="L76" s="722">
        <f t="shared" si="1"/>
        <v>0</v>
      </c>
      <c r="M76" s="669"/>
      <c r="N76" s="1442"/>
    </row>
    <row r="77" spans="2:14" ht="18">
      <c r="B77" s="47"/>
      <c r="C77" s="357" t="s">
        <v>390</v>
      </c>
      <c r="D77" s="355" t="s">
        <v>1817</v>
      </c>
      <c r="E77" s="351"/>
      <c r="F77" s="351"/>
      <c r="G77" s="351"/>
      <c r="H77" s="351"/>
      <c r="I77" s="350"/>
      <c r="J77" s="350"/>
      <c r="K77" s="722">
        <f t="shared" si="0"/>
        <v>0</v>
      </c>
      <c r="L77" s="722">
        <f t="shared" si="1"/>
        <v>0</v>
      </c>
      <c r="M77" s="669"/>
      <c r="N77" s="1442"/>
    </row>
    <row r="78" spans="2:14" ht="18">
      <c r="B78" s="47"/>
      <c r="C78" s="357" t="s">
        <v>390</v>
      </c>
      <c r="D78" s="355" t="s">
        <v>1818</v>
      </c>
      <c r="E78" s="351"/>
      <c r="F78" s="351"/>
      <c r="G78" s="351"/>
      <c r="H78" s="351"/>
      <c r="I78" s="350"/>
      <c r="J78" s="350"/>
      <c r="K78" s="722">
        <f t="shared" si="0"/>
        <v>0</v>
      </c>
      <c r="L78" s="722">
        <f t="shared" si="1"/>
        <v>0</v>
      </c>
      <c r="M78" s="669"/>
      <c r="N78" s="1442"/>
    </row>
    <row r="79" spans="2:14" ht="18">
      <c r="B79" s="47"/>
      <c r="C79" s="357" t="s">
        <v>390</v>
      </c>
      <c r="D79" s="355" t="s">
        <v>1819</v>
      </c>
      <c r="E79" s="351"/>
      <c r="F79" s="351"/>
      <c r="G79" s="351"/>
      <c r="H79" s="351"/>
      <c r="I79" s="350"/>
      <c r="J79" s="350"/>
      <c r="K79" s="722">
        <f t="shared" si="0"/>
        <v>0</v>
      </c>
      <c r="L79" s="722">
        <f t="shared" si="1"/>
        <v>0</v>
      </c>
      <c r="M79" s="669"/>
      <c r="N79" s="1442"/>
    </row>
    <row r="80" spans="2:14" ht="18">
      <c r="B80" s="47"/>
      <c r="C80" s="357" t="s">
        <v>1820</v>
      </c>
      <c r="D80" s="355"/>
      <c r="E80" s="351"/>
      <c r="F80" s="351"/>
      <c r="G80" s="351"/>
      <c r="H80" s="351"/>
      <c r="I80" s="350"/>
      <c r="J80" s="350"/>
      <c r="K80" s="722">
        <f t="shared" si="0"/>
        <v>0</v>
      </c>
      <c r="L80" s="722">
        <f t="shared" si="1"/>
        <v>0</v>
      </c>
      <c r="M80" s="669"/>
      <c r="N80" s="1442"/>
    </row>
    <row r="81" spans="2:14" ht="18">
      <c r="B81" s="47"/>
      <c r="C81" s="357" t="s">
        <v>2199</v>
      </c>
      <c r="D81" s="355"/>
      <c r="E81" s="351"/>
      <c r="F81" s="351"/>
      <c r="G81" s="351"/>
      <c r="H81" s="351"/>
      <c r="I81" s="350"/>
      <c r="J81" s="722">
        <f>+'T4A'!E62</f>
        <v>0</v>
      </c>
      <c r="K81" s="722">
        <f t="shared" si="0"/>
        <v>0</v>
      </c>
      <c r="L81" s="722">
        <f t="shared" si="1"/>
        <v>0</v>
      </c>
      <c r="M81" s="669"/>
      <c r="N81" s="1442"/>
    </row>
    <row r="82" spans="2:14" ht="18">
      <c r="B82" s="47"/>
      <c r="C82" s="357" t="s">
        <v>988</v>
      </c>
      <c r="D82" s="355" t="s">
        <v>656</v>
      </c>
      <c r="E82" s="351"/>
      <c r="F82" s="351"/>
      <c r="G82" s="351"/>
      <c r="H82" s="351"/>
      <c r="I82" s="350"/>
      <c r="J82" s="722">
        <f>+'T4'!E118</f>
        <v>0</v>
      </c>
      <c r="K82" s="722">
        <f t="shared" si="0"/>
        <v>0</v>
      </c>
      <c r="L82" s="722">
        <f t="shared" si="1"/>
        <v>0</v>
      </c>
      <c r="M82" s="669"/>
      <c r="N82" s="1442"/>
    </row>
    <row r="83" spans="2:14" ht="18">
      <c r="B83" s="47"/>
      <c r="C83" s="357" t="s">
        <v>2198</v>
      </c>
      <c r="D83" s="355"/>
      <c r="E83" s="351"/>
      <c r="F83" s="351"/>
      <c r="G83" s="351"/>
      <c r="H83" s="351"/>
      <c r="I83" s="350"/>
      <c r="J83" s="350"/>
      <c r="K83" s="722">
        <f t="shared" si="0"/>
        <v>0</v>
      </c>
      <c r="L83" s="722">
        <f t="shared" si="1"/>
        <v>0</v>
      </c>
      <c r="M83" s="669"/>
      <c r="N83" s="1442"/>
    </row>
    <row r="84" spans="2:14" ht="18">
      <c r="B84" s="47"/>
      <c r="C84" s="357" t="s">
        <v>1378</v>
      </c>
      <c r="D84" s="355" t="s">
        <v>483</v>
      </c>
      <c r="E84" s="383"/>
      <c r="F84" s="383"/>
      <c r="G84" s="383"/>
      <c r="H84" s="383"/>
      <c r="I84" s="387"/>
      <c r="J84" s="722">
        <f>+'T4'!E119</f>
        <v>0</v>
      </c>
      <c r="K84" s="722">
        <f t="shared" si="0"/>
        <v>0</v>
      </c>
      <c r="L84" s="722">
        <f t="shared" si="1"/>
        <v>0</v>
      </c>
      <c r="M84" s="669"/>
      <c r="N84" s="1442"/>
    </row>
    <row r="85" spans="2:14" ht="18">
      <c r="B85" s="47"/>
      <c r="C85" s="357" t="s">
        <v>1378</v>
      </c>
      <c r="D85" s="355" t="s">
        <v>6</v>
      </c>
      <c r="E85" s="383"/>
      <c r="F85" s="383"/>
      <c r="G85" s="383"/>
      <c r="H85" s="383"/>
      <c r="I85" s="387"/>
      <c r="J85" s="722">
        <f>'T4'!E120</f>
        <v>0</v>
      </c>
      <c r="K85" s="722">
        <f t="shared" si="0"/>
        <v>0</v>
      </c>
      <c r="L85" s="722">
        <f t="shared" si="1"/>
        <v>0</v>
      </c>
      <c r="M85" s="669"/>
      <c r="N85" s="1442"/>
    </row>
    <row r="86" spans="2:14" ht="18">
      <c r="B86" s="47"/>
      <c r="C86" s="357" t="s">
        <v>1378</v>
      </c>
      <c r="D86" s="355" t="s">
        <v>1496</v>
      </c>
      <c r="E86" s="383"/>
      <c r="F86" s="383"/>
      <c r="G86" s="383"/>
      <c r="H86" s="383"/>
      <c r="I86" s="383"/>
      <c r="J86" s="722">
        <f>+'T4'!E121</f>
        <v>0</v>
      </c>
      <c r="K86" s="722">
        <f>SUM(E86:J86)</f>
        <v>0</v>
      </c>
      <c r="L86" s="722">
        <f t="shared" si="1"/>
        <v>0</v>
      </c>
      <c r="M86" s="669"/>
      <c r="N86" s="1442"/>
    </row>
    <row r="87" spans="2:14" ht="18">
      <c r="B87" s="47"/>
      <c r="C87" s="357" t="s">
        <v>1378</v>
      </c>
      <c r="D87" s="355" t="s">
        <v>1617</v>
      </c>
      <c r="E87" s="383"/>
      <c r="F87" s="383"/>
      <c r="G87" s="383"/>
      <c r="H87" s="383"/>
      <c r="I87" s="383"/>
      <c r="J87" s="722">
        <f>'T4'!E122</f>
        <v>0</v>
      </c>
      <c r="K87" s="722">
        <f>SUM(E87:J87)</f>
        <v>0</v>
      </c>
      <c r="L87" s="722">
        <f t="shared" si="1"/>
        <v>0</v>
      </c>
      <c r="M87" s="669"/>
      <c r="N87" s="1442"/>
    </row>
    <row r="88" spans="2:14" ht="18">
      <c r="B88" s="47"/>
      <c r="C88" s="357"/>
      <c r="D88" s="355"/>
      <c r="E88" s="351"/>
      <c r="F88" s="351"/>
      <c r="G88" s="351"/>
      <c r="H88" s="351"/>
      <c r="I88" s="350"/>
      <c r="J88" s="350"/>
      <c r="K88" s="722"/>
      <c r="L88" s="722"/>
      <c r="M88" s="669"/>
      <c r="N88" s="1442"/>
    </row>
    <row r="89" spans="2:14" ht="18">
      <c r="B89" s="47"/>
      <c r="C89" s="357" t="s">
        <v>989</v>
      </c>
      <c r="D89" s="355"/>
      <c r="E89" s="351"/>
      <c r="F89" s="351"/>
      <c r="G89" s="351"/>
      <c r="H89" s="351"/>
      <c r="I89" s="350"/>
      <c r="J89" s="350"/>
      <c r="K89" s="722">
        <f t="shared" si="0"/>
        <v>0</v>
      </c>
      <c r="L89" s="722">
        <f t="shared" si="1"/>
        <v>0</v>
      </c>
      <c r="M89" s="669"/>
      <c r="N89" s="1442"/>
    </row>
    <row r="90" spans="2:14" ht="18">
      <c r="B90" s="47"/>
      <c r="C90" s="357" t="s">
        <v>451</v>
      </c>
      <c r="D90" s="355"/>
      <c r="E90" s="351"/>
      <c r="F90" s="351"/>
      <c r="G90" s="351"/>
      <c r="H90" s="351"/>
      <c r="I90" s="350"/>
      <c r="J90" s="350"/>
      <c r="K90" s="722">
        <f t="shared" si="0"/>
        <v>0</v>
      </c>
      <c r="L90" s="722">
        <f t="shared" si="1"/>
        <v>0</v>
      </c>
      <c r="M90" s="669"/>
      <c r="N90" s="1442"/>
    </row>
    <row r="91" spans="2:14" ht="18">
      <c r="B91" s="47"/>
      <c r="C91" s="357" t="s">
        <v>1377</v>
      </c>
      <c r="D91" s="355" t="s">
        <v>2285</v>
      </c>
      <c r="E91" s="351"/>
      <c r="F91" s="351"/>
      <c r="G91" s="351"/>
      <c r="H91" s="351"/>
      <c r="I91" s="350"/>
      <c r="J91" s="350"/>
      <c r="K91" s="722">
        <f t="shared" si="0"/>
        <v>0</v>
      </c>
      <c r="L91" s="722">
        <f t="shared" si="1"/>
        <v>0</v>
      </c>
      <c r="M91" s="669"/>
      <c r="N91" s="1442"/>
    </row>
    <row r="92" spans="2:14" ht="18">
      <c r="B92" s="47"/>
      <c r="C92" s="357"/>
      <c r="D92" s="355"/>
      <c r="E92" s="351"/>
      <c r="F92" s="351"/>
      <c r="G92" s="351"/>
      <c r="H92" s="351"/>
      <c r="I92" s="350"/>
      <c r="J92" s="350"/>
      <c r="K92" s="722"/>
      <c r="L92" s="722"/>
      <c r="M92" s="669"/>
      <c r="N92" s="1442"/>
    </row>
    <row r="93" spans="2:14" ht="18">
      <c r="B93" s="47"/>
      <c r="C93" s="50"/>
      <c r="D93" s="47"/>
      <c r="E93" s="52"/>
      <c r="F93" s="49"/>
      <c r="G93" s="49"/>
      <c r="H93" s="675"/>
      <c r="I93" s="675"/>
      <c r="J93" s="675"/>
      <c r="K93" s="49"/>
      <c r="L93" s="676"/>
      <c r="M93" s="669"/>
      <c r="N93" s="1442"/>
    </row>
    <row r="94" spans="2:14" ht="18">
      <c r="B94" s="47"/>
      <c r="C94" s="384" t="s">
        <v>1008</v>
      </c>
      <c r="D94" s="47"/>
      <c r="E94" s="52"/>
      <c r="F94" s="49"/>
      <c r="G94" s="49"/>
      <c r="H94" s="675"/>
      <c r="I94" s="675"/>
      <c r="J94" s="675"/>
      <c r="K94" s="49"/>
      <c r="L94" s="676"/>
      <c r="M94" s="669"/>
      <c r="N94" s="1442"/>
    </row>
  </sheetData>
  <sheetProtection password="EC35" sheet="1" objects="1" scenarios="1"/>
  <mergeCells count="1">
    <mergeCell ref="N1:N94"/>
  </mergeCells>
  <hyperlinks>
    <hyperlink ref="N1:N94" location="'GO TO'!G20" display=" "/>
  </hyperlinks>
  <printOptions horizontalCentered="1"/>
  <pageMargins left="0" right="0" top="0.5" bottom="0.25" header="0.5" footer="0.5"/>
  <pageSetup fitToHeight="0" fitToWidth="1" horizontalDpi="600" verticalDpi="600" orientation="landscape" scale="69" r:id="rId3"/>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B1:P32"/>
  <sheetViews>
    <sheetView zoomScale="72" zoomScaleNormal="72" workbookViewId="0" topLeftCell="A1">
      <selection activeCell="D7" sqref="D7"/>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6"/>
      <c r="C1" s="116"/>
      <c r="D1" s="393"/>
      <c r="E1" s="393"/>
      <c r="F1" s="414"/>
      <c r="G1" s="116"/>
      <c r="H1" s="941" t="s">
        <v>828</v>
      </c>
      <c r="I1" s="116"/>
      <c r="J1" s="116"/>
      <c r="K1" s="116"/>
      <c r="L1" s="116"/>
      <c r="M1" s="116"/>
      <c r="N1" s="116"/>
      <c r="O1" s="116"/>
      <c r="P1" s="1270" t="s">
        <v>1793</v>
      </c>
    </row>
    <row r="2" spans="2:16" ht="15" customHeight="1">
      <c r="B2" s="116"/>
      <c r="C2" s="116"/>
      <c r="D2" s="393"/>
      <c r="E2" s="393"/>
      <c r="F2" s="414"/>
      <c r="G2" s="116"/>
      <c r="H2" s="935" t="s">
        <v>1280</v>
      </c>
      <c r="I2" s="116"/>
      <c r="J2" s="116"/>
      <c r="K2" s="116"/>
      <c r="L2" s="116"/>
      <c r="M2" s="116"/>
      <c r="N2" s="116"/>
      <c r="O2" s="116"/>
      <c r="P2" s="1270"/>
    </row>
    <row r="3" spans="2:16" ht="15" customHeight="1">
      <c r="B3" s="116"/>
      <c r="C3" s="116"/>
      <c r="D3" s="393"/>
      <c r="E3" s="393"/>
      <c r="F3" s="414"/>
      <c r="G3" s="116"/>
      <c r="H3" s="934" t="s">
        <v>1794</v>
      </c>
      <c r="I3" s="116"/>
      <c r="J3" s="116"/>
      <c r="K3" s="116"/>
      <c r="L3" s="116"/>
      <c r="M3" s="116"/>
      <c r="N3" s="116"/>
      <c r="O3" s="116"/>
      <c r="P3" s="1270"/>
    </row>
    <row r="4" spans="2:16" ht="15" customHeight="1">
      <c r="B4" s="116"/>
      <c r="C4" s="116"/>
      <c r="D4" s="393"/>
      <c r="E4" s="393"/>
      <c r="F4" s="414"/>
      <c r="G4" s="116"/>
      <c r="H4" s="935" t="s">
        <v>1795</v>
      </c>
      <c r="I4" s="116"/>
      <c r="J4" s="116"/>
      <c r="K4" s="116"/>
      <c r="L4" s="116"/>
      <c r="M4" s="116"/>
      <c r="N4" s="116"/>
      <c r="O4" s="116"/>
      <c r="P4" s="1270"/>
    </row>
    <row r="5" spans="2:16" ht="15" customHeight="1">
      <c r="B5" s="116"/>
      <c r="C5" s="116"/>
      <c r="D5" s="116"/>
      <c r="E5" s="116"/>
      <c r="F5" s="116"/>
      <c r="G5" s="116"/>
      <c r="H5" s="935" t="s">
        <v>672</v>
      </c>
      <c r="I5" s="116"/>
      <c r="J5" s="116"/>
      <c r="K5" s="116"/>
      <c r="L5" s="116"/>
      <c r="M5" s="116"/>
      <c r="N5" s="116"/>
      <c r="O5" s="116"/>
      <c r="P5" s="1270"/>
    </row>
    <row r="6" spans="2:16" ht="31.5" customHeight="1">
      <c r="B6" s="413" t="s">
        <v>1279</v>
      </c>
      <c r="C6" s="397"/>
      <c r="D6" s="391" t="s">
        <v>403</v>
      </c>
      <c r="E6" s="392"/>
      <c r="F6" s="399"/>
      <c r="G6" s="413" t="s">
        <v>1279</v>
      </c>
      <c r="H6" s="397"/>
      <c r="I6" s="391" t="s">
        <v>403</v>
      </c>
      <c r="J6" s="392"/>
      <c r="K6" s="394"/>
      <c r="L6" s="413" t="s">
        <v>1279</v>
      </c>
      <c r="M6" s="1283" t="s">
        <v>532</v>
      </c>
      <c r="N6" s="1284"/>
      <c r="O6" s="1285"/>
      <c r="P6" s="1270"/>
    </row>
    <row r="7" spans="2:16" ht="16.5" customHeight="1">
      <c r="B7" s="932" t="s">
        <v>404</v>
      </c>
      <c r="C7" s="130"/>
      <c r="D7" s="395" t="str">
        <f>IF('T1 GEN-1'!D14="","No","Yes")</f>
        <v>No</v>
      </c>
      <c r="E7" s="134"/>
      <c r="F7" s="394"/>
      <c r="G7" s="936" t="s">
        <v>986</v>
      </c>
      <c r="H7" s="131"/>
      <c r="I7" s="395" t="str">
        <f>IF(SUM('T4'!J18:J54)=0,"No","Yes")</f>
        <v>No</v>
      </c>
      <c r="J7" s="132"/>
      <c r="K7" s="394"/>
      <c r="L7" s="131" t="s">
        <v>1375</v>
      </c>
      <c r="M7" s="1090" t="s">
        <v>527</v>
      </c>
      <c r="N7" s="1290"/>
      <c r="O7" s="1291"/>
      <c r="P7" s="1270"/>
    </row>
    <row r="8" spans="2:16" ht="16.5" customHeight="1">
      <c r="B8" s="933" t="s">
        <v>405</v>
      </c>
      <c r="C8" s="131"/>
      <c r="D8" s="395" t="str">
        <f>IF('T1 GEN-2-3-4'!K101+'T1 GEN-2-3-4'!I42+ABS('T1 GEN-2-3-4'!K131)=0,"No","Yes")</f>
        <v>No</v>
      </c>
      <c r="E8" s="132"/>
      <c r="F8" s="394"/>
      <c r="G8" s="936" t="s">
        <v>987</v>
      </c>
      <c r="H8" s="131"/>
      <c r="I8" s="395" t="str">
        <f>IF(SUM('T4A'!J15:J43)=0,"No","Yes")</f>
        <v>No</v>
      </c>
      <c r="J8" s="132"/>
      <c r="K8" s="394"/>
      <c r="L8" s="131" t="s">
        <v>529</v>
      </c>
      <c r="M8" s="1090" t="s">
        <v>527</v>
      </c>
      <c r="N8" s="1288" t="s">
        <v>528</v>
      </c>
      <c r="O8" s="1289"/>
      <c r="P8" s="1270"/>
    </row>
    <row r="9" spans="2:16" ht="16.5" customHeight="1">
      <c r="B9" s="933" t="s">
        <v>2197</v>
      </c>
      <c r="C9" s="131"/>
      <c r="D9" s="395" t="str">
        <f>D8</f>
        <v>No</v>
      </c>
      <c r="E9" s="132"/>
      <c r="F9" s="394"/>
      <c r="G9" s="936" t="s">
        <v>2144</v>
      </c>
      <c r="H9" s="131"/>
      <c r="I9" s="395" t="str">
        <f>IF(SUM('T4A(OAS)'!J17:J27)=0,"No","Yes")</f>
        <v>No</v>
      </c>
      <c r="J9" s="132"/>
      <c r="K9" s="394"/>
      <c r="L9" s="131" t="s">
        <v>2269</v>
      </c>
      <c r="M9" s="1090" t="s">
        <v>527</v>
      </c>
      <c r="N9" s="1290"/>
      <c r="O9" s="1291"/>
      <c r="P9" s="1270"/>
    </row>
    <row r="10" spans="2:16" ht="16.5" customHeight="1">
      <c r="B10" s="933" t="s">
        <v>1606</v>
      </c>
      <c r="C10" s="131"/>
      <c r="D10" s="396" t="str">
        <f>IF(Sch1!H6=0,"No","Yes")</f>
        <v>No</v>
      </c>
      <c r="E10" s="132"/>
      <c r="F10" s="394"/>
      <c r="G10" s="936" t="s">
        <v>1447</v>
      </c>
      <c r="H10" s="131"/>
      <c r="I10" s="395" t="str">
        <f>IF(SUM('T4A(P)'!E27:E29)=0,"No","Yes")</f>
        <v>No</v>
      </c>
      <c r="J10" s="132"/>
      <c r="K10" s="394"/>
      <c r="L10" s="131" t="s">
        <v>985</v>
      </c>
      <c r="M10" s="130" t="s">
        <v>531</v>
      </c>
      <c r="N10" s="1088"/>
      <c r="O10" s="134"/>
      <c r="P10" s="1270"/>
    </row>
    <row r="11" spans="2:16" ht="16.5" customHeight="1">
      <c r="B11" s="933" t="s">
        <v>824</v>
      </c>
      <c r="C11" s="131"/>
      <c r="D11" s="395" t="str">
        <f>IF(Sch2!J20=0,"No","Yes")</f>
        <v>No</v>
      </c>
      <c r="E11" s="132"/>
      <c r="F11" s="394"/>
      <c r="G11" s="936" t="s">
        <v>2200</v>
      </c>
      <c r="H11" s="131"/>
      <c r="I11" s="395" t="str">
        <f>IF(SUM('T4E'!J19:J39)=0,"No","Yes")</f>
        <v>No</v>
      </c>
      <c r="J11" s="132"/>
      <c r="K11" s="394"/>
      <c r="L11" s="131" t="s">
        <v>1843</v>
      </c>
      <c r="M11" s="1093" t="s">
        <v>531</v>
      </c>
      <c r="N11" s="1092"/>
      <c r="O11" s="134"/>
      <c r="P11" s="1270"/>
    </row>
    <row r="12" spans="2:16" ht="16.5" customHeight="1">
      <c r="B12" s="933" t="s">
        <v>1777</v>
      </c>
      <c r="C12" s="131"/>
      <c r="D12" s="395" t="str">
        <f>IF(Sch3!K61=0,"No","Yes")</f>
        <v>No</v>
      </c>
      <c r="E12" s="132"/>
      <c r="F12" s="394"/>
      <c r="G12" s="131"/>
      <c r="H12" s="131"/>
      <c r="I12" s="395"/>
      <c r="J12" s="132"/>
      <c r="K12" s="394"/>
      <c r="L12" s="131" t="s">
        <v>643</v>
      </c>
      <c r="M12" s="1090" t="s">
        <v>527</v>
      </c>
      <c r="N12" s="130"/>
      <c r="O12" s="132"/>
      <c r="P12" s="1270"/>
    </row>
    <row r="13" spans="2:16" ht="16.5" customHeight="1">
      <c r="B13" s="933" t="s">
        <v>1815</v>
      </c>
      <c r="C13" s="131"/>
      <c r="D13" s="395" t="str">
        <f>IF(Sch4!E14+Sch4!E17+Sch4!E22+Sch4!E28=0,"No","Yes")</f>
        <v>No</v>
      </c>
      <c r="E13" s="132"/>
      <c r="F13" s="394"/>
      <c r="G13" s="936" t="s">
        <v>2201</v>
      </c>
      <c r="H13" s="131"/>
      <c r="I13" s="395" t="str">
        <f>IF(SUM('T4PS'!J28:J45)=0,"No","Yes")</f>
        <v>No</v>
      </c>
      <c r="J13" s="132"/>
      <c r="K13" s="394"/>
      <c r="L13" s="131" t="s">
        <v>644</v>
      </c>
      <c r="M13" s="1090" t="s">
        <v>527</v>
      </c>
      <c r="N13" s="1286"/>
      <c r="O13" s="1287"/>
      <c r="P13" s="1270"/>
    </row>
    <row r="14" spans="2:16" ht="16.5" customHeight="1">
      <c r="B14" s="933" t="s">
        <v>826</v>
      </c>
      <c r="C14" s="131"/>
      <c r="D14" s="396" t="str">
        <f>D13</f>
        <v>No</v>
      </c>
      <c r="E14" s="132"/>
      <c r="F14" s="394"/>
      <c r="G14" s="936" t="s">
        <v>1842</v>
      </c>
      <c r="H14" s="131"/>
      <c r="I14" s="395" t="str">
        <f>IF(SUM('T4RIF'!J15:J35)&gt;0,"Yes","No")</f>
        <v>No</v>
      </c>
      <c r="J14" s="132"/>
      <c r="K14" s="394"/>
      <c r="L14" s="131" t="s">
        <v>1641</v>
      </c>
      <c r="M14" s="1090" t="s">
        <v>527</v>
      </c>
      <c r="N14" s="1286"/>
      <c r="O14" s="1287"/>
      <c r="P14" s="1270"/>
    </row>
    <row r="15" spans="2:16" ht="16.5" customHeight="1">
      <c r="B15" s="933" t="s">
        <v>825</v>
      </c>
      <c r="C15" s="131"/>
      <c r="D15" s="395" t="str">
        <f>IF(Sch5!H16+Sch5!H24+Sch5!H31=0,"No","Yes")</f>
        <v>No</v>
      </c>
      <c r="E15" s="132"/>
      <c r="F15" s="394"/>
      <c r="G15" s="936" t="s">
        <v>2202</v>
      </c>
      <c r="H15" s="131"/>
      <c r="I15" s="395" t="str">
        <f>IF(SUM('T4RSP'!J16:J44)&gt;0,"Yes","No")</f>
        <v>No</v>
      </c>
      <c r="J15" s="132"/>
      <c r="K15" s="394"/>
      <c r="L15" s="131" t="s">
        <v>645</v>
      </c>
      <c r="M15" s="1090" t="s">
        <v>527</v>
      </c>
      <c r="N15" s="1286"/>
      <c r="O15" s="1287"/>
      <c r="P15" s="1270"/>
    </row>
    <row r="16" spans="2:16" ht="16.5" customHeight="1">
      <c r="B16" s="933" t="s">
        <v>1816</v>
      </c>
      <c r="C16" s="131"/>
      <c r="D16" s="395" t="str">
        <f>IF(Sch7!I44=0,"No","Yes")</f>
        <v>No</v>
      </c>
      <c r="E16" s="132"/>
      <c r="F16" s="394"/>
      <c r="G16" s="936" t="s">
        <v>823</v>
      </c>
      <c r="H16" s="131"/>
      <c r="I16" s="395" t="str">
        <f>IF('T778'!E35=0,"No","Yes")</f>
        <v>No</v>
      </c>
      <c r="J16" s="132"/>
      <c r="K16" s="394"/>
      <c r="L16" s="131" t="s">
        <v>646</v>
      </c>
      <c r="M16" s="1090" t="s">
        <v>527</v>
      </c>
      <c r="N16" s="1286"/>
      <c r="O16" s="1287"/>
      <c r="P16" s="1270"/>
    </row>
    <row r="17" spans="2:16" ht="16.5" customHeight="1">
      <c r="B17" s="933" t="s">
        <v>1607</v>
      </c>
      <c r="C17" s="131"/>
      <c r="D17" s="395" t="str">
        <f>IF(Sch8!I14=0,"No","Yes")</f>
        <v>No</v>
      </c>
      <c r="E17" s="132"/>
      <c r="F17" s="394"/>
      <c r="G17" s="936" t="s">
        <v>1378</v>
      </c>
      <c r="H17" s="131"/>
      <c r="I17" s="395" t="str">
        <f>IF('T2204'!I23+'T2204'!I58=0,"No","Yes")</f>
        <v>No</v>
      </c>
      <c r="J17" s="132"/>
      <c r="K17" s="394"/>
      <c r="L17" s="131" t="s">
        <v>2199</v>
      </c>
      <c r="M17" s="1090" t="s">
        <v>527</v>
      </c>
      <c r="N17" s="1286"/>
      <c r="O17" s="1287"/>
      <c r="P17" s="1270"/>
    </row>
    <row r="18" spans="2:16" ht="16.5" customHeight="1">
      <c r="B18" s="933" t="s">
        <v>390</v>
      </c>
      <c r="C18" s="131"/>
      <c r="D18" s="395" t="str">
        <f>IF(Sch9!I28=0,"No","Yes")</f>
        <v>No</v>
      </c>
      <c r="E18" s="132"/>
      <c r="F18" s="394"/>
      <c r="G18" s="936" t="s">
        <v>450</v>
      </c>
      <c r="H18" s="131"/>
      <c r="I18" s="395" t="str">
        <f>IF('T2205'!E14&gt;0,"Yes","No")</f>
        <v>No</v>
      </c>
      <c r="J18" s="132"/>
      <c r="K18" s="394"/>
      <c r="L18" s="131" t="s">
        <v>1786</v>
      </c>
      <c r="M18" s="1090" t="s">
        <v>527</v>
      </c>
      <c r="N18" s="1286"/>
      <c r="O18" s="1287"/>
      <c r="P18" s="1270"/>
    </row>
    <row r="19" spans="2:16" ht="16.5" customHeight="1">
      <c r="B19" s="933" t="s">
        <v>827</v>
      </c>
      <c r="C19" s="131"/>
      <c r="D19" s="395" t="str">
        <f>IF(Sch11!K29=0,"No","Yes")</f>
        <v>No</v>
      </c>
      <c r="E19" s="132"/>
      <c r="F19" s="394"/>
      <c r="G19" s="936" t="s">
        <v>1836</v>
      </c>
      <c r="H19" s="131"/>
      <c r="I19" s="395" t="str">
        <f>IF(SUM('T5007'!J17:J19)=0,"No","Yes")</f>
        <v>No</v>
      </c>
      <c r="J19" s="132"/>
      <c r="K19" s="394"/>
      <c r="L19" s="131" t="s">
        <v>545</v>
      </c>
      <c r="M19" s="1090" t="s">
        <v>527</v>
      </c>
      <c r="N19" s="1092"/>
      <c r="O19" s="1094"/>
      <c r="P19" s="1270"/>
    </row>
    <row r="20" spans="2:16" ht="16.5" customHeight="1">
      <c r="B20" s="933" t="s">
        <v>639</v>
      </c>
      <c r="C20" s="131"/>
      <c r="D20" s="607" t="str">
        <f>IF(VLOOKUP("WRK",'T1 GEN-2-3-4'!$D$48:$H$51,5,FALSE)&gt;0,"Yes","No")</f>
        <v>Yes</v>
      </c>
      <c r="E20" s="132"/>
      <c r="F20" s="394"/>
      <c r="G20" s="936" t="s">
        <v>1044</v>
      </c>
      <c r="H20" s="131"/>
      <c r="I20" s="395" t="str">
        <f>IF(SUM(MISC!L21:L91)=0,"No","Yes")</f>
        <v>No</v>
      </c>
      <c r="J20" s="132"/>
      <c r="K20" s="394"/>
      <c r="L20" s="131" t="s">
        <v>839</v>
      </c>
      <c r="M20" s="1090" t="s">
        <v>527</v>
      </c>
      <c r="N20" s="1286"/>
      <c r="O20" s="1287"/>
      <c r="P20" s="1270"/>
    </row>
    <row r="21" spans="2:16" ht="16.5" customHeight="1">
      <c r="B21" s="933" t="s">
        <v>1851</v>
      </c>
      <c r="C21" s="131"/>
      <c r="D21" s="607" t="str">
        <f>$D$8</f>
        <v>No</v>
      </c>
      <c r="E21" s="132"/>
      <c r="F21" s="394"/>
      <c r="G21" s="131"/>
      <c r="H21" s="131"/>
      <c r="I21" s="398"/>
      <c r="J21" s="132"/>
      <c r="K21" s="394"/>
      <c r="L21" s="131" t="s">
        <v>1545</v>
      </c>
      <c r="M21" s="1090" t="s">
        <v>527</v>
      </c>
      <c r="N21" s="1286"/>
      <c r="O21" s="1287"/>
      <c r="P21" s="1270"/>
    </row>
    <row r="22" spans="2:16" ht="16.5" customHeight="1">
      <c r="B22" s="933" t="s">
        <v>447</v>
      </c>
      <c r="C22" s="131"/>
      <c r="D22" s="608" t="str">
        <f>IF(VLOOKUP("S479",'T1 GEN-2-3-4'!$D$48:$H$51,5,FALSE)&gt;0,"Yes","No")</f>
        <v>No</v>
      </c>
      <c r="E22" s="132"/>
      <c r="F22" s="394"/>
      <c r="G22" s="936" t="s">
        <v>1402</v>
      </c>
      <c r="H22" s="131"/>
      <c r="I22" s="396" t="s">
        <v>273</v>
      </c>
      <c r="J22" s="132"/>
      <c r="K22" s="394"/>
      <c r="L22" s="131" t="s">
        <v>2198</v>
      </c>
      <c r="M22" s="1090" t="s">
        <v>527</v>
      </c>
      <c r="N22" s="1286"/>
      <c r="O22" s="1287"/>
      <c r="P22" s="1270"/>
    </row>
    <row r="23" spans="2:16" ht="16.5" customHeight="1">
      <c r="B23" s="933" t="s">
        <v>640</v>
      </c>
      <c r="C23" s="131"/>
      <c r="D23" s="608" t="str">
        <f>IF(VLOOKUP("S2",'T1 GEN-2-3-4'!$D$48:$H$51,5,FALSE)&gt;0,"Yes","No")</f>
        <v>No</v>
      </c>
      <c r="E23" s="132"/>
      <c r="F23" s="394"/>
      <c r="G23" s="936" t="s">
        <v>1331</v>
      </c>
      <c r="H23" s="131"/>
      <c r="I23" s="396" t="s">
        <v>273</v>
      </c>
      <c r="J23" s="132"/>
      <c r="K23" s="394"/>
      <c r="L23" s="131" t="s">
        <v>444</v>
      </c>
      <c r="M23" s="1090" t="s">
        <v>527</v>
      </c>
      <c r="N23" s="1286"/>
      <c r="O23" s="1287"/>
      <c r="P23" s="1270"/>
    </row>
    <row r="24" spans="2:16" ht="16.5" customHeight="1">
      <c r="B24" s="933" t="s">
        <v>641</v>
      </c>
      <c r="C24" s="131"/>
      <c r="D24" s="608" t="str">
        <f>IF(VLOOKUP("S11",'T1 GEN-2-3-4'!$D$48:$H$51,5,FALSE)&gt;0,"Yes","No")</f>
        <v>No</v>
      </c>
      <c r="E24" s="132"/>
      <c r="F24" s="394"/>
      <c r="G24" s="936" t="s">
        <v>544</v>
      </c>
      <c r="H24" s="131"/>
      <c r="I24" s="396" t="s">
        <v>273</v>
      </c>
      <c r="J24" s="132"/>
      <c r="K24" s="394"/>
      <c r="L24" s="131" t="s">
        <v>989</v>
      </c>
      <c r="M24" s="1090" t="s">
        <v>527</v>
      </c>
      <c r="N24" s="1286"/>
      <c r="O24" s="1287"/>
      <c r="P24" s="1270"/>
    </row>
    <row r="25" spans="2:16" ht="16.5" customHeight="1">
      <c r="B25" s="394"/>
      <c r="C25" s="131"/>
      <c r="D25" s="396"/>
      <c r="E25" s="132"/>
      <c r="F25" s="394"/>
      <c r="G25" s="936" t="s">
        <v>829</v>
      </c>
      <c r="H25" s="131"/>
      <c r="I25" s="396" t="s">
        <v>273</v>
      </c>
      <c r="J25" s="132"/>
      <c r="K25" s="394"/>
      <c r="L25" s="131" t="s">
        <v>543</v>
      </c>
      <c r="M25" s="1122" t="s">
        <v>527</v>
      </c>
      <c r="N25" s="1092"/>
      <c r="O25" s="1094"/>
      <c r="P25" s="1270"/>
    </row>
    <row r="26" spans="2:16" ht="16.5" customHeight="1">
      <c r="B26" s="394"/>
      <c r="C26" s="131"/>
      <c r="D26" s="396"/>
      <c r="E26" s="132"/>
      <c r="F26" s="394"/>
      <c r="G26" s="936" t="s">
        <v>1941</v>
      </c>
      <c r="H26" s="131"/>
      <c r="I26" s="396" t="s">
        <v>273</v>
      </c>
      <c r="J26" s="132"/>
      <c r="K26" s="394"/>
      <c r="L26" s="131" t="s">
        <v>1045</v>
      </c>
      <c r="M26" s="1093" t="s">
        <v>531</v>
      </c>
      <c r="N26" s="1092"/>
      <c r="O26" s="1094"/>
      <c r="P26" s="1270"/>
    </row>
    <row r="27" spans="2:16" ht="16.5" customHeight="1">
      <c r="B27" s="394"/>
      <c r="C27" s="131"/>
      <c r="D27" s="396"/>
      <c r="E27" s="132"/>
      <c r="F27" s="394"/>
      <c r="G27" s="131"/>
      <c r="H27" s="131"/>
      <c r="I27" s="131"/>
      <c r="J27" s="132"/>
      <c r="K27" s="394"/>
      <c r="L27" s="1089" t="s">
        <v>526</v>
      </c>
      <c r="M27" s="1091" t="s">
        <v>527</v>
      </c>
      <c r="N27" s="1088"/>
      <c r="O27" s="132"/>
      <c r="P27" s="1270"/>
    </row>
    <row r="28" spans="2:15" ht="15">
      <c r="B28" s="1018" t="s">
        <v>521</v>
      </c>
      <c r="C28" s="129"/>
      <c r="D28" s="765"/>
      <c r="E28" s="129"/>
      <c r="F28" s="129"/>
      <c r="G28" s="129"/>
      <c r="H28" s="129"/>
      <c r="I28" s="765"/>
      <c r="J28" s="129"/>
      <c r="K28" s="129"/>
      <c r="L28" s="767"/>
      <c r="M28" s="129"/>
      <c r="N28" s="766"/>
      <c r="O28" s="766"/>
    </row>
    <row r="29" spans="2:15" ht="15">
      <c r="B29" s="116" t="s">
        <v>522</v>
      </c>
      <c r="C29" s="129"/>
      <c r="D29" s="765"/>
      <c r="E29" s="129"/>
      <c r="F29" s="129"/>
      <c r="G29" s="129"/>
      <c r="H29" s="129"/>
      <c r="I29" s="765"/>
      <c r="J29" s="129"/>
      <c r="K29" s="129"/>
      <c r="L29" s="1017"/>
      <c r="M29" s="129"/>
      <c r="N29" s="766"/>
      <c r="O29" s="766"/>
    </row>
    <row r="30" spans="2:15" ht="15">
      <c r="B30" s="1019" t="s">
        <v>530</v>
      </c>
      <c r="C30" s="129"/>
      <c r="D30" s="765"/>
      <c r="E30" s="129"/>
      <c r="F30" s="129"/>
      <c r="G30" s="129"/>
      <c r="H30" s="129"/>
      <c r="I30" s="765"/>
      <c r="J30" s="129"/>
      <c r="K30" s="129"/>
      <c r="L30" s="1017"/>
      <c r="M30" s="129"/>
      <c r="N30" s="766"/>
      <c r="O30" s="766"/>
    </row>
    <row r="31" spans="2:15" ht="15">
      <c r="B31" s="1019" t="s">
        <v>1484</v>
      </c>
      <c r="C31" s="129"/>
      <c r="D31" s="765"/>
      <c r="E31" s="129"/>
      <c r="F31" s="129"/>
      <c r="G31" s="129"/>
      <c r="H31" s="129"/>
      <c r="I31" s="765"/>
      <c r="J31" s="129"/>
      <c r="K31" s="129"/>
      <c r="L31" s="1017"/>
      <c r="M31" s="129"/>
      <c r="N31" s="766"/>
      <c r="O31" s="766"/>
    </row>
    <row r="32" spans="2:15" ht="15">
      <c r="B32" s="1019"/>
      <c r="C32" s="116"/>
      <c r="D32" s="116"/>
      <c r="E32" s="116"/>
      <c r="F32" s="116"/>
      <c r="G32" s="116"/>
      <c r="H32" s="116"/>
      <c r="I32" s="116"/>
      <c r="J32" s="116"/>
      <c r="K32" s="116"/>
      <c r="L32" s="1017"/>
      <c r="M32" s="116"/>
      <c r="N32" s="116"/>
      <c r="O32" s="116"/>
    </row>
  </sheetData>
  <sheetProtection password="EC35" sheet="1" objects="1" scenarios="1"/>
  <mergeCells count="16">
    <mergeCell ref="N24:O24"/>
    <mergeCell ref="N9:O9"/>
    <mergeCell ref="N18:O18"/>
    <mergeCell ref="N20:O20"/>
    <mergeCell ref="N21:O21"/>
    <mergeCell ref="N22:O22"/>
    <mergeCell ref="P1:P27"/>
    <mergeCell ref="M6:O6"/>
    <mergeCell ref="N13:O13"/>
    <mergeCell ref="N14:O14"/>
    <mergeCell ref="N15:O15"/>
    <mergeCell ref="N16:O16"/>
    <mergeCell ref="N17:O17"/>
    <mergeCell ref="N8:O8"/>
    <mergeCell ref="N7:O7"/>
    <mergeCell ref="N23:O23"/>
  </mergeCells>
  <hyperlinks>
    <hyperlink ref="B7" location="'T1 GEN-1'!D11" display="T1 GEN-1"/>
    <hyperlink ref="B8" location="'T1 GEN-2-3-4'!B4" display="T1 GEN-2-3-4"/>
    <hyperlink ref="B9" location="'FED WRK'!B8" display="FED WRK"/>
    <hyperlink ref="B10" location="Sch1!B1" display="Sch1"/>
    <hyperlink ref="G17" location="'T2204'!I17" display="T2204"/>
    <hyperlink ref="B11" location="Sch2!I12" display="Sch2"/>
    <hyperlink ref="B12" location="Sch3!B13" display="Sch3"/>
    <hyperlink ref="B13" location="Sch4!B8" display="Sch4"/>
    <hyperlink ref="B14" location="'Sch4-2'!B12" display="Sch4-2"/>
    <hyperlink ref="B15" location="Sch5!D10" display="Sch5"/>
    <hyperlink ref="B16" location="Sch7!E13" display="Sch7"/>
    <hyperlink ref="B17" location="Sch8!I13" display="Sch8"/>
    <hyperlink ref="B18" location="Sch9!G6" display="Sch9"/>
    <hyperlink ref="B19" location="Sch11!I13" display="Sch11"/>
    <hyperlink ref="G22" location="QUAL!E10" display="QUAL"/>
    <hyperlink ref="G23" location="README!A1" display="README"/>
    <hyperlink ref="G25" location="'GO TO'!P1" display="GO TO"/>
    <hyperlink ref="G26" location="HELP!A1" display="HELP"/>
    <hyperlink ref="G20" location="MISC!E21" display="MISC"/>
    <hyperlink ref="P1:P27" location="'GO TO'!G24" display=" "/>
    <hyperlink ref="G13" location="T4PS!E17" display="T4PS"/>
    <hyperlink ref="G18" location="'T2205'!B9" display="T2205"/>
    <hyperlink ref="G19"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20" location="'NS WRK'!A7" display="NS WRK"/>
    <hyperlink ref="B21" location="NS428!B8" display="NS428"/>
    <hyperlink ref="B22" location="NS479!A7" display="NS479"/>
    <hyperlink ref="B23" location="'NS(S2)'!B7" display="NS(S2)"/>
    <hyperlink ref="B24" location="'NS(S11)'!A8" display="NS(S11)"/>
    <hyperlink ref="M9" r:id="rId1" display="PDF"/>
    <hyperlink ref="M27" r:id="rId2" display="PDF"/>
    <hyperlink ref="M7" r:id="rId3" display="PDF"/>
    <hyperlink ref="M8" r:id="rId4" display="PDF"/>
    <hyperlink ref="N8:O8" r:id="rId5" display="PDF Fillable"/>
    <hyperlink ref="M12" r:id="rId6" display="PDF"/>
    <hyperlink ref="M13" r:id="rId7" display="PDF"/>
    <hyperlink ref="M14" r:id="rId8" display="PDF"/>
    <hyperlink ref="M15" r:id="rId9" display="PDF"/>
    <hyperlink ref="M16" r:id="rId10" display="PDF"/>
    <hyperlink ref="M17" r:id="rId11" display="PDF"/>
    <hyperlink ref="M18" r:id="rId12" display="PDF"/>
    <hyperlink ref="M20" r:id="rId13" display="PDF"/>
    <hyperlink ref="M21" r:id="rId14" display="PDF"/>
    <hyperlink ref="M22" r:id="rId15" display="PDF"/>
    <hyperlink ref="M23" r:id="rId16" display="PDF"/>
    <hyperlink ref="M24" r:id="rId17" display="PDF"/>
    <hyperlink ref="G24" location="'What''s New'!A1" display="WHAT'S NEW"/>
    <hyperlink ref="M25" r:id="rId18" display="PDF"/>
    <hyperlink ref="M19" r:id="rId19" display="PDF"/>
  </hyperlinks>
  <printOptions horizontalCentered="1" verticalCentered="1"/>
  <pageMargins left="0.5" right="0.5" top="1" bottom="0.5" header="0.5" footer="0.5"/>
  <pageSetup fitToHeight="0" fitToWidth="1" horizontalDpi="600" verticalDpi="600" orientation="landscape" r:id="rId20"/>
</worksheet>
</file>

<file path=xl/worksheets/sheet5.xml><?xml version="1.0" encoding="utf-8"?>
<worksheet xmlns="http://schemas.openxmlformats.org/spreadsheetml/2006/main" xmlns:r="http://schemas.openxmlformats.org/officeDocument/2006/relationships">
  <sheetPr codeName="Sheet5">
    <pageSetUpPr fitToPage="1"/>
  </sheetPr>
  <dimension ref="A1:H30"/>
  <sheetViews>
    <sheetView showGridLines="0" zoomScale="85" zoomScaleNormal="85" workbookViewId="0" topLeftCell="A1">
      <selection activeCell="A1" sqref="A1"/>
    </sheetView>
  </sheetViews>
  <sheetFormatPr defaultColWidth="7.10546875" defaultRowHeight="15"/>
  <cols>
    <col min="1" max="1" width="7.10546875" style="502" customWidth="1"/>
    <col min="2" max="2" width="11.5546875" style="502" customWidth="1"/>
    <col min="3" max="3" width="12.3359375" style="502" customWidth="1"/>
    <col min="4" max="4" width="35.3359375" style="502" customWidth="1"/>
    <col min="5" max="6" width="7.10546875" style="502" customWidth="1"/>
    <col min="7" max="7" width="3.88671875" style="502" hidden="1" customWidth="1"/>
    <col min="8" max="16384" width="7.10546875" style="502" customWidth="1"/>
  </cols>
  <sheetData>
    <row r="1" spans="1:8" ht="18">
      <c r="A1" s="510"/>
      <c r="B1" s="510"/>
      <c r="C1" s="510"/>
      <c r="D1" s="519" t="s">
        <v>1079</v>
      </c>
      <c r="E1" s="510"/>
      <c r="F1" s="510"/>
      <c r="G1" s="504" t="s">
        <v>1623</v>
      </c>
      <c r="H1" s="1292" t="s">
        <v>1793</v>
      </c>
    </row>
    <row r="2" spans="1:8" ht="12.75">
      <c r="A2" s="510"/>
      <c r="B2" s="510"/>
      <c r="C2" s="510"/>
      <c r="D2" s="510"/>
      <c r="E2" s="510"/>
      <c r="F2" s="510"/>
      <c r="H2" s="1292"/>
    </row>
    <row r="3" spans="1:8" ht="13.5" customHeight="1">
      <c r="A3" s="783" t="s">
        <v>1977</v>
      </c>
      <c r="B3" s="510"/>
      <c r="C3" s="510"/>
      <c r="D3" s="510"/>
      <c r="E3" s="510"/>
      <c r="F3" s="510"/>
      <c r="H3" s="1292"/>
    </row>
    <row r="4" spans="1:8" ht="13.5" customHeight="1">
      <c r="A4" s="783" t="str">
        <f>"Consult the General Income Tax and Benefit Guide "&amp;yeartext&amp;" for the qualification rules."</f>
        <v>Consult the General Income Tax and Benefit Guide 2006 for the qualification rules.</v>
      </c>
      <c r="B4" s="510"/>
      <c r="C4" s="510"/>
      <c r="D4" s="510"/>
      <c r="E4" s="510"/>
      <c r="F4" s="510"/>
      <c r="H4" s="1292"/>
    </row>
    <row r="5" spans="1:8" ht="13.5" customHeight="1">
      <c r="A5" s="783" t="s">
        <v>1976</v>
      </c>
      <c r="B5" s="510"/>
      <c r="C5" s="510"/>
      <c r="D5" s="510"/>
      <c r="E5" s="510"/>
      <c r="F5" s="510"/>
      <c r="H5" s="1292"/>
    </row>
    <row r="6" spans="1:8" ht="12.75">
      <c r="A6" s="784"/>
      <c r="B6" s="510"/>
      <c r="C6" s="510"/>
      <c r="D6" s="510"/>
      <c r="E6" s="510"/>
      <c r="F6" s="510"/>
      <c r="H6" s="1292"/>
    </row>
    <row r="7" spans="1:8" ht="12.75">
      <c r="A7" s="785"/>
      <c r="B7" s="512" t="s">
        <v>1403</v>
      </c>
      <c r="C7" s="513"/>
      <c r="D7" s="514" t="s">
        <v>1404</v>
      </c>
      <c r="E7" s="514" t="s">
        <v>931</v>
      </c>
      <c r="F7" s="1294" t="s">
        <v>1629</v>
      </c>
      <c r="H7" s="1292"/>
    </row>
    <row r="8" spans="1:8" ht="12.75">
      <c r="A8" s="786" t="s">
        <v>1407</v>
      </c>
      <c r="B8" s="515" t="s">
        <v>1405</v>
      </c>
      <c r="C8" s="515" t="s">
        <v>1406</v>
      </c>
      <c r="D8" s="516"/>
      <c r="E8" s="926" t="s">
        <v>932</v>
      </c>
      <c r="F8" s="1295"/>
      <c r="H8" s="1292"/>
    </row>
    <row r="9" spans="1:8" ht="12.75">
      <c r="A9" s="804"/>
      <c r="B9" s="805"/>
      <c r="C9" s="805"/>
      <c r="D9" s="806"/>
      <c r="E9" s="806"/>
      <c r="F9" s="806"/>
      <c r="H9" s="1292"/>
    </row>
    <row r="10" spans="1:8" ht="12.75">
      <c r="A10" s="787">
        <v>303</v>
      </c>
      <c r="B10" s="511" t="s">
        <v>2197</v>
      </c>
      <c r="C10" s="511" t="s">
        <v>1408</v>
      </c>
      <c r="D10" s="807" t="s">
        <v>977</v>
      </c>
      <c r="E10" s="1293" t="s">
        <v>932</v>
      </c>
      <c r="F10" s="806"/>
      <c r="G10" s="794" t="b">
        <f>IF(E10="NO",FALSE,TRUE)</f>
        <v>0</v>
      </c>
      <c r="H10" s="1292"/>
    </row>
    <row r="11" spans="1:8" ht="12.75">
      <c r="A11" s="787">
        <v>5812</v>
      </c>
      <c r="B11" s="511" t="s">
        <v>1076</v>
      </c>
      <c r="C11" s="511" t="s">
        <v>1078</v>
      </c>
      <c r="D11" s="806"/>
      <c r="E11" s="1293"/>
      <c r="F11" s="806"/>
      <c r="H11" s="1292"/>
    </row>
    <row r="12" spans="1:8" ht="12.75">
      <c r="A12" s="784"/>
      <c r="B12" s="510"/>
      <c r="C12" s="510"/>
      <c r="D12" s="510"/>
      <c r="E12" s="510"/>
      <c r="F12" s="510"/>
      <c r="H12" s="1292"/>
    </row>
    <row r="13" spans="1:8" ht="12.75">
      <c r="A13" s="787">
        <v>305</v>
      </c>
      <c r="B13" s="511" t="s">
        <v>2197</v>
      </c>
      <c r="C13" s="511" t="s">
        <v>1408</v>
      </c>
      <c r="D13" s="511" t="s">
        <v>1355</v>
      </c>
      <c r="E13" s="1296" t="s">
        <v>932</v>
      </c>
      <c r="F13" s="510"/>
      <c r="G13" s="794" t="b">
        <f>IF(E13="NO",FALSE,TRUE)</f>
        <v>0</v>
      </c>
      <c r="H13" s="1292"/>
    </row>
    <row r="14" spans="1:8" ht="12.75">
      <c r="A14" s="787">
        <v>5816</v>
      </c>
      <c r="B14" s="511" t="s">
        <v>1076</v>
      </c>
      <c r="C14" s="511" t="s">
        <v>1078</v>
      </c>
      <c r="D14" s="511"/>
      <c r="E14" s="1297"/>
      <c r="F14" s="510"/>
      <c r="G14" s="795"/>
      <c r="H14" s="1292"/>
    </row>
    <row r="15" spans="1:8" ht="12.75">
      <c r="A15" s="787"/>
      <c r="B15" s="511"/>
      <c r="C15" s="511"/>
      <c r="D15" s="511"/>
      <c r="E15" s="517"/>
      <c r="F15" s="510"/>
      <c r="G15" s="795"/>
      <c r="H15" s="1292"/>
    </row>
    <row r="16" spans="1:8" ht="12.75">
      <c r="A16" s="787">
        <v>306</v>
      </c>
      <c r="B16" s="511" t="s">
        <v>2197</v>
      </c>
      <c r="C16" s="511" t="s">
        <v>1408</v>
      </c>
      <c r="D16" s="511" t="s">
        <v>1077</v>
      </c>
      <c r="E16" s="1296" t="s">
        <v>932</v>
      </c>
      <c r="F16" s="510"/>
      <c r="G16" s="794" t="b">
        <f>IF(E16="NO",FALSE,TRUE)</f>
        <v>0</v>
      </c>
      <c r="H16" s="1292"/>
    </row>
    <row r="17" spans="1:8" ht="12.75" customHeight="1">
      <c r="A17" s="787">
        <v>5820</v>
      </c>
      <c r="B17" s="511" t="s">
        <v>1076</v>
      </c>
      <c r="C17" s="511" t="s">
        <v>1078</v>
      </c>
      <c r="D17" s="511"/>
      <c r="E17" s="1297"/>
      <c r="F17" s="510"/>
      <c r="G17" s="795"/>
      <c r="H17" s="1292"/>
    </row>
    <row r="18" spans="1:8" ht="12.75">
      <c r="A18" s="784"/>
      <c r="B18" s="510"/>
      <c r="C18" s="510"/>
      <c r="D18" s="510"/>
      <c r="E18" s="517"/>
      <c r="F18" s="510"/>
      <c r="G18" s="795"/>
      <c r="H18" s="1292"/>
    </row>
    <row r="19" spans="1:8" ht="12.75">
      <c r="A19" s="787">
        <v>315</v>
      </c>
      <c r="B19" s="511" t="s">
        <v>2197</v>
      </c>
      <c r="C19" s="511" t="s">
        <v>1408</v>
      </c>
      <c r="D19" s="511" t="s">
        <v>567</v>
      </c>
      <c r="E19" s="1296" t="s">
        <v>932</v>
      </c>
      <c r="F19" s="510"/>
      <c r="G19" s="794" t="b">
        <f>IF(E19="NO",FALSE,TRUE)</f>
        <v>0</v>
      </c>
      <c r="H19" s="1292"/>
    </row>
    <row r="20" spans="1:8" ht="12.75" customHeight="1">
      <c r="A20" s="787">
        <v>5840</v>
      </c>
      <c r="B20" s="511" t="s">
        <v>1076</v>
      </c>
      <c r="C20" s="511" t="s">
        <v>1078</v>
      </c>
      <c r="D20" s="511"/>
      <c r="E20" s="1297"/>
      <c r="F20" s="510"/>
      <c r="G20" s="795"/>
      <c r="H20" s="1292"/>
    </row>
    <row r="21" spans="1:8" ht="12.75">
      <c r="A21" s="784"/>
      <c r="B21" s="510"/>
      <c r="C21" s="510"/>
      <c r="D21" s="510"/>
      <c r="E21" s="517"/>
      <c r="F21" s="510"/>
      <c r="G21" s="795"/>
      <c r="H21" s="1292"/>
    </row>
    <row r="22" spans="1:8" ht="12.75">
      <c r="A22" s="787">
        <v>316</v>
      </c>
      <c r="B22" s="511" t="s">
        <v>2197</v>
      </c>
      <c r="C22" s="511" t="s">
        <v>1408</v>
      </c>
      <c r="D22" s="511" t="s">
        <v>568</v>
      </c>
      <c r="E22" s="1296" t="s">
        <v>932</v>
      </c>
      <c r="F22" s="510"/>
      <c r="G22" s="794" t="b">
        <f>IF(E22="NO",FALSE,TRUE)</f>
        <v>0</v>
      </c>
      <c r="H22" s="1292"/>
    </row>
    <row r="23" spans="1:8" ht="12.75" customHeight="1">
      <c r="A23" s="787">
        <v>5844</v>
      </c>
      <c r="B23" s="511" t="s">
        <v>1076</v>
      </c>
      <c r="C23" s="511" t="s">
        <v>1078</v>
      </c>
      <c r="D23" s="510"/>
      <c r="E23" s="1297"/>
      <c r="F23" s="510"/>
      <c r="G23" s="795"/>
      <c r="H23" s="1292"/>
    </row>
    <row r="24" spans="1:8" ht="12.75">
      <c r="A24" s="784"/>
      <c r="B24" s="510"/>
      <c r="C24" s="510"/>
      <c r="D24" s="510"/>
      <c r="E24" s="510"/>
      <c r="F24" s="510"/>
      <c r="G24" s="795"/>
      <c r="H24" s="1292"/>
    </row>
    <row r="25" spans="1:8" ht="12.75">
      <c r="A25" s="787">
        <v>318</v>
      </c>
      <c r="B25" s="511" t="s">
        <v>2197</v>
      </c>
      <c r="C25" s="511" t="s">
        <v>1408</v>
      </c>
      <c r="D25" s="511" t="s">
        <v>1802</v>
      </c>
      <c r="E25" s="1296" t="s">
        <v>932</v>
      </c>
      <c r="F25" s="510"/>
      <c r="G25" s="794" t="b">
        <f>IF(E25="NO",FALSE,TRUE)</f>
        <v>0</v>
      </c>
      <c r="H25" s="1292"/>
    </row>
    <row r="26" spans="1:8" ht="12.75" customHeight="1">
      <c r="A26" s="787">
        <v>5848</v>
      </c>
      <c r="B26" s="511" t="s">
        <v>1076</v>
      </c>
      <c r="C26" s="511" t="s">
        <v>1078</v>
      </c>
      <c r="D26" s="510"/>
      <c r="E26" s="1297"/>
      <c r="F26" s="510"/>
      <c r="G26" s="795"/>
      <c r="H26" s="1292"/>
    </row>
    <row r="27" spans="1:8" ht="12.75">
      <c r="A27" s="784"/>
      <c r="B27" s="510"/>
      <c r="C27" s="510"/>
      <c r="D27" s="510"/>
      <c r="E27" s="510"/>
      <c r="F27" s="510"/>
      <c r="G27" s="795"/>
      <c r="H27" s="1292"/>
    </row>
    <row r="28" spans="1:8" ht="12.75" customHeight="1">
      <c r="A28" s="787">
        <v>452</v>
      </c>
      <c r="B28" s="511" t="s">
        <v>2197</v>
      </c>
      <c r="C28" s="511" t="s">
        <v>1017</v>
      </c>
      <c r="D28" s="511" t="str">
        <f>"Resident in Canada throughout "&amp;yeartext</f>
        <v>Resident in Canada throughout 2006</v>
      </c>
      <c r="E28" s="1296" t="s">
        <v>931</v>
      </c>
      <c r="F28" s="784"/>
      <c r="G28" s="794" t="b">
        <f>IF(E28="NO",FALSE,TRUE)</f>
        <v>1</v>
      </c>
      <c r="H28" s="1292"/>
    </row>
    <row r="29" spans="1:8" ht="12.75" customHeight="1">
      <c r="A29" s="784"/>
      <c r="B29" s="784"/>
      <c r="C29" s="784"/>
      <c r="D29" s="784"/>
      <c r="E29" s="1297"/>
      <c r="F29" s="784"/>
      <c r="H29" s="1292"/>
    </row>
    <row r="30" spans="1:8" ht="12.75">
      <c r="A30" s="510"/>
      <c r="B30" s="510"/>
      <c r="C30" s="510"/>
      <c r="D30" s="510"/>
      <c r="E30" s="510"/>
      <c r="F30" s="510"/>
      <c r="H30" s="1292"/>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hyperlinks>
    <hyperlink ref="H1:H30" location="'GO TO'!G22" display=" "/>
  </hyperlinks>
  <printOptions/>
  <pageMargins left="0.75" right="0.75" top="1" bottom="1" header="0.5" footer="0.5"/>
  <pageSetup fitToHeight="0"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C65"/>
  <sheetViews>
    <sheetView showGridLines="0" zoomScale="75" zoomScaleNormal="75" workbookViewId="0" topLeftCell="A1">
      <selection activeCell="D12" sqref="D12:J12"/>
    </sheetView>
  </sheetViews>
  <sheetFormatPr defaultColWidth="8.88671875" defaultRowHeight="15"/>
  <cols>
    <col min="1" max="1" width="1.77734375" style="9" customWidth="1"/>
    <col min="2" max="2" width="1.33203125" style="9" customWidth="1"/>
    <col min="3" max="3" width="10.10546875" style="9" customWidth="1"/>
    <col min="4" max="4" width="3.88671875" style="9" customWidth="1"/>
    <col min="5" max="6" width="5.10546875" style="9" customWidth="1"/>
    <col min="7" max="7" width="9.21484375" style="9" customWidth="1"/>
    <col min="8" max="9" width="5.21484375" style="9" customWidth="1"/>
    <col min="10" max="10" width="8.77734375" style="9" customWidth="1"/>
    <col min="11" max="12" width="1.33203125" style="9" customWidth="1"/>
    <col min="13" max="13" width="1.4375" style="9" customWidth="1"/>
    <col min="14" max="14" width="1.88671875" style="9" customWidth="1"/>
    <col min="15" max="15" width="4.4453125" style="9" customWidth="1"/>
    <col min="16" max="16" width="10.77734375" style="9" customWidth="1"/>
    <col min="17" max="17" width="1.99609375" style="9" customWidth="1"/>
    <col min="18" max="18" width="4.4453125" style="9" customWidth="1"/>
    <col min="19" max="20" width="7.10546875" style="9" customWidth="1"/>
    <col min="21" max="21" width="1.99609375" style="9" customWidth="1"/>
    <col min="22" max="22" width="4.99609375" style="9" customWidth="1"/>
    <col min="23" max="23" width="1.88671875" style="9" customWidth="1"/>
    <col min="24" max="24" width="7.10546875" style="9" customWidth="1"/>
    <col min="25" max="25" width="1.33203125" style="9" customWidth="1"/>
    <col min="26" max="26" width="1.77734375" style="9" customWidth="1"/>
    <col min="27" max="16384" width="7.10546875" style="9" customWidth="1"/>
  </cols>
  <sheetData>
    <row r="2" spans="1:26" ht="12.75" hidden="1">
      <c r="A2" s="8"/>
      <c r="B2" s="8"/>
      <c r="C2" s="8"/>
      <c r="D2" s="8"/>
      <c r="E2" s="8"/>
      <c r="F2" s="8"/>
      <c r="G2" s="8"/>
      <c r="H2" s="8"/>
      <c r="I2" s="8"/>
      <c r="J2" s="8"/>
      <c r="K2" s="8"/>
      <c r="L2" s="8"/>
      <c r="M2" s="8"/>
      <c r="N2" s="8"/>
      <c r="O2" s="8"/>
      <c r="P2" s="8"/>
      <c r="Q2" s="8"/>
      <c r="R2" s="8"/>
      <c r="S2" s="8"/>
      <c r="T2" s="8"/>
      <c r="U2" s="8"/>
      <c r="V2" s="8"/>
      <c r="W2" s="8"/>
      <c r="X2" s="8"/>
      <c r="Y2" s="8"/>
      <c r="Z2" s="8"/>
    </row>
    <row r="3" spans="1:26" ht="12.75">
      <c r="A3" s="10"/>
      <c r="B3" s="8"/>
      <c r="C3" s="8"/>
      <c r="D3" s="803" t="s">
        <v>886</v>
      </c>
      <c r="E3" s="8"/>
      <c r="F3" s="8"/>
      <c r="G3" s="8"/>
      <c r="H3" s="803" t="s">
        <v>888</v>
      </c>
      <c r="I3" s="8"/>
      <c r="J3" s="8"/>
      <c r="K3" s="8"/>
      <c r="L3" s="8"/>
      <c r="M3" s="8"/>
      <c r="N3" s="8"/>
      <c r="O3" s="8"/>
      <c r="P3" s="8"/>
      <c r="Q3" s="8"/>
      <c r="R3" s="8"/>
      <c r="S3" s="8"/>
      <c r="T3" s="8"/>
      <c r="U3" s="8"/>
      <c r="V3" s="8"/>
      <c r="W3" s="8"/>
      <c r="X3" s="8"/>
      <c r="Y3" s="8"/>
      <c r="Z3" s="8"/>
    </row>
    <row r="4" spans="1:27" ht="31.5" customHeight="1">
      <c r="A4" s="8"/>
      <c r="B4" s="8"/>
      <c r="C4" s="8"/>
      <c r="D4" s="1063" t="s">
        <v>887</v>
      </c>
      <c r="E4" s="8"/>
      <c r="F4" s="8"/>
      <c r="G4" s="8"/>
      <c r="H4" s="1063" t="s">
        <v>889</v>
      </c>
      <c r="I4" s="8"/>
      <c r="J4" s="8"/>
      <c r="K4" s="8"/>
      <c r="L4" s="8"/>
      <c r="M4" s="8"/>
      <c r="N4" s="8"/>
      <c r="O4" s="8"/>
      <c r="P4" s="8"/>
      <c r="Q4" s="8"/>
      <c r="R4" s="8"/>
      <c r="S4" s="8"/>
      <c r="T4" s="8"/>
      <c r="U4" s="838" t="s">
        <v>642</v>
      </c>
      <c r="V4" s="1327">
        <v>2006</v>
      </c>
      <c r="W4" s="1327"/>
      <c r="X4" s="1327"/>
      <c r="Y4" s="12"/>
      <c r="Z4" s="8"/>
      <c r="AA4" s="1298" t="s">
        <v>1793</v>
      </c>
    </row>
    <row r="5" spans="1:27" ht="21.75" customHeight="1">
      <c r="A5" s="8"/>
      <c r="B5" s="8"/>
      <c r="C5" s="8"/>
      <c r="D5" s="1063"/>
      <c r="E5" s="8"/>
      <c r="F5" s="8"/>
      <c r="G5" s="8"/>
      <c r="H5" s="1063"/>
      <c r="I5" s="8"/>
      <c r="J5" s="8"/>
      <c r="K5" s="1080" t="s">
        <v>340</v>
      </c>
      <c r="L5" s="8"/>
      <c r="M5" s="8"/>
      <c r="N5" s="8"/>
      <c r="O5" s="8"/>
      <c r="P5" s="8"/>
      <c r="Q5" s="8"/>
      <c r="R5" s="8"/>
      <c r="S5" s="8"/>
      <c r="T5" s="8"/>
      <c r="U5" s="838"/>
      <c r="V5" s="1005"/>
      <c r="W5" s="1005"/>
      <c r="X5" s="1005"/>
      <c r="Y5" s="12"/>
      <c r="Z5" s="8"/>
      <c r="AA5" s="1298"/>
    </row>
    <row r="6" spans="1:28" ht="14.25">
      <c r="A6" s="8"/>
      <c r="B6" s="8"/>
      <c r="C6" s="8"/>
      <c r="D6" s="8"/>
      <c r="E6" s="8"/>
      <c r="F6" s="8"/>
      <c r="G6" s="8"/>
      <c r="H6" s="8"/>
      <c r="I6" s="8"/>
      <c r="J6" s="11"/>
      <c r="K6" s="1068" t="s">
        <v>890</v>
      </c>
      <c r="L6" s="8"/>
      <c r="M6" s="1067"/>
      <c r="N6" s="8"/>
      <c r="O6" s="8"/>
      <c r="P6" s="8"/>
      <c r="Q6" s="8"/>
      <c r="R6" s="8"/>
      <c r="S6" s="8"/>
      <c r="T6" s="8"/>
      <c r="U6" s="8"/>
      <c r="V6" s="8"/>
      <c r="W6" s="8"/>
      <c r="X6" s="8"/>
      <c r="Y6" s="8"/>
      <c r="Z6" s="8"/>
      <c r="AA6" s="1270"/>
      <c r="AB6" s="994"/>
    </row>
    <row r="7" spans="1:28" ht="16.5" customHeight="1">
      <c r="A7" s="8"/>
      <c r="B7" s="1081" t="s">
        <v>341</v>
      </c>
      <c r="C7" s="8"/>
      <c r="D7" s="8"/>
      <c r="E7" s="8"/>
      <c r="F7" s="8"/>
      <c r="G7" s="8"/>
      <c r="H7" s="8"/>
      <c r="I7" s="8"/>
      <c r="J7" s="8"/>
      <c r="K7" s="8"/>
      <c r="L7" s="8"/>
      <c r="M7" s="8"/>
      <c r="N7" s="8"/>
      <c r="O7" s="8"/>
      <c r="P7" s="8"/>
      <c r="Q7" s="8"/>
      <c r="R7" s="8"/>
      <c r="S7" s="963"/>
      <c r="T7" s="963"/>
      <c r="U7" s="8"/>
      <c r="V7" s="1265" t="s">
        <v>1234</v>
      </c>
      <c r="W7" s="1266"/>
      <c r="X7" s="1299">
        <v>1</v>
      </c>
      <c r="Y7" s="1300"/>
      <c r="Z7" s="8"/>
      <c r="AA7" s="1270"/>
      <c r="AB7" s="1000">
        <f>year-2</f>
        <v>2004</v>
      </c>
    </row>
    <row r="8" spans="1:28" ht="8.25" customHeight="1">
      <c r="A8" s="8"/>
      <c r="B8" s="8"/>
      <c r="C8" s="8"/>
      <c r="D8" s="8"/>
      <c r="E8" s="8"/>
      <c r="F8" s="8"/>
      <c r="G8" s="8"/>
      <c r="H8" s="8"/>
      <c r="I8" s="8"/>
      <c r="J8" s="8"/>
      <c r="K8" s="8"/>
      <c r="L8" s="8"/>
      <c r="M8" s="8"/>
      <c r="N8" s="8"/>
      <c r="O8" s="8"/>
      <c r="P8" s="8"/>
      <c r="Q8" s="8"/>
      <c r="R8" s="8"/>
      <c r="S8" s="8"/>
      <c r="T8" s="8"/>
      <c r="U8" s="8"/>
      <c r="V8" s="1267"/>
      <c r="W8" s="1268"/>
      <c r="X8" s="1263"/>
      <c r="Y8" s="1264"/>
      <c r="Z8" s="8"/>
      <c r="AA8" s="1270"/>
      <c r="AB8" s="994"/>
    </row>
    <row r="9" spans="1:28" ht="16.5">
      <c r="A9" s="8"/>
      <c r="B9" s="13"/>
      <c r="C9" s="1071" t="s">
        <v>1</v>
      </c>
      <c r="D9" s="14"/>
      <c r="E9" s="14"/>
      <c r="F9" s="14"/>
      <c r="G9" s="14"/>
      <c r="H9" s="14"/>
      <c r="I9" s="14"/>
      <c r="J9" s="14"/>
      <c r="K9" s="15"/>
      <c r="L9" s="8"/>
      <c r="M9" s="1020"/>
      <c r="N9" s="1021"/>
      <c r="O9" s="1021"/>
      <c r="P9" s="1021"/>
      <c r="Q9" s="1021"/>
      <c r="R9" s="1024" t="s">
        <v>2012</v>
      </c>
      <c r="S9" s="1021"/>
      <c r="T9" s="1021"/>
      <c r="U9" s="1021"/>
      <c r="V9" s="1021"/>
      <c r="W9" s="1021"/>
      <c r="X9" s="1021"/>
      <c r="Y9" s="1023"/>
      <c r="Z9" s="8"/>
      <c r="AA9" s="1270"/>
      <c r="AB9" s="1000" t="str">
        <f>TEXT(yearminus2,"0000")</f>
        <v>2004</v>
      </c>
    </row>
    <row r="10" spans="1:28" ht="12.75">
      <c r="A10" s="8"/>
      <c r="B10" s="16"/>
      <c r="C10" s="818" t="s">
        <v>306</v>
      </c>
      <c r="D10" s="17"/>
      <c r="E10" s="17"/>
      <c r="F10" s="17"/>
      <c r="G10" s="17"/>
      <c r="H10" s="17"/>
      <c r="I10" s="17"/>
      <c r="J10" s="17"/>
      <c r="K10" s="18"/>
      <c r="L10" s="8"/>
      <c r="M10" s="16"/>
      <c r="N10" s="70"/>
      <c r="O10" s="17"/>
      <c r="P10" s="17"/>
      <c r="Q10" s="17"/>
      <c r="R10" s="17"/>
      <c r="S10" s="17"/>
      <c r="T10" s="17"/>
      <c r="U10" s="17"/>
      <c r="V10" s="17"/>
      <c r="W10" s="17"/>
      <c r="X10" s="17"/>
      <c r="Y10" s="18"/>
      <c r="Z10" s="8"/>
      <c r="AA10" s="1270"/>
      <c r="AB10" s="1000">
        <f>year-3</f>
        <v>2003</v>
      </c>
    </row>
    <row r="11" spans="1:28" ht="14.25" customHeight="1">
      <c r="A11" s="8"/>
      <c r="B11" s="16"/>
      <c r="C11" s="17" t="s">
        <v>676</v>
      </c>
      <c r="D11" s="17"/>
      <c r="E11" s="17"/>
      <c r="F11" s="17"/>
      <c r="G11" s="17"/>
      <c r="H11" s="17"/>
      <c r="I11" s="17"/>
      <c r="J11" s="17"/>
      <c r="K11" s="18"/>
      <c r="L11" s="8"/>
      <c r="M11" s="16"/>
      <c r="N11" s="70" t="s">
        <v>763</v>
      </c>
      <c r="O11" s="17"/>
      <c r="P11" s="17"/>
      <c r="Q11" s="17"/>
      <c r="R11" s="17"/>
      <c r="S11" s="17"/>
      <c r="T11" s="1256">
        <v>1</v>
      </c>
      <c r="U11" s="1301"/>
      <c r="V11" s="1301"/>
      <c r="W11" s="1301"/>
      <c r="X11" s="1301"/>
      <c r="Y11" s="18"/>
      <c r="Z11" s="8"/>
      <c r="AA11" s="1270"/>
      <c r="AB11" s="1000" t="str">
        <f>TEXT(yearminus3,"0000")</f>
        <v>2003</v>
      </c>
    </row>
    <row r="12" spans="1:28" ht="22.5" customHeight="1">
      <c r="A12" s="8"/>
      <c r="B12" s="16"/>
      <c r="C12" s="19"/>
      <c r="D12" s="1259"/>
      <c r="E12" s="1259"/>
      <c r="F12" s="1259"/>
      <c r="G12" s="1259"/>
      <c r="H12" s="1259"/>
      <c r="I12" s="1259"/>
      <c r="J12" s="1259"/>
      <c r="K12" s="18"/>
      <c r="L12" s="8"/>
      <c r="M12" s="16"/>
      <c r="N12" s="819"/>
      <c r="O12" s="17"/>
      <c r="P12" s="17"/>
      <c r="Q12" s="17"/>
      <c r="R12" s="23"/>
      <c r="S12" s="836">
        <f>IF(T11&gt;0,"","SIN # Required")</f>
      </c>
      <c r="T12" s="1301"/>
      <c r="U12" s="1301"/>
      <c r="V12" s="1301"/>
      <c r="W12" s="1301"/>
      <c r="X12" s="1301"/>
      <c r="Y12" s="18"/>
      <c r="Z12" s="8"/>
      <c r="AA12" s="1270"/>
      <c r="AB12" s="1001" t="str">
        <f>TEXT(year,"0000")</f>
        <v>2006</v>
      </c>
    </row>
    <row r="13" spans="1:28" ht="12.75">
      <c r="A13" s="8"/>
      <c r="B13" s="16"/>
      <c r="C13" s="17" t="s">
        <v>692</v>
      </c>
      <c r="D13" s="17"/>
      <c r="E13" s="17"/>
      <c r="F13" s="17"/>
      <c r="G13" s="17"/>
      <c r="H13" s="17"/>
      <c r="I13" s="17"/>
      <c r="J13" s="17"/>
      <c r="K13" s="18"/>
      <c r="L13" s="8"/>
      <c r="M13" s="16"/>
      <c r="N13" s="17"/>
      <c r="O13" s="17"/>
      <c r="P13" s="17"/>
      <c r="Q13" s="17"/>
      <c r="R13" s="17"/>
      <c r="S13" s="17"/>
      <c r="T13" s="20" t="s">
        <v>677</v>
      </c>
      <c r="U13" s="1255" t="s">
        <v>678</v>
      </c>
      <c r="V13" s="1255"/>
      <c r="W13" s="1257" t="s">
        <v>679</v>
      </c>
      <c r="X13" s="1257"/>
      <c r="Y13" s="18"/>
      <c r="Z13" s="8"/>
      <c r="AA13" s="1270"/>
      <c r="AB13" s="994"/>
    </row>
    <row r="14" spans="1:28" ht="21" customHeight="1">
      <c r="A14" s="8"/>
      <c r="B14" s="16"/>
      <c r="C14" s="21"/>
      <c r="D14" s="1260"/>
      <c r="E14" s="1260"/>
      <c r="F14" s="1260"/>
      <c r="G14" s="1260"/>
      <c r="H14" s="1260"/>
      <c r="I14" s="1260"/>
      <c r="J14" s="1260"/>
      <c r="K14" s="18"/>
      <c r="L14" s="8"/>
      <c r="M14" s="16"/>
      <c r="N14" s="22" t="s">
        <v>1528</v>
      </c>
      <c r="O14" s="17"/>
      <c r="P14" s="17"/>
      <c r="Q14" s="17"/>
      <c r="R14" s="23"/>
      <c r="S14" s="59">
        <f>IF(OR(T14&lt;1880,U14&lt;1,U14&gt;12,W14&lt;1,W14&gt;31),"Error in month or day","")</f>
      </c>
      <c r="T14" s="60">
        <v>1945</v>
      </c>
      <c r="U14" s="1258">
        <v>4</v>
      </c>
      <c r="V14" s="1254"/>
      <c r="W14" s="1258">
        <v>4</v>
      </c>
      <c r="X14" s="1254"/>
      <c r="Y14" s="18"/>
      <c r="Z14" s="8"/>
      <c r="AA14" s="1270"/>
      <c r="AB14" s="1002">
        <f>year-T14</f>
        <v>61</v>
      </c>
    </row>
    <row r="15" spans="1:28" ht="12.75">
      <c r="A15" s="8"/>
      <c r="B15" s="16"/>
      <c r="C15" s="70" t="s">
        <v>1039</v>
      </c>
      <c r="D15" s="17"/>
      <c r="E15" s="17"/>
      <c r="F15" s="17"/>
      <c r="G15" s="17"/>
      <c r="H15" s="17"/>
      <c r="I15" s="17"/>
      <c r="J15" s="17"/>
      <c r="K15" s="18"/>
      <c r="L15" s="8"/>
      <c r="M15" s="16"/>
      <c r="N15" s="17" t="s">
        <v>33</v>
      </c>
      <c r="O15" s="17"/>
      <c r="P15" s="17"/>
      <c r="Q15" s="17"/>
      <c r="R15" s="17"/>
      <c r="S15" s="17"/>
      <c r="T15" s="17" t="s">
        <v>325</v>
      </c>
      <c r="U15" s="17"/>
      <c r="V15" s="8"/>
      <c r="W15" s="8"/>
      <c r="X15" s="17" t="s">
        <v>326</v>
      </c>
      <c r="Y15" s="18"/>
      <c r="Z15" s="8"/>
      <c r="AA15" s="1270"/>
      <c r="AB15" s="994"/>
    </row>
    <row r="16" spans="1:28" ht="20.25" customHeight="1">
      <c r="A16" s="8"/>
      <c r="B16" s="16"/>
      <c r="C16" s="21"/>
      <c r="D16" s="1260"/>
      <c r="E16" s="1260"/>
      <c r="F16" s="1260"/>
      <c r="G16" s="1260"/>
      <c r="H16" s="1260"/>
      <c r="I16" s="1260"/>
      <c r="J16" s="1260"/>
      <c r="K16" s="18"/>
      <c r="L16" s="8"/>
      <c r="M16" s="16"/>
      <c r="N16" s="23" t="s">
        <v>327</v>
      </c>
      <c r="O16" s="17"/>
      <c r="P16" s="17"/>
      <c r="Q16" s="17"/>
      <c r="R16" s="17"/>
      <c r="S16" s="17"/>
      <c r="T16" s="295" t="s">
        <v>1099</v>
      </c>
      <c r="U16" s="17"/>
      <c r="V16" s="17"/>
      <c r="W16" s="24"/>
      <c r="X16" s="601" t="s">
        <v>288</v>
      </c>
      <c r="Y16" s="18"/>
      <c r="Z16" s="8"/>
      <c r="AA16" s="1270"/>
      <c r="AB16" s="1001">
        <f>year-1</f>
        <v>2005</v>
      </c>
    </row>
    <row r="17" spans="1:28" ht="12.75">
      <c r="A17" s="8"/>
      <c r="B17" s="16"/>
      <c r="C17" s="70" t="s">
        <v>1041</v>
      </c>
      <c r="D17" s="17"/>
      <c r="E17" s="17"/>
      <c r="F17" s="17"/>
      <c r="G17" s="70"/>
      <c r="H17" s="1072" t="s">
        <v>1040</v>
      </c>
      <c r="I17" s="17"/>
      <c r="J17" s="17"/>
      <c r="K17" s="18"/>
      <c r="L17" s="8"/>
      <c r="M17" s="16"/>
      <c r="N17" s="17"/>
      <c r="O17" s="17"/>
      <c r="P17" s="17"/>
      <c r="Q17" s="17"/>
      <c r="R17" s="17"/>
      <c r="S17" s="17"/>
      <c r="T17" s="17"/>
      <c r="U17" s="17"/>
      <c r="V17" s="17"/>
      <c r="W17" s="17"/>
      <c r="X17" s="17"/>
      <c r="Y17" s="18"/>
      <c r="Z17" s="8"/>
      <c r="AA17" s="1270"/>
      <c r="AB17" s="1001" t="str">
        <f>TEXT(lastyear,"0000")</f>
        <v>2005</v>
      </c>
    </row>
    <row r="18" spans="1:28" ht="21" customHeight="1">
      <c r="A18" s="8"/>
      <c r="B18" s="16"/>
      <c r="C18" s="21"/>
      <c r="D18" s="1260"/>
      <c r="E18" s="1260"/>
      <c r="F18" s="1260"/>
      <c r="G18" s="1307"/>
      <c r="H18" s="1306"/>
      <c r="I18" s="1260"/>
      <c r="J18" s="1260"/>
      <c r="K18" s="18"/>
      <c r="L18" s="8"/>
      <c r="M18" s="1025"/>
      <c r="N18" s="1026" t="str">
        <f>"Check the box that applies to your marital status on December 31, "&amp;yeartext&amp;":"</f>
        <v>Check the box that applies to your marital status on December 31, 2006:</v>
      </c>
      <c r="O18" s="1027"/>
      <c r="P18" s="1027"/>
      <c r="Q18" s="1027"/>
      <c r="R18" s="1027"/>
      <c r="S18" s="1027"/>
      <c r="T18" s="1027"/>
      <c r="U18" s="1027"/>
      <c r="V18" s="1027"/>
      <c r="W18" s="1027"/>
      <c r="X18" s="1027"/>
      <c r="Y18" s="1028"/>
      <c r="Z18" s="8"/>
      <c r="AA18" s="1270"/>
      <c r="AB18" s="1001">
        <f>year+1</f>
        <v>2007</v>
      </c>
    </row>
    <row r="19" spans="1:28" ht="12.75">
      <c r="A19" s="8"/>
      <c r="B19" s="16"/>
      <c r="C19" s="17" t="s">
        <v>658</v>
      </c>
      <c r="D19" s="17"/>
      <c r="E19" s="17"/>
      <c r="F19" s="17"/>
      <c r="G19" s="17" t="s">
        <v>659</v>
      </c>
      <c r="H19" s="17"/>
      <c r="I19" s="17" t="s">
        <v>660</v>
      </c>
      <c r="J19" s="17"/>
      <c r="K19" s="18"/>
      <c r="L19" s="8"/>
      <c r="M19" s="16"/>
      <c r="N19" s="23" t="s">
        <v>422</v>
      </c>
      <c r="O19" s="17"/>
      <c r="P19" s="17"/>
      <c r="Q19" s="17"/>
      <c r="R19" s="17"/>
      <c r="S19" s="17"/>
      <c r="T19" s="17"/>
      <c r="U19" s="17"/>
      <c r="V19" s="17"/>
      <c r="W19" s="17"/>
      <c r="X19" s="17"/>
      <c r="Y19" s="18"/>
      <c r="Z19" s="8"/>
      <c r="AA19" s="1270"/>
      <c r="AB19" s="1001" t="str">
        <f>TEXT(nextyear,"0000")</f>
        <v>2007</v>
      </c>
    </row>
    <row r="20" spans="1:28" ht="20.25" customHeight="1">
      <c r="A20" s="8"/>
      <c r="B20" s="16"/>
      <c r="C20" s="1303"/>
      <c r="D20" s="1304"/>
      <c r="E20" s="298"/>
      <c r="F20" s="1260"/>
      <c r="G20" s="1305"/>
      <c r="H20" s="25"/>
      <c r="I20" s="1260"/>
      <c r="J20" s="1260"/>
      <c r="K20" s="18"/>
      <c r="L20" s="8"/>
      <c r="M20" s="16"/>
      <c r="N20" s="22">
        <v>1</v>
      </c>
      <c r="O20" s="601" t="s">
        <v>288</v>
      </c>
      <c r="P20" s="22" t="s">
        <v>423</v>
      </c>
      <c r="Q20" s="22">
        <v>2</v>
      </c>
      <c r="R20" s="601" t="s">
        <v>288</v>
      </c>
      <c r="S20" s="69" t="s">
        <v>1391</v>
      </c>
      <c r="T20" s="22"/>
      <c r="U20" s="22">
        <v>3</v>
      </c>
      <c r="V20" s="601" t="s">
        <v>288</v>
      </c>
      <c r="W20" s="22" t="s">
        <v>424</v>
      </c>
      <c r="X20" s="17"/>
      <c r="Y20" s="18"/>
      <c r="Z20" s="8"/>
      <c r="AA20" s="1270"/>
      <c r="AB20" s="1001">
        <f>year-65</f>
        <v>1941</v>
      </c>
    </row>
    <row r="21" spans="1:28" ht="20.25" customHeight="1">
      <c r="A21" s="8"/>
      <c r="B21" s="26"/>
      <c r="C21" s="19"/>
      <c r="D21" s="19"/>
      <c r="E21" s="19"/>
      <c r="F21" s="21"/>
      <c r="G21" s="19"/>
      <c r="H21" s="21"/>
      <c r="I21" s="19"/>
      <c r="J21" s="21"/>
      <c r="K21" s="27"/>
      <c r="L21" s="8"/>
      <c r="M21" s="26"/>
      <c r="N21" s="28">
        <v>4</v>
      </c>
      <c r="O21" s="601" t="s">
        <v>288</v>
      </c>
      <c r="P21" s="28" t="s">
        <v>425</v>
      </c>
      <c r="Q21" s="28">
        <v>5</v>
      </c>
      <c r="R21" s="601" t="s">
        <v>288</v>
      </c>
      <c r="S21" s="28" t="s">
        <v>426</v>
      </c>
      <c r="T21" s="28"/>
      <c r="U21" s="28">
        <v>6</v>
      </c>
      <c r="V21" s="295" t="s">
        <v>1099</v>
      </c>
      <c r="W21" s="28" t="s">
        <v>427</v>
      </c>
      <c r="X21" s="21"/>
      <c r="Y21" s="27"/>
      <c r="Z21" s="8"/>
      <c r="AA21" s="1270"/>
      <c r="AB21" s="1001" t="str">
        <f>TEXT(year65,"0000")</f>
        <v>1941</v>
      </c>
    </row>
    <row r="22" spans="1:28" ht="9" customHeight="1">
      <c r="A22" s="8"/>
      <c r="B22" s="8"/>
      <c r="C22" s="8"/>
      <c r="D22" s="8"/>
      <c r="E22" s="8"/>
      <c r="F22" s="8"/>
      <c r="G22" s="8"/>
      <c r="H22" s="8"/>
      <c r="I22" s="8"/>
      <c r="J22" s="8"/>
      <c r="K22" s="8"/>
      <c r="L22" s="8"/>
      <c r="M22" s="14"/>
      <c r="N22" s="14"/>
      <c r="O22" s="14"/>
      <c r="P22" s="14"/>
      <c r="Q22" s="14"/>
      <c r="R22" s="14"/>
      <c r="S22" s="14"/>
      <c r="T22" s="14"/>
      <c r="U22" s="14"/>
      <c r="V22" s="14"/>
      <c r="W22" s="14"/>
      <c r="X22" s="14"/>
      <c r="Y22" s="14"/>
      <c r="Z22" s="8"/>
      <c r="AA22" s="1270"/>
      <c r="AB22" s="994"/>
    </row>
    <row r="23" spans="1:28" ht="16.5">
      <c r="A23" s="8"/>
      <c r="B23" s="1020"/>
      <c r="C23" s="1021"/>
      <c r="D23" s="1022" t="s">
        <v>428</v>
      </c>
      <c r="E23" s="1021"/>
      <c r="F23" s="1021"/>
      <c r="G23" s="1021"/>
      <c r="H23" s="1021"/>
      <c r="I23" s="1021"/>
      <c r="J23" s="1021"/>
      <c r="K23" s="1023"/>
      <c r="L23" s="8"/>
      <c r="M23" s="1025"/>
      <c r="N23" s="1027"/>
      <c r="O23" s="1027"/>
      <c r="P23" s="1027"/>
      <c r="Q23" s="1027"/>
      <c r="R23" s="1027"/>
      <c r="S23" s="1029" t="s">
        <v>429</v>
      </c>
      <c r="T23" s="1027"/>
      <c r="U23" s="1027"/>
      <c r="V23" s="1027"/>
      <c r="W23" s="1027"/>
      <c r="X23" s="1027"/>
      <c r="Y23" s="1028"/>
      <c r="Z23" s="8"/>
      <c r="AA23" s="1270"/>
      <c r="AB23" s="994"/>
    </row>
    <row r="24" spans="1:27" ht="16.5">
      <c r="A24" s="8"/>
      <c r="B24" s="16"/>
      <c r="C24" s="17"/>
      <c r="D24" s="17"/>
      <c r="E24" s="17"/>
      <c r="F24" s="17"/>
      <c r="G24" s="17"/>
      <c r="H24" s="17"/>
      <c r="I24" s="17"/>
      <c r="J24" s="17"/>
      <c r="K24" s="18"/>
      <c r="L24" s="8"/>
      <c r="M24" s="1025"/>
      <c r="N24" s="1030" t="s">
        <v>436</v>
      </c>
      <c r="O24" s="1027"/>
      <c r="P24" s="1027"/>
      <c r="Q24" s="1027"/>
      <c r="R24" s="1027"/>
      <c r="S24" s="1031" t="s">
        <v>437</v>
      </c>
      <c r="T24" s="1027"/>
      <c r="U24" s="1027"/>
      <c r="V24" s="1027"/>
      <c r="W24" s="1027"/>
      <c r="X24" s="1027"/>
      <c r="Y24" s="1028"/>
      <c r="Z24" s="8"/>
      <c r="AA24" s="1270"/>
    </row>
    <row r="25" spans="1:27" ht="12.75">
      <c r="A25" s="8"/>
      <c r="B25" s="16"/>
      <c r="C25" s="70" t="s">
        <v>1392</v>
      </c>
      <c r="D25" s="17"/>
      <c r="E25" s="17"/>
      <c r="F25" s="17"/>
      <c r="G25" s="17"/>
      <c r="H25" s="17"/>
      <c r="I25" s="17"/>
      <c r="J25" s="17"/>
      <c r="K25" s="18"/>
      <c r="L25" s="8"/>
      <c r="M25" s="16"/>
      <c r="N25" s="837"/>
      <c r="O25" s="17"/>
      <c r="P25" s="17"/>
      <c r="Q25" s="17"/>
      <c r="R25" s="17"/>
      <c r="S25" s="17"/>
      <c r="T25" s="17"/>
      <c r="U25" s="17"/>
      <c r="V25" s="17"/>
      <c r="W25" s="17"/>
      <c r="X25" s="17"/>
      <c r="Y25" s="18"/>
      <c r="Z25" s="8"/>
      <c r="AA25" s="1270"/>
    </row>
    <row r="26" spans="1:27" ht="18" customHeight="1">
      <c r="A26" s="8"/>
      <c r="B26" s="16"/>
      <c r="C26" s="70" t="str">
        <f>"residence on"</f>
        <v>residence on</v>
      </c>
      <c r="D26" s="818" t="str">
        <f>"December 31, "&amp;yeartext&amp;":"</f>
        <v>December 31, 2006:</v>
      </c>
      <c r="E26" s="17"/>
      <c r="F26" s="17"/>
      <c r="G26" s="17"/>
      <c r="H26" s="1260" t="s">
        <v>1688</v>
      </c>
      <c r="I26" s="1260"/>
      <c r="J26" s="1260"/>
      <c r="K26" s="18"/>
      <c r="L26" s="8"/>
      <c r="M26" s="16"/>
      <c r="N26" s="819" t="s">
        <v>1104</v>
      </c>
      <c r="O26" s="22"/>
      <c r="P26" s="17"/>
      <c r="Q26" s="17"/>
      <c r="R26" s="17"/>
      <c r="S26" s="17"/>
      <c r="T26" s="1302"/>
      <c r="U26" s="1302"/>
      <c r="V26" s="1302"/>
      <c r="W26" s="1302"/>
      <c r="X26" s="1302"/>
      <c r="Y26" s="18"/>
      <c r="Z26" s="8"/>
      <c r="AA26" s="1270"/>
    </row>
    <row r="27" spans="1:27" ht="13.5" customHeight="1">
      <c r="A27" s="8"/>
      <c r="B27" s="16"/>
      <c r="C27" s="8"/>
      <c r="D27" s="8"/>
      <c r="E27" s="8"/>
      <c r="F27" s="8"/>
      <c r="G27" s="8"/>
      <c r="H27" s="8"/>
      <c r="I27" s="8"/>
      <c r="J27" s="8"/>
      <c r="K27" s="18"/>
      <c r="L27" s="8"/>
      <c r="M27" s="16"/>
      <c r="N27" s="819"/>
      <c r="O27" s="23"/>
      <c r="P27" s="17"/>
      <c r="Q27" s="17"/>
      <c r="R27" s="17"/>
      <c r="S27" s="17"/>
      <c r="T27" s="17"/>
      <c r="U27" s="17"/>
      <c r="V27" s="17"/>
      <c r="W27" s="17"/>
      <c r="X27" s="17"/>
      <c r="Y27" s="18"/>
      <c r="Z27" s="8"/>
      <c r="AA27" s="1270"/>
    </row>
    <row r="28" spans="1:27" ht="18">
      <c r="A28" s="8"/>
      <c r="B28" s="16"/>
      <c r="C28" s="8"/>
      <c r="D28" s="8"/>
      <c r="E28" s="8"/>
      <c r="F28" s="8"/>
      <c r="G28" s="8"/>
      <c r="H28" s="8"/>
      <c r="I28" s="8"/>
      <c r="J28" s="8"/>
      <c r="K28" s="18"/>
      <c r="L28" s="8"/>
      <c r="M28" s="16"/>
      <c r="N28" s="17" t="s">
        <v>1859</v>
      </c>
      <c r="O28" s="17"/>
      <c r="P28" s="17"/>
      <c r="Q28" s="17"/>
      <c r="R28" s="17"/>
      <c r="S28" s="1328"/>
      <c r="T28" s="1329"/>
      <c r="U28" s="1329"/>
      <c r="V28" s="1329"/>
      <c r="W28" s="1329"/>
      <c r="X28" s="1329"/>
      <c r="Y28" s="18"/>
      <c r="Z28" s="8"/>
      <c r="AA28" s="1270"/>
    </row>
    <row r="29" spans="1:27" ht="12.75">
      <c r="A29" s="8"/>
      <c r="B29" s="16"/>
      <c r="C29" s="70" t="s">
        <v>2295</v>
      </c>
      <c r="D29" s="17"/>
      <c r="E29" s="17"/>
      <c r="F29" s="17"/>
      <c r="G29" s="17"/>
      <c r="H29" s="17"/>
      <c r="I29" s="17"/>
      <c r="J29" s="17"/>
      <c r="K29" s="18"/>
      <c r="L29" s="8"/>
      <c r="M29" s="16"/>
      <c r="N29" s="17"/>
      <c r="O29" s="17"/>
      <c r="P29" s="17"/>
      <c r="Q29" s="17"/>
      <c r="R29" s="17"/>
      <c r="S29" s="17"/>
      <c r="T29" s="17"/>
      <c r="U29" s="17"/>
      <c r="V29" s="17"/>
      <c r="W29" s="17"/>
      <c r="X29" s="17"/>
      <c r="Y29" s="18"/>
      <c r="Z29" s="8"/>
      <c r="AA29" s="1270"/>
    </row>
    <row r="30" spans="1:27" ht="18">
      <c r="A30" s="8"/>
      <c r="B30" s="16"/>
      <c r="C30" s="22" t="s">
        <v>1858</v>
      </c>
      <c r="D30" s="17"/>
      <c r="E30" s="17"/>
      <c r="F30" s="17"/>
      <c r="G30" s="17"/>
      <c r="H30" s="1260"/>
      <c r="I30" s="1260"/>
      <c r="J30" s="1260"/>
      <c r="K30" s="18"/>
      <c r="L30" s="8"/>
      <c r="M30" s="16"/>
      <c r="N30" s="17" t="str">
        <f>"Enter his or her net income for "&amp;yeartext&amp;" to claim"</f>
        <v>Enter his or her net income for 2006 to claim</v>
      </c>
      <c r="O30" s="17"/>
      <c r="P30" s="17"/>
      <c r="Q30" s="17"/>
      <c r="R30" s="17"/>
      <c r="S30" s="17"/>
      <c r="T30" s="17"/>
      <c r="U30" s="1330"/>
      <c r="V30" s="1330"/>
      <c r="W30" s="1330"/>
      <c r="X30" s="1330"/>
      <c r="Y30" s="18"/>
      <c r="Z30" s="8"/>
      <c r="AA30" s="1270"/>
    </row>
    <row r="31" spans="1:27" ht="12.75">
      <c r="A31" s="8"/>
      <c r="B31" s="16"/>
      <c r="C31" s="23" t="s">
        <v>1633</v>
      </c>
      <c r="D31" s="17"/>
      <c r="E31" s="17"/>
      <c r="F31" s="17"/>
      <c r="G31" s="17"/>
      <c r="H31" s="17"/>
      <c r="I31" s="17"/>
      <c r="J31" s="17"/>
      <c r="K31" s="18"/>
      <c r="L31" s="8"/>
      <c r="M31" s="16"/>
      <c r="N31" s="70" t="s">
        <v>1174</v>
      </c>
      <c r="O31" s="17"/>
      <c r="P31" s="17"/>
      <c r="Q31" s="17"/>
      <c r="R31" s="17"/>
      <c r="S31" s="17"/>
      <c r="T31" s="17"/>
      <c r="U31" s="1331"/>
      <c r="V31" s="1331"/>
      <c r="W31" s="1331"/>
      <c r="X31" s="1331"/>
      <c r="Y31" s="18"/>
      <c r="Z31" s="8"/>
      <c r="AA31" s="1270"/>
    </row>
    <row r="32" spans="1:27" ht="9" customHeight="1">
      <c r="A32" s="8"/>
      <c r="B32" s="16"/>
      <c r="C32" s="17"/>
      <c r="D32" s="17"/>
      <c r="E32" s="17"/>
      <c r="F32" s="17"/>
      <c r="G32" s="17"/>
      <c r="H32" s="17"/>
      <c r="I32" s="17"/>
      <c r="J32" s="17"/>
      <c r="K32" s="18"/>
      <c r="L32" s="8"/>
      <c r="M32" s="16"/>
      <c r="N32" s="70"/>
      <c r="O32" s="17"/>
      <c r="P32" s="17"/>
      <c r="Q32" s="17"/>
      <c r="R32" s="17"/>
      <c r="S32" s="17"/>
      <c r="T32" s="17"/>
      <c r="U32" s="1077"/>
      <c r="V32" s="1077"/>
      <c r="W32" s="1077"/>
      <c r="X32" s="1077"/>
      <c r="Y32" s="18"/>
      <c r="Z32" s="8"/>
      <c r="AA32" s="1270"/>
    </row>
    <row r="33" spans="1:27" ht="13.5" customHeight="1">
      <c r="A33" s="8"/>
      <c r="B33" s="16"/>
      <c r="C33" s="17" t="str">
        <f>"If you were self-employed in "&amp;yeartext&amp;","</f>
        <v>If you were self-employed in 2006,</v>
      </c>
      <c r="D33" s="17"/>
      <c r="E33" s="17"/>
      <c r="F33" s="17"/>
      <c r="G33" s="17"/>
      <c r="H33" s="17"/>
      <c r="I33" s="17"/>
      <c r="J33" s="17"/>
      <c r="K33" s="18"/>
      <c r="L33" s="8"/>
      <c r="M33" s="16"/>
      <c r="N33" s="70" t="s">
        <v>891</v>
      </c>
      <c r="O33" s="17"/>
      <c r="P33" s="17"/>
      <c r="Q33" s="17"/>
      <c r="R33" s="17"/>
      <c r="S33" s="17"/>
      <c r="T33" s="17"/>
      <c r="U33" s="1077"/>
      <c r="V33" s="1077"/>
      <c r="W33" s="1077"/>
      <c r="X33" s="1077"/>
      <c r="Y33" s="18"/>
      <c r="Z33" s="8"/>
      <c r="AA33" s="1270"/>
    </row>
    <row r="34" spans="1:27" ht="20.25">
      <c r="A34" s="8"/>
      <c r="B34" s="16"/>
      <c r="C34" s="22" t="s">
        <v>1839</v>
      </c>
      <c r="D34" s="17"/>
      <c r="E34" s="17"/>
      <c r="F34" s="17"/>
      <c r="G34" s="17"/>
      <c r="H34" s="1260"/>
      <c r="I34" s="1260"/>
      <c r="J34" s="1260"/>
      <c r="K34" s="18"/>
      <c r="L34" s="8"/>
      <c r="M34" s="16"/>
      <c r="N34" s="819" t="s">
        <v>892</v>
      </c>
      <c r="O34" s="17"/>
      <c r="P34" s="17"/>
      <c r="Q34" s="17"/>
      <c r="R34" s="17"/>
      <c r="S34" s="17"/>
      <c r="T34" s="17"/>
      <c r="U34" s="1315"/>
      <c r="V34" s="1315"/>
      <c r="W34" s="1315"/>
      <c r="X34" s="1315"/>
      <c r="Y34" s="18"/>
      <c r="Z34" s="8"/>
      <c r="AA34" s="1270"/>
    </row>
    <row r="35" spans="1:27" ht="10.5" customHeight="1">
      <c r="A35" s="8"/>
      <c r="B35" s="16"/>
      <c r="C35" s="819" t="s">
        <v>1565</v>
      </c>
      <c r="D35" s="17"/>
      <c r="E35" s="17"/>
      <c r="F35" s="17"/>
      <c r="G35" s="17"/>
      <c r="H35" s="8"/>
      <c r="I35" s="8"/>
      <c r="J35" s="8"/>
      <c r="K35" s="18"/>
      <c r="L35" s="8"/>
      <c r="M35" s="16"/>
      <c r="N35" s="70"/>
      <c r="O35" s="17"/>
      <c r="P35" s="17"/>
      <c r="Q35" s="17"/>
      <c r="R35" s="17"/>
      <c r="S35" s="17"/>
      <c r="T35" s="17"/>
      <c r="U35" s="1077"/>
      <c r="V35" s="1077"/>
      <c r="W35" s="1077"/>
      <c r="X35" s="1077"/>
      <c r="Y35" s="18"/>
      <c r="Z35" s="8"/>
      <c r="AA35" s="1270"/>
    </row>
    <row r="36" spans="1:27" ht="20.25">
      <c r="A36" s="8"/>
      <c r="B36" s="16"/>
      <c r="C36" s="8"/>
      <c r="D36" s="8"/>
      <c r="E36" s="8"/>
      <c r="F36" s="8"/>
      <c r="G36" s="8"/>
      <c r="H36" s="8"/>
      <c r="I36" s="8"/>
      <c r="J36" s="8"/>
      <c r="K36" s="18"/>
      <c r="L36" s="8"/>
      <c r="M36" s="26"/>
      <c r="N36" s="21" t="str">
        <f>"Check this box if he or she was self-employed in "&amp;yeartext&amp;":"</f>
        <v>Check this box if he or she was self-employed in 2006:</v>
      </c>
      <c r="O36" s="21"/>
      <c r="P36" s="21"/>
      <c r="Q36" s="21"/>
      <c r="R36" s="21"/>
      <c r="S36" s="21"/>
      <c r="T36" s="21"/>
      <c r="U36" s="21"/>
      <c r="V36" s="21"/>
      <c r="W36" s="29" t="s">
        <v>925</v>
      </c>
      <c r="X36" s="601" t="s">
        <v>288</v>
      </c>
      <c r="Y36" s="27"/>
      <c r="Z36" s="8"/>
      <c r="AA36" s="1270"/>
    </row>
    <row r="37" spans="1:27" ht="9" customHeight="1">
      <c r="A37" s="8"/>
      <c r="B37" s="16"/>
      <c r="C37" s="819"/>
      <c r="D37" s="17"/>
      <c r="E37" s="17"/>
      <c r="F37" s="17"/>
      <c r="G37" s="17"/>
      <c r="H37" s="1078"/>
      <c r="I37" s="1078"/>
      <c r="J37" s="1078"/>
      <c r="K37" s="18"/>
      <c r="L37" s="8"/>
      <c r="M37" s="17"/>
      <c r="N37" s="17"/>
      <c r="O37" s="17"/>
      <c r="P37" s="17"/>
      <c r="Q37" s="17"/>
      <c r="R37" s="17"/>
      <c r="S37" s="17"/>
      <c r="T37" s="17"/>
      <c r="U37" s="17"/>
      <c r="V37" s="17"/>
      <c r="W37" s="1032"/>
      <c r="X37" s="17"/>
      <c r="Y37" s="17"/>
      <c r="Z37" s="8"/>
      <c r="AA37" s="1270"/>
    </row>
    <row r="38" spans="1:28" ht="17.25" thickBot="1">
      <c r="A38" s="8"/>
      <c r="B38" s="16"/>
      <c r="C38" s="613" t="s">
        <v>1176</v>
      </c>
      <c r="D38" s="17"/>
      <c r="E38" s="17"/>
      <c r="F38" s="17"/>
      <c r="G38" s="17"/>
      <c r="H38" s="818" t="str">
        <f>yeartext&amp;","</f>
        <v>2006,</v>
      </c>
      <c r="I38" s="70" t="s">
        <v>1175</v>
      </c>
      <c r="J38" s="17"/>
      <c r="K38" s="18"/>
      <c r="L38" s="1037"/>
      <c r="M38" s="1033"/>
      <c r="N38" s="1033"/>
      <c r="O38" s="1033"/>
      <c r="P38" s="1033"/>
      <c r="Q38" s="1033"/>
      <c r="R38" s="1033"/>
      <c r="S38" s="1034" t="str">
        <f>"Person deceased in "&amp;yeartext</f>
        <v>Person deceased in 2006</v>
      </c>
      <c r="T38" s="1033"/>
      <c r="U38" s="1033"/>
      <c r="V38" s="1033"/>
      <c r="W38" s="1033"/>
      <c r="X38" s="1033"/>
      <c r="Y38" s="1036"/>
      <c r="Z38" s="1035"/>
      <c r="AA38" s="1270"/>
      <c r="AB38" s="994"/>
    </row>
    <row r="39" spans="1:28" ht="12.75">
      <c r="A39" s="8"/>
      <c r="B39" s="16"/>
      <c r="C39" s="17"/>
      <c r="D39" s="17"/>
      <c r="E39" s="31" t="s">
        <v>678</v>
      </c>
      <c r="F39" s="20" t="s">
        <v>679</v>
      </c>
      <c r="G39" s="17"/>
      <c r="H39" s="17"/>
      <c r="I39" s="31" t="s">
        <v>678</v>
      </c>
      <c r="J39" s="20" t="s">
        <v>679</v>
      </c>
      <c r="K39" s="18"/>
      <c r="L39" s="8"/>
      <c r="M39" s="614"/>
      <c r="N39" s="615" t="s">
        <v>27</v>
      </c>
      <c r="O39" s="615"/>
      <c r="P39" s="615"/>
      <c r="Q39" s="615"/>
      <c r="R39" s="615"/>
      <c r="S39" s="1313" t="s">
        <v>677</v>
      </c>
      <c r="T39" s="1314"/>
      <c r="U39" s="1332" t="s">
        <v>678</v>
      </c>
      <c r="V39" s="1332"/>
      <c r="W39" s="1332" t="s">
        <v>679</v>
      </c>
      <c r="X39" s="1332"/>
      <c r="Y39" s="616"/>
      <c r="Z39" s="8"/>
      <c r="AA39" s="1270"/>
      <c r="AB39" s="994"/>
    </row>
    <row r="40" spans="1:28" ht="21" customHeight="1">
      <c r="A40" s="8"/>
      <c r="B40" s="16"/>
      <c r="C40" s="17"/>
      <c r="D40" s="1038" t="s">
        <v>2294</v>
      </c>
      <c r="E40" s="30"/>
      <c r="F40" s="30"/>
      <c r="G40" s="16"/>
      <c r="H40" s="1038" t="s">
        <v>2296</v>
      </c>
      <c r="I40" s="30"/>
      <c r="J40" s="30"/>
      <c r="K40" s="18"/>
      <c r="L40" s="8"/>
      <c r="M40" s="1041"/>
      <c r="N40" s="1042" t="s">
        <v>28</v>
      </c>
      <c r="O40" s="21"/>
      <c r="P40" s="21"/>
      <c r="Q40" s="21"/>
      <c r="R40" s="21"/>
      <c r="S40" s="1311"/>
      <c r="T40" s="1312"/>
      <c r="U40" s="1258"/>
      <c r="V40" s="1254"/>
      <c r="W40" s="1258"/>
      <c r="X40" s="1254"/>
      <c r="Y40" s="1043"/>
      <c r="Z40" s="8"/>
      <c r="AA40" s="1270"/>
      <c r="AB40" s="1000">
        <f>DATE(year,12,31)-DATE(year,1,1)+1</f>
        <v>365</v>
      </c>
    </row>
    <row r="41" spans="1:28" ht="12.75">
      <c r="A41" s="8"/>
      <c r="B41" s="26"/>
      <c r="C41" s="21"/>
      <c r="D41" s="21"/>
      <c r="E41" s="21"/>
      <c r="F41" s="21"/>
      <c r="G41" s="21"/>
      <c r="H41" s="21"/>
      <c r="I41" s="21"/>
      <c r="J41" s="21"/>
      <c r="K41" s="27"/>
      <c r="L41" s="8"/>
      <c r="M41" s="1039" t="s">
        <v>29</v>
      </c>
      <c r="N41" s="1040"/>
      <c r="O41" s="21"/>
      <c r="P41" s="21"/>
      <c r="Q41" s="1308"/>
      <c r="R41" s="1309"/>
      <c r="S41" s="1069"/>
      <c r="T41" s="1070"/>
      <c r="U41" s="1308"/>
      <c r="V41" s="1309"/>
      <c r="W41" s="1308"/>
      <c r="X41" s="1310"/>
      <c r="Y41" s="1309"/>
      <c r="Z41" s="8"/>
      <c r="AA41" s="1270"/>
      <c r="AB41" s="994"/>
    </row>
    <row r="42" spans="1:29" ht="12.75">
      <c r="A42" s="8"/>
      <c r="B42" s="8"/>
      <c r="C42" s="8"/>
      <c r="D42" s="8"/>
      <c r="E42" s="8"/>
      <c r="F42" s="8"/>
      <c r="G42" s="8"/>
      <c r="H42" s="8"/>
      <c r="I42" s="8"/>
      <c r="J42" s="8"/>
      <c r="K42" s="8"/>
      <c r="L42" s="8"/>
      <c r="M42" s="8"/>
      <c r="N42" s="8"/>
      <c r="O42" s="8"/>
      <c r="P42" s="8"/>
      <c r="Q42" s="8"/>
      <c r="R42" s="8"/>
      <c r="S42" s="8"/>
      <c r="T42" s="8"/>
      <c r="U42" s="8"/>
      <c r="V42" s="8"/>
      <c r="W42" s="8"/>
      <c r="X42" s="8"/>
      <c r="Y42" s="8"/>
      <c r="Z42" s="8"/>
      <c r="AA42" s="1270"/>
      <c r="AB42" s="1003">
        <f>MIN(fract1,fract2)</f>
        <v>1</v>
      </c>
      <c r="AC42" s="994"/>
    </row>
    <row r="43" spans="1:29" ht="10.5" customHeight="1" thickBot="1">
      <c r="A43" s="8"/>
      <c r="B43" s="8"/>
      <c r="C43" s="8"/>
      <c r="D43" s="8"/>
      <c r="E43" s="803"/>
      <c r="F43" s="8"/>
      <c r="G43" s="8"/>
      <c r="H43" s="8"/>
      <c r="I43" s="8"/>
      <c r="J43" s="8"/>
      <c r="K43" s="8"/>
      <c r="L43" s="8"/>
      <c r="M43" s="8"/>
      <c r="N43" s="8"/>
      <c r="O43" s="8"/>
      <c r="P43" s="803"/>
      <c r="Q43" s="8"/>
      <c r="R43" s="8"/>
      <c r="S43" s="8"/>
      <c r="T43" s="8"/>
      <c r="U43" s="8"/>
      <c r="V43" s="8"/>
      <c r="W43" s="8"/>
      <c r="X43" s="8"/>
      <c r="Y43" s="8"/>
      <c r="Z43" s="8"/>
      <c r="AA43" s="1270"/>
      <c r="AB43" s="995">
        <f>IF((E40+F40)=0,1,(DATE(year,12,31)-DATE(year,E40,F40)+1)/daysinyear)</f>
        <v>1</v>
      </c>
      <c r="AC43" s="995"/>
    </row>
    <row r="44" spans="1:29" ht="12.75">
      <c r="A44" s="8"/>
      <c r="B44" s="1044"/>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6"/>
      <c r="Z44" s="8"/>
      <c r="AA44" s="1270"/>
      <c r="AB44" s="995">
        <f>IF((I40+J40)=0,1,(DATE(year,I40,J40)-DATE(year,1,1)+1)/daysinyear)</f>
        <v>1</v>
      </c>
      <c r="AC44" s="995"/>
    </row>
    <row r="45" spans="1:28" ht="18">
      <c r="A45" s="8"/>
      <c r="B45" s="1047"/>
      <c r="C45" s="994"/>
      <c r="D45" s="1048"/>
      <c r="E45" s="1082" t="s">
        <v>519</v>
      </c>
      <c r="F45" s="1062"/>
      <c r="G45" s="994"/>
      <c r="H45" s="1049" t="s">
        <v>2238</v>
      </c>
      <c r="I45" s="994"/>
      <c r="J45" s="994"/>
      <c r="K45" s="994"/>
      <c r="L45" s="994"/>
      <c r="M45" s="994"/>
      <c r="N45" s="994"/>
      <c r="O45" s="994"/>
      <c r="P45" s="994"/>
      <c r="Q45" s="994"/>
      <c r="R45" s="994"/>
      <c r="S45" s="994"/>
      <c r="T45" s="994"/>
      <c r="U45" s="994"/>
      <c r="V45" s="994"/>
      <c r="W45" s="994"/>
      <c r="X45" s="994"/>
      <c r="Y45" s="1050"/>
      <c r="Z45" s="8"/>
      <c r="AA45" s="1270"/>
      <c r="AB45" s="994"/>
    </row>
    <row r="46" spans="1:27" ht="18">
      <c r="A46" s="8"/>
      <c r="B46" s="1047"/>
      <c r="C46" s="1051"/>
      <c r="D46" s="1048"/>
      <c r="E46" s="994"/>
      <c r="F46" s="994"/>
      <c r="G46" s="994"/>
      <c r="H46" s="1049" t="s">
        <v>2239</v>
      </c>
      <c r="I46" s="994"/>
      <c r="J46" s="994"/>
      <c r="K46" s="994"/>
      <c r="L46" s="994"/>
      <c r="M46" s="994"/>
      <c r="N46" s="994"/>
      <c r="O46" s="994"/>
      <c r="P46" s="994"/>
      <c r="Q46" s="994"/>
      <c r="R46" s="994"/>
      <c r="S46" s="994"/>
      <c r="T46" s="994"/>
      <c r="U46" s="994"/>
      <c r="V46" s="994"/>
      <c r="W46" s="994"/>
      <c r="X46" s="994"/>
      <c r="Y46" s="1050"/>
      <c r="Z46" s="8"/>
      <c r="AA46" s="1270"/>
    </row>
    <row r="47" spans="1:27" ht="15">
      <c r="A47" s="8"/>
      <c r="B47" s="1047"/>
      <c r="C47" s="1052" t="s">
        <v>885</v>
      </c>
      <c r="D47" s="994"/>
      <c r="E47" s="994"/>
      <c r="F47" s="994"/>
      <c r="G47" s="994"/>
      <c r="H47" s="994"/>
      <c r="I47" s="994"/>
      <c r="J47" s="994"/>
      <c r="K47" s="994"/>
      <c r="L47" s="994"/>
      <c r="M47" s="994"/>
      <c r="N47" s="994"/>
      <c r="O47" s="994"/>
      <c r="P47" s="994"/>
      <c r="Q47" s="994"/>
      <c r="R47" s="994"/>
      <c r="S47" s="994"/>
      <c r="T47" s="994"/>
      <c r="U47" s="994"/>
      <c r="V47" s="994"/>
      <c r="W47" s="994"/>
      <c r="X47" s="994"/>
      <c r="Y47" s="1050"/>
      <c r="Z47" s="8"/>
      <c r="AA47" s="1270"/>
    </row>
    <row r="48" spans="1:27" ht="18">
      <c r="A48" s="8"/>
      <c r="B48" s="1047"/>
      <c r="C48" s="1052" t="s">
        <v>837</v>
      </c>
      <c r="D48" s="994"/>
      <c r="E48" s="994"/>
      <c r="F48" s="994"/>
      <c r="G48" s="994"/>
      <c r="H48" s="994"/>
      <c r="I48" s="994"/>
      <c r="J48" s="994"/>
      <c r="K48" s="994"/>
      <c r="L48" s="994"/>
      <c r="M48" s="994"/>
      <c r="N48" s="994"/>
      <c r="O48" s="1053"/>
      <c r="P48" s="1053"/>
      <c r="Q48" s="1053"/>
      <c r="R48" s="1053"/>
      <c r="S48" s="1053"/>
      <c r="T48" s="1054" t="s">
        <v>172</v>
      </c>
      <c r="U48" s="1055" t="s">
        <v>1099</v>
      </c>
      <c r="V48" s="1054" t="s">
        <v>104</v>
      </c>
      <c r="W48" s="1055"/>
      <c r="X48" s="1056" t="s">
        <v>173</v>
      </c>
      <c r="Y48" s="1050"/>
      <c r="Z48" s="8"/>
      <c r="AA48" s="1270"/>
    </row>
    <row r="49" spans="1:27" ht="18">
      <c r="A49" s="8"/>
      <c r="B49" s="1047"/>
      <c r="C49" s="1052" t="s">
        <v>838</v>
      </c>
      <c r="D49" s="994"/>
      <c r="E49" s="994"/>
      <c r="F49" s="994"/>
      <c r="G49" s="994"/>
      <c r="H49" s="994"/>
      <c r="I49" s="994"/>
      <c r="J49" s="994"/>
      <c r="K49" s="994"/>
      <c r="L49" s="994"/>
      <c r="M49" s="994"/>
      <c r="N49" s="994"/>
      <c r="O49" s="994"/>
      <c r="P49" s="994"/>
      <c r="Q49" s="994"/>
      <c r="R49" s="994"/>
      <c r="S49" s="994"/>
      <c r="T49" s="1054"/>
      <c r="U49" s="1079"/>
      <c r="V49" s="1054"/>
      <c r="W49" s="1079"/>
      <c r="X49" s="1056"/>
      <c r="Y49" s="1050"/>
      <c r="Z49" s="8"/>
      <c r="AA49" s="1270"/>
    </row>
    <row r="50" spans="1:27" ht="15.75" thickBot="1">
      <c r="A50" s="8"/>
      <c r="B50" s="1057"/>
      <c r="C50" s="1058" t="s">
        <v>2241</v>
      </c>
      <c r="D50" s="1059"/>
      <c r="E50" s="1059"/>
      <c r="F50" s="1059"/>
      <c r="G50" s="1059"/>
      <c r="H50" s="1059"/>
      <c r="I50" s="1059"/>
      <c r="J50" s="1059"/>
      <c r="K50" s="1059"/>
      <c r="L50" s="1059"/>
      <c r="M50" s="1059"/>
      <c r="N50" s="1059"/>
      <c r="O50" s="1059"/>
      <c r="P50" s="1059"/>
      <c r="Q50" s="1059"/>
      <c r="R50" s="1059"/>
      <c r="S50" s="1059"/>
      <c r="T50" s="1059"/>
      <c r="U50" s="1059"/>
      <c r="V50" s="1059"/>
      <c r="W50" s="1059"/>
      <c r="X50" s="1059"/>
      <c r="Y50" s="1060"/>
      <c r="Z50" s="8"/>
      <c r="AA50" s="1270"/>
    </row>
    <row r="51" spans="1:27" ht="12.75">
      <c r="A51" s="8"/>
      <c r="B51" s="8"/>
      <c r="C51" s="8"/>
      <c r="D51" s="8"/>
      <c r="E51" s="8"/>
      <c r="F51" s="8"/>
      <c r="G51" s="8"/>
      <c r="H51" s="8"/>
      <c r="I51" s="8"/>
      <c r="J51" s="8"/>
      <c r="K51" s="8"/>
      <c r="L51" s="8"/>
      <c r="M51" s="8"/>
      <c r="N51" s="8"/>
      <c r="O51" s="8"/>
      <c r="P51" s="8"/>
      <c r="Q51" s="8"/>
      <c r="R51" s="8"/>
      <c r="S51" s="8"/>
      <c r="T51" s="8"/>
      <c r="U51" s="8"/>
      <c r="V51" s="8"/>
      <c r="W51" s="8"/>
      <c r="X51" s="8"/>
      <c r="Y51" s="8"/>
      <c r="Z51" s="8"/>
      <c r="AA51" s="1270"/>
    </row>
    <row r="52" spans="1:27" ht="13.5" thickBot="1">
      <c r="A52" s="8"/>
      <c r="B52" s="8"/>
      <c r="C52" s="8"/>
      <c r="D52" s="8"/>
      <c r="E52" s="8"/>
      <c r="F52" s="8"/>
      <c r="G52" s="8"/>
      <c r="H52" s="8"/>
      <c r="I52" s="8"/>
      <c r="J52" s="8"/>
      <c r="K52" s="8"/>
      <c r="L52" s="8"/>
      <c r="M52" s="8"/>
      <c r="N52" s="8"/>
      <c r="O52" s="8"/>
      <c r="P52" s="8"/>
      <c r="Q52" s="8"/>
      <c r="R52" s="8"/>
      <c r="S52" s="8"/>
      <c r="T52" s="8"/>
      <c r="U52" s="8"/>
      <c r="V52" s="8"/>
      <c r="W52" s="8"/>
      <c r="X52" s="8"/>
      <c r="Y52" s="8"/>
      <c r="Z52" s="8"/>
      <c r="AA52" s="1270"/>
    </row>
    <row r="53" spans="1:27" ht="12.75">
      <c r="A53" s="8"/>
      <c r="B53" s="1044"/>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6"/>
      <c r="Z53" s="8"/>
      <c r="AA53" s="1270"/>
    </row>
    <row r="54" spans="1:27" ht="20.25">
      <c r="A54" s="8"/>
      <c r="B54" s="1047"/>
      <c r="C54" s="1083" t="s">
        <v>2240</v>
      </c>
      <c r="D54" s="994"/>
      <c r="E54" s="994"/>
      <c r="F54" s="994"/>
      <c r="G54" s="994"/>
      <c r="H54" s="994"/>
      <c r="I54" s="994"/>
      <c r="J54" s="994"/>
      <c r="K54" s="994"/>
      <c r="L54" s="994"/>
      <c r="M54" s="994"/>
      <c r="N54" s="994"/>
      <c r="O54" s="994"/>
      <c r="P54" s="994"/>
      <c r="Q54" s="994"/>
      <c r="R54" s="994"/>
      <c r="S54" s="994"/>
      <c r="T54" s="994"/>
      <c r="U54" s="994"/>
      <c r="V54" s="994"/>
      <c r="W54" s="994"/>
      <c r="X54" s="994"/>
      <c r="Y54" s="1050"/>
      <c r="Z54" s="8"/>
      <c r="AA54" s="1270"/>
    </row>
    <row r="55" spans="1:27" ht="16.5" customHeight="1">
      <c r="A55" s="8"/>
      <c r="B55" s="1047"/>
      <c r="C55" s="1064" t="s">
        <v>1370</v>
      </c>
      <c r="D55" s="994"/>
      <c r="E55" s="994"/>
      <c r="F55" s="994"/>
      <c r="G55" s="994"/>
      <c r="H55" s="994"/>
      <c r="I55" s="994"/>
      <c r="J55" s="994"/>
      <c r="K55" s="994"/>
      <c r="L55" s="994"/>
      <c r="M55" s="994"/>
      <c r="N55" s="994"/>
      <c r="O55" s="994"/>
      <c r="P55" s="994"/>
      <c r="Q55" s="994"/>
      <c r="R55" s="994"/>
      <c r="S55" s="994"/>
      <c r="T55" s="994"/>
      <c r="U55" s="994"/>
      <c r="V55" s="994"/>
      <c r="W55" s="994"/>
      <c r="X55" s="1061"/>
      <c r="Y55" s="1050"/>
      <c r="Z55" s="8"/>
      <c r="AA55" s="1270"/>
    </row>
    <row r="56" spans="1:27" ht="18">
      <c r="A56" s="8"/>
      <c r="B56" s="1047"/>
      <c r="C56" s="1052" t="s">
        <v>941</v>
      </c>
      <c r="D56" s="994"/>
      <c r="E56" s="994"/>
      <c r="F56" s="994"/>
      <c r="G56" s="994"/>
      <c r="H56" s="1053"/>
      <c r="I56" s="1053"/>
      <c r="J56" s="1053"/>
      <c r="K56" s="1053"/>
      <c r="L56" s="1053"/>
      <c r="M56" s="1053"/>
      <c r="N56" s="1053"/>
      <c r="O56" s="1053"/>
      <c r="P56" s="1053"/>
      <c r="Q56" s="1053"/>
      <c r="R56" s="1053"/>
      <c r="S56" s="1053"/>
      <c r="T56" s="1054" t="s">
        <v>172</v>
      </c>
      <c r="U56" s="1055" t="s">
        <v>1099</v>
      </c>
      <c r="V56" s="1054" t="s">
        <v>104</v>
      </c>
      <c r="W56" s="1055"/>
      <c r="X56" s="1056" t="s">
        <v>173</v>
      </c>
      <c r="Y56" s="1050"/>
      <c r="Z56" s="8"/>
      <c r="AA56" s="1270"/>
    </row>
    <row r="57" spans="1:27" ht="15.75" thickBot="1">
      <c r="A57" s="8"/>
      <c r="B57" s="1057"/>
      <c r="C57" s="1058"/>
      <c r="D57" s="1059"/>
      <c r="E57" s="1059"/>
      <c r="F57" s="1059"/>
      <c r="G57" s="1059"/>
      <c r="H57" s="1059"/>
      <c r="I57" s="1059"/>
      <c r="J57" s="1059"/>
      <c r="K57" s="1059"/>
      <c r="L57" s="1059"/>
      <c r="M57" s="1059"/>
      <c r="N57" s="1059"/>
      <c r="O57" s="1059"/>
      <c r="P57" s="1059"/>
      <c r="Q57" s="1059"/>
      <c r="R57" s="1059"/>
      <c r="S57" s="1059"/>
      <c r="T57" s="1059"/>
      <c r="U57" s="1059"/>
      <c r="V57" s="1059"/>
      <c r="W57" s="1059"/>
      <c r="X57" s="1059"/>
      <c r="Y57" s="1060"/>
      <c r="Z57" s="8"/>
      <c r="AA57" s="1270"/>
    </row>
    <row r="58" spans="1:27" ht="15.75">
      <c r="A58" s="8"/>
      <c r="B58" s="8"/>
      <c r="C58" s="8"/>
      <c r="D58" s="8"/>
      <c r="E58" s="8"/>
      <c r="F58" s="8"/>
      <c r="G58" s="8"/>
      <c r="H58" s="8"/>
      <c r="I58" s="8"/>
      <c r="J58" s="8"/>
      <c r="K58" s="8"/>
      <c r="L58" s="8"/>
      <c r="M58" s="8"/>
      <c r="N58" s="8"/>
      <c r="O58" s="8"/>
      <c r="P58" s="8"/>
      <c r="Q58" s="8"/>
      <c r="R58" s="8"/>
      <c r="S58" s="8"/>
      <c r="T58" s="8"/>
      <c r="U58" s="8"/>
      <c r="V58" s="8"/>
      <c r="W58" s="8"/>
      <c r="X58" s="788"/>
      <c r="Y58" s="8"/>
      <c r="Z58" s="8"/>
      <c r="AA58" s="1270"/>
    </row>
    <row r="59" spans="1:27" ht="57.75" customHeight="1">
      <c r="A59" s="8"/>
      <c r="B59" s="8"/>
      <c r="C59" s="32"/>
      <c r="D59" s="8"/>
      <c r="E59" s="8"/>
      <c r="F59" s="8"/>
      <c r="G59" s="8"/>
      <c r="H59" s="8"/>
      <c r="I59" s="8"/>
      <c r="J59" s="8"/>
      <c r="K59" s="8"/>
      <c r="L59" s="8"/>
      <c r="M59" s="8"/>
      <c r="N59" s="8"/>
      <c r="O59" s="8"/>
      <c r="P59" s="8"/>
      <c r="Q59" s="8"/>
      <c r="R59" s="8"/>
      <c r="S59" s="8"/>
      <c r="T59" s="8"/>
      <c r="U59" s="8"/>
      <c r="V59" s="8"/>
      <c r="W59" s="8"/>
      <c r="X59" s="8"/>
      <c r="Y59" s="8"/>
      <c r="Z59" s="8"/>
      <c r="AA59" s="1270"/>
    </row>
    <row r="60" spans="1:27" ht="23.25">
      <c r="A60" s="8"/>
      <c r="B60" s="8"/>
      <c r="C60" s="32"/>
      <c r="D60" s="8"/>
      <c r="E60" s="8"/>
      <c r="F60" s="8"/>
      <c r="G60" s="8"/>
      <c r="H60" s="8"/>
      <c r="I60" s="8"/>
      <c r="J60" s="8"/>
      <c r="K60" s="8"/>
      <c r="L60" s="8"/>
      <c r="M60" s="8"/>
      <c r="N60" s="8"/>
      <c r="O60" s="8"/>
      <c r="P60" s="8"/>
      <c r="Q60" s="8"/>
      <c r="R60" s="8"/>
      <c r="S60" s="8"/>
      <c r="T60" s="8"/>
      <c r="U60" s="8"/>
      <c r="V60" s="8"/>
      <c r="W60" s="8"/>
      <c r="X60" s="8"/>
      <c r="Y60" s="8"/>
      <c r="Z60" s="8"/>
      <c r="AA60" s="1270"/>
    </row>
    <row r="61" spans="1:27" ht="12.75">
      <c r="A61" s="8"/>
      <c r="B61" s="8"/>
      <c r="C61" s="8"/>
      <c r="D61" s="8"/>
      <c r="E61" s="8"/>
      <c r="F61" s="8"/>
      <c r="G61" s="8"/>
      <c r="H61" s="8"/>
      <c r="I61" s="8"/>
      <c r="J61" s="8"/>
      <c r="K61" s="8"/>
      <c r="L61" s="8"/>
      <c r="M61" s="8"/>
      <c r="N61" s="8"/>
      <c r="O61" s="8"/>
      <c r="P61" s="8"/>
      <c r="Q61" s="8"/>
      <c r="R61" s="8"/>
      <c r="S61" s="8"/>
      <c r="T61" s="8"/>
      <c r="U61" s="8"/>
      <c r="V61" s="8"/>
      <c r="W61" s="8"/>
      <c r="X61" s="8"/>
      <c r="Y61" s="8"/>
      <c r="Z61" s="8"/>
      <c r="AA61" s="1270"/>
    </row>
    <row r="62" spans="1:27" ht="15" customHeight="1">
      <c r="A62" s="8"/>
      <c r="B62" s="8"/>
      <c r="C62" s="1065" t="s">
        <v>1558</v>
      </c>
      <c r="D62" s="1316">
        <v>172</v>
      </c>
      <c r="E62" s="1317"/>
      <c r="F62" s="33"/>
      <c r="G62" s="33"/>
      <c r="H62" s="1320"/>
      <c r="I62" s="1320"/>
      <c r="J62" s="33"/>
      <c r="K62" s="1316">
        <v>171</v>
      </c>
      <c r="L62" s="1323"/>
      <c r="M62" s="1323"/>
      <c r="N62" s="1323"/>
      <c r="O62" s="1317"/>
      <c r="P62" s="1320"/>
      <c r="Q62" s="1320"/>
      <c r="R62" s="1320"/>
      <c r="S62" s="1320"/>
      <c r="T62" s="1320"/>
      <c r="U62" s="1321"/>
      <c r="V62" s="1325"/>
      <c r="W62" s="1326"/>
      <c r="X62" s="1321"/>
      <c r="Y62" s="1322"/>
      <c r="Z62" s="8"/>
      <c r="AA62" s="1270"/>
    </row>
    <row r="63" spans="1:27" ht="15" customHeight="1">
      <c r="A63" s="8"/>
      <c r="B63" s="8"/>
      <c r="C63" s="1066" t="s">
        <v>1559</v>
      </c>
      <c r="D63" s="1318"/>
      <c r="E63" s="1319"/>
      <c r="F63" s="33"/>
      <c r="G63" s="33"/>
      <c r="H63" s="1320"/>
      <c r="I63" s="1320"/>
      <c r="J63" s="33"/>
      <c r="K63" s="1318"/>
      <c r="L63" s="1324"/>
      <c r="M63" s="1324"/>
      <c r="N63" s="1324"/>
      <c r="O63" s="1319"/>
      <c r="P63" s="1320"/>
      <c r="Q63" s="1320"/>
      <c r="R63" s="1320"/>
      <c r="S63" s="1320"/>
      <c r="T63" s="1320"/>
      <c r="U63" s="1321"/>
      <c r="V63" s="1325"/>
      <c r="W63" s="1326"/>
      <c r="X63" s="1321"/>
      <c r="Y63" s="1322"/>
      <c r="Z63" s="8"/>
      <c r="AA63" s="1270"/>
    </row>
    <row r="64" spans="1:27" ht="12.75">
      <c r="A64" s="8"/>
      <c r="B64" s="8"/>
      <c r="C64" s="8"/>
      <c r="D64" s="8"/>
      <c r="E64" s="8"/>
      <c r="F64" s="8"/>
      <c r="G64" s="8"/>
      <c r="H64" s="8"/>
      <c r="I64" s="8"/>
      <c r="J64" s="8"/>
      <c r="K64" s="8"/>
      <c r="L64" s="8"/>
      <c r="M64" s="8"/>
      <c r="N64" s="8"/>
      <c r="O64" s="8"/>
      <c r="P64" s="8"/>
      <c r="Q64" s="8"/>
      <c r="R64" s="8"/>
      <c r="S64" s="8"/>
      <c r="T64" s="8"/>
      <c r="U64" s="8"/>
      <c r="V64" s="8"/>
      <c r="W64" s="8"/>
      <c r="X64" s="8"/>
      <c r="Y64" s="8"/>
      <c r="Z64" s="8"/>
      <c r="AA64" s="1270"/>
    </row>
    <row r="65" spans="1:27" ht="12.75">
      <c r="A65" s="61" t="s">
        <v>1353</v>
      </c>
      <c r="B65" s="8"/>
      <c r="C65" s="8"/>
      <c r="D65" s="8"/>
      <c r="E65" s="8"/>
      <c r="F65" s="8"/>
      <c r="G65" s="8"/>
      <c r="H65" s="8"/>
      <c r="I65" s="8"/>
      <c r="J65" s="8"/>
      <c r="K65" s="8"/>
      <c r="L65" s="8"/>
      <c r="M65" s="8"/>
      <c r="N65" s="8"/>
      <c r="O65" s="8"/>
      <c r="P65" s="8"/>
      <c r="Q65" s="8"/>
      <c r="R65" s="8"/>
      <c r="S65" s="8"/>
      <c r="T65" s="8"/>
      <c r="U65" s="8"/>
      <c r="V65" s="8"/>
      <c r="W65" s="8"/>
      <c r="X65" s="8"/>
      <c r="Y65" s="8"/>
      <c r="Z65" s="8"/>
      <c r="AA65" s="1270"/>
    </row>
  </sheetData>
  <sheetProtection password="EC35" sheet="1" objects="1" scenarios="1"/>
  <mergeCells count="45">
    <mergeCell ref="V4:X4"/>
    <mergeCell ref="S28:X28"/>
    <mergeCell ref="U30:X31"/>
    <mergeCell ref="U39:V39"/>
    <mergeCell ref="W39:X39"/>
    <mergeCell ref="X62:Y62"/>
    <mergeCell ref="X63:Y63"/>
    <mergeCell ref="K62:O63"/>
    <mergeCell ref="U62:W62"/>
    <mergeCell ref="U63:W63"/>
    <mergeCell ref="P62:R62"/>
    <mergeCell ref="P63:R63"/>
    <mergeCell ref="S62:T62"/>
    <mergeCell ref="S63:T63"/>
    <mergeCell ref="D62:E63"/>
    <mergeCell ref="H62:I62"/>
    <mergeCell ref="H63:I63"/>
    <mergeCell ref="H34:J34"/>
    <mergeCell ref="H30:J30"/>
    <mergeCell ref="U41:V41"/>
    <mergeCell ref="W41:Y41"/>
    <mergeCell ref="U40:V40"/>
    <mergeCell ref="W40:X40"/>
    <mergeCell ref="Q41:R41"/>
    <mergeCell ref="S40:T40"/>
    <mergeCell ref="S39:T39"/>
    <mergeCell ref="U34:X34"/>
    <mergeCell ref="D16:J16"/>
    <mergeCell ref="T26:X26"/>
    <mergeCell ref="I20:J20"/>
    <mergeCell ref="C20:D20"/>
    <mergeCell ref="F20:G20"/>
    <mergeCell ref="H18:J18"/>
    <mergeCell ref="D18:G18"/>
    <mergeCell ref="H26:J26"/>
    <mergeCell ref="AA4:AA65"/>
    <mergeCell ref="X7:Y8"/>
    <mergeCell ref="V7:W8"/>
    <mergeCell ref="D12:J12"/>
    <mergeCell ref="D14:J14"/>
    <mergeCell ref="W13:X13"/>
    <mergeCell ref="W14:X14"/>
    <mergeCell ref="U13:V13"/>
    <mergeCell ref="U14:V14"/>
    <mergeCell ref="T11:X12"/>
  </mergeCells>
  <dataValidations count="14">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034056&#10;" sqref="T11">
      <formula1>0</formula1>
    </dataValidation>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E40 U40:V40">
      <formula1>1</formula1>
      <formula2>12</formula2>
    </dataValidation>
    <dataValidation type="whole" allowBlank="1" showInputMessage="1" showErrorMessage="1" errorTitle="DATE FORMAT" error="Day must be between 1 and 31" sqref="F40 J40 W40:X40">
      <formula1>1</formula1>
      <formula2>31</formula2>
    </dataValidation>
    <dataValidation type="list" showInputMessage="1" showErrorMessage="1" sqref="T16">
      <formula1>"X,'"</formula1>
    </dataValidation>
    <dataValidation type="list" allowBlank="1" showInputMessage="1" showErrorMessage="1" sqref="X16">
      <formula1>"X,'"</formula1>
    </dataValidation>
    <dataValidation type="list" allowBlank="1" showInputMessage="1" showErrorMessage="1" sqref="X36 O20:O21 R20:R21 V20:V21">
      <formula1>"X,'"</formula1>
    </dataValidation>
    <dataValidation type="whole" allowBlank="1" showInputMessage="1" showErrorMessage="1" error="Invalid Year:  Format YYYY" sqref="S40:T40">
      <formula1>1900</formula1>
      <formula2>2100</formula2>
    </dataValidation>
  </dataValidations>
  <hyperlinks>
    <hyperlink ref="AA4:AA65" location="'GO TO'!B7" display=" "/>
  </hyperlinks>
  <printOptions/>
  <pageMargins left="0" right="0" top="0" bottom="0" header="0.5118110236220472" footer="0.5118110236220472"/>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1:M171"/>
  <sheetViews>
    <sheetView zoomScale="75" zoomScaleNormal="75" workbookViewId="0" topLeftCell="A1">
      <pane ySplit="6390" topLeftCell="BM133" activePane="topLeft" state="split"/>
      <selection pane="topLeft" activeCell="B1" sqref="B1"/>
      <selection pane="bottomLeft" activeCell="A2" sqref="A2"/>
    </sheetView>
  </sheetViews>
  <sheetFormatPr defaultColWidth="9.77734375" defaultRowHeight="15"/>
  <cols>
    <col min="1" max="1" width="1.77734375" style="619" customWidth="1"/>
    <col min="2" max="2" width="32.4453125" style="619" customWidth="1"/>
    <col min="3" max="3" width="6.77734375" style="619" customWidth="1"/>
    <col min="4" max="4" width="4.77734375" style="619" customWidth="1"/>
    <col min="5" max="5" width="11.5546875" style="619" customWidth="1"/>
    <col min="6" max="6" width="4.77734375" style="619" customWidth="1"/>
    <col min="7" max="7" width="11.77734375" style="619" customWidth="1"/>
    <col min="8" max="8" width="4.77734375" style="619" customWidth="1"/>
    <col min="9" max="9" width="11.77734375" style="619" customWidth="1"/>
    <col min="10" max="10" width="4.77734375" style="619" customWidth="1"/>
    <col min="11" max="11" width="10.77734375" style="619" customWidth="1"/>
    <col min="12" max="12" width="1.77734375" style="619" customWidth="1"/>
    <col min="13" max="16384" width="9.77734375" style="619" customWidth="1"/>
  </cols>
  <sheetData>
    <row r="1" spans="2:13" ht="18">
      <c r="B1" s="496"/>
      <c r="C1" s="497"/>
      <c r="D1" s="497"/>
      <c r="E1" s="497"/>
      <c r="F1" s="497"/>
      <c r="G1" s="497"/>
      <c r="H1" s="497"/>
      <c r="I1" s="497"/>
      <c r="J1" s="91" t="str">
        <f>'T1 GEN-1'!V7</f>
        <v>NS</v>
      </c>
      <c r="K1" s="115">
        <v>2</v>
      </c>
      <c r="L1" s="618"/>
      <c r="M1" s="1339" t="s">
        <v>1793</v>
      </c>
    </row>
    <row r="2" spans="2:13" ht="15.75">
      <c r="B2" s="496" t="s">
        <v>30</v>
      </c>
      <c r="C2" s="497"/>
      <c r="D2" s="497"/>
      <c r="E2" s="497"/>
      <c r="F2" s="497"/>
      <c r="G2" s="497"/>
      <c r="H2" s="497"/>
      <c r="I2" s="497"/>
      <c r="J2" s="498"/>
      <c r="K2" s="618"/>
      <c r="L2" s="618"/>
      <c r="M2" s="1339"/>
    </row>
    <row r="3" spans="2:13" ht="22.5" customHeight="1">
      <c r="B3" s="1085" t="s">
        <v>520</v>
      </c>
      <c r="C3" s="1084"/>
      <c r="D3" s="1084"/>
      <c r="E3" s="1084"/>
      <c r="F3" s="1084"/>
      <c r="G3" s="1084"/>
      <c r="H3" s="1084"/>
      <c r="I3" s="1084"/>
      <c r="J3" s="1084"/>
      <c r="K3" s="618"/>
      <c r="L3" s="618"/>
      <c r="M3" s="1339"/>
    </row>
    <row r="4" spans="2:13" ht="18">
      <c r="B4" s="1097" t="s">
        <v>1354</v>
      </c>
      <c r="C4" s="1098"/>
      <c r="D4" s="1099"/>
      <c r="E4" s="1100"/>
      <c r="F4" s="1101"/>
      <c r="G4" s="1102"/>
      <c r="H4" s="1100"/>
      <c r="I4" s="1100"/>
      <c r="J4" s="1101"/>
      <c r="K4" s="1103"/>
      <c r="L4" s="618"/>
      <c r="M4" s="1339"/>
    </row>
    <row r="5" spans="2:13" ht="29.25" customHeight="1">
      <c r="B5" s="1104" t="str">
        <f>"Did you own or hold foreign property at any time in "&amp;yeartext&amp;" with a total cost of more than CAN$100,000?"</f>
        <v>Did you own or hold foreign property at any time in 2006 with a total cost of more than CAN$100,000?</v>
      </c>
      <c r="C5" s="1105"/>
      <c r="D5" s="1106"/>
      <c r="E5" s="1105"/>
      <c r="F5" s="1107"/>
      <c r="G5" s="1108"/>
      <c r="H5" s="1105"/>
      <c r="I5" s="1105"/>
      <c r="J5" s="1107"/>
      <c r="K5" s="1109"/>
      <c r="L5" s="618"/>
      <c r="M5" s="1339"/>
    </row>
    <row r="6" spans="2:13" ht="20.25">
      <c r="B6" s="1104" t="s">
        <v>9</v>
      </c>
      <c r="C6" s="1105"/>
      <c r="D6" s="1106"/>
      <c r="E6" s="1105"/>
      <c r="F6" s="1120">
        <v>266</v>
      </c>
      <c r="G6" s="1110" t="s">
        <v>8</v>
      </c>
      <c r="H6" s="1111" t="s">
        <v>288</v>
      </c>
      <c r="I6" s="1112" t="s">
        <v>7</v>
      </c>
      <c r="J6" s="1113" t="s">
        <v>1099</v>
      </c>
      <c r="K6" s="1114" t="s">
        <v>173</v>
      </c>
      <c r="L6" s="618"/>
      <c r="M6" s="1339"/>
    </row>
    <row r="7" spans="2:13" ht="18">
      <c r="B7" s="1104" t="s">
        <v>942</v>
      </c>
      <c r="C7" s="1105"/>
      <c r="D7" s="1106"/>
      <c r="E7" s="1105"/>
      <c r="F7" s="1107"/>
      <c r="G7" s="1108"/>
      <c r="H7" s="1105"/>
      <c r="I7" s="1105"/>
      <c r="J7" s="1107"/>
      <c r="K7" s="1109"/>
      <c r="L7" s="618"/>
      <c r="M7" s="1339"/>
    </row>
    <row r="8" spans="2:13" ht="34.5" customHeight="1">
      <c r="B8" s="1121" t="str">
        <f>"If you had dealings with a non-resident trust or corporation in "&amp;yeartext&amp;", see the "&amp;CHAR(34)&amp;"Foreign income"&amp;CHAR(34)&amp;" section in the guide."</f>
        <v>If you had dealings with a non-resident trust or corporation in 2006, see the "Foreign income" section in the guide.</v>
      </c>
      <c r="C8" s="1115"/>
      <c r="D8" s="1116"/>
      <c r="E8" s="1115"/>
      <c r="F8" s="1117"/>
      <c r="G8" s="1118"/>
      <c r="H8" s="1115"/>
      <c r="I8" s="1115"/>
      <c r="J8" s="1117"/>
      <c r="K8" s="1119"/>
      <c r="L8" s="618"/>
      <c r="M8" s="1339"/>
    </row>
    <row r="9" spans="2:13" ht="13.5" customHeight="1">
      <c r="B9" s="99"/>
      <c r="C9" s="99"/>
      <c r="D9" s="120"/>
      <c r="E9" s="80"/>
      <c r="F9" s="117"/>
      <c r="G9" s="99"/>
      <c r="H9" s="80"/>
      <c r="I9" s="80"/>
      <c r="J9" s="117"/>
      <c r="K9" s="115"/>
      <c r="L9" s="618"/>
      <c r="M9" s="1339"/>
    </row>
    <row r="10" spans="2:13" ht="21" customHeight="1">
      <c r="B10" s="99" t="s">
        <v>1487</v>
      </c>
      <c r="C10" s="99"/>
      <c r="D10" s="120"/>
      <c r="E10" s="80"/>
      <c r="F10" s="117"/>
      <c r="G10" s="99"/>
      <c r="H10" s="80"/>
      <c r="I10" s="80"/>
      <c r="J10" s="117"/>
      <c r="K10" s="115"/>
      <c r="L10" s="618"/>
      <c r="M10" s="1339"/>
    </row>
    <row r="11" spans="2:13" ht="13.5" customHeight="1">
      <c r="B11" s="81"/>
      <c r="C11" s="81"/>
      <c r="D11" s="80"/>
      <c r="E11" s="107"/>
      <c r="F11" s="80"/>
      <c r="G11" s="99"/>
      <c r="H11" s="80"/>
      <c r="I11" s="80"/>
      <c r="J11" s="80"/>
      <c r="K11" s="99"/>
      <c r="L11" s="618"/>
      <c r="M11" s="1339"/>
    </row>
    <row r="12" spans="2:13" ht="20.25">
      <c r="B12" s="1095" t="s">
        <v>1733</v>
      </c>
      <c r="C12" s="76"/>
      <c r="D12" s="80"/>
      <c r="E12" s="107"/>
      <c r="F12" s="80"/>
      <c r="G12" s="80"/>
      <c r="H12" s="80"/>
      <c r="I12" s="80"/>
      <c r="J12" s="112"/>
      <c r="K12" s="114"/>
      <c r="L12" s="618"/>
      <c r="M12" s="1339"/>
    </row>
    <row r="13" spans="2:13" ht="24.75" customHeight="1">
      <c r="B13" s="77" t="s">
        <v>1488</v>
      </c>
      <c r="C13" s="77"/>
      <c r="D13" s="77"/>
      <c r="E13" s="77"/>
      <c r="F13" s="77"/>
      <c r="G13" s="77"/>
      <c r="H13" s="110">
        <v>101</v>
      </c>
      <c r="I13" s="282">
        <f>MISC!L21</f>
        <v>0</v>
      </c>
      <c r="J13" s="112"/>
      <c r="K13" s="99"/>
      <c r="L13" s="618"/>
      <c r="M13" s="1339"/>
    </row>
    <row r="14" spans="2:13" ht="24.75" customHeight="1">
      <c r="B14" s="78" t="s">
        <v>2153</v>
      </c>
      <c r="C14" s="78"/>
      <c r="D14" s="78"/>
      <c r="E14" s="78"/>
      <c r="F14" s="1096">
        <v>102</v>
      </c>
      <c r="G14" s="617">
        <f>MISC!L22</f>
        <v>0</v>
      </c>
      <c r="H14" s="99"/>
      <c r="I14" s="99"/>
      <c r="J14" s="99"/>
      <c r="K14" s="99"/>
      <c r="L14" s="618"/>
      <c r="M14" s="1339"/>
    </row>
    <row r="15" spans="2:13" ht="15.75">
      <c r="B15" s="78" t="s">
        <v>1489</v>
      </c>
      <c r="C15" s="78"/>
      <c r="D15" s="78"/>
      <c r="E15" s="78"/>
      <c r="F15" s="100"/>
      <c r="G15" s="98"/>
      <c r="H15" s="110">
        <v>104</v>
      </c>
      <c r="I15" s="617">
        <f>MISC!L23</f>
        <v>0</v>
      </c>
      <c r="J15" s="99"/>
      <c r="K15" s="99"/>
      <c r="L15" s="618"/>
      <c r="M15" s="1339"/>
    </row>
    <row r="16" spans="2:13" ht="15.75">
      <c r="B16" s="78" t="s">
        <v>1006</v>
      </c>
      <c r="C16" s="78"/>
      <c r="D16" s="78"/>
      <c r="E16" s="78"/>
      <c r="F16" s="98"/>
      <c r="G16" s="98"/>
      <c r="H16" s="110">
        <v>113</v>
      </c>
      <c r="I16" s="617">
        <f>MISC!L24</f>
        <v>0</v>
      </c>
      <c r="J16" s="99"/>
      <c r="K16" s="99"/>
      <c r="L16" s="618"/>
      <c r="M16" s="1339"/>
    </row>
    <row r="17" spans="2:13" ht="15.75">
      <c r="B17" s="78" t="s">
        <v>1490</v>
      </c>
      <c r="C17" s="78"/>
      <c r="D17" s="78"/>
      <c r="E17" s="78"/>
      <c r="F17" s="98"/>
      <c r="G17" s="98"/>
      <c r="H17" s="110">
        <v>114</v>
      </c>
      <c r="I17" s="617">
        <f>MISC!L25</f>
        <v>0</v>
      </c>
      <c r="J17" s="99"/>
      <c r="K17" s="99"/>
      <c r="L17" s="618"/>
      <c r="M17" s="1339"/>
    </row>
    <row r="18" spans="2:13" ht="45">
      <c r="B18" s="79" t="s">
        <v>1491</v>
      </c>
      <c r="C18" s="79"/>
      <c r="D18" s="78"/>
      <c r="E18" s="78"/>
      <c r="F18" s="1096">
        <v>152</v>
      </c>
      <c r="G18" s="617">
        <f>MISC!L37</f>
        <v>0</v>
      </c>
      <c r="H18" s="99"/>
      <c r="I18" s="99"/>
      <c r="J18" s="99"/>
      <c r="K18" s="99"/>
      <c r="L18" s="618"/>
      <c r="M18" s="1339"/>
    </row>
    <row r="19" spans="2:13" ht="15.75">
      <c r="B19" s="78" t="s">
        <v>607</v>
      </c>
      <c r="C19" s="78"/>
      <c r="D19" s="78"/>
      <c r="E19" s="78"/>
      <c r="F19" s="100"/>
      <c r="G19" s="98"/>
      <c r="H19" s="110">
        <v>115</v>
      </c>
      <c r="I19" s="282">
        <f>MISC!L26</f>
        <v>0</v>
      </c>
      <c r="J19" s="99"/>
      <c r="K19" s="99"/>
      <c r="L19" s="618"/>
      <c r="M19" s="1339"/>
    </row>
    <row r="20" spans="2:13" ht="15.75">
      <c r="B20" s="78" t="s">
        <v>534</v>
      </c>
      <c r="C20" s="78"/>
      <c r="D20" s="78"/>
      <c r="E20" s="78"/>
      <c r="F20" s="98"/>
      <c r="G20" s="98"/>
      <c r="H20" s="110">
        <v>117</v>
      </c>
      <c r="I20" s="97"/>
      <c r="J20" s="99"/>
      <c r="K20" s="99"/>
      <c r="L20" s="618"/>
      <c r="M20" s="1339"/>
    </row>
    <row r="21" spans="2:13" ht="15.75">
      <c r="B21" s="78" t="s">
        <v>1105</v>
      </c>
      <c r="C21" s="78"/>
      <c r="D21" s="78"/>
      <c r="E21" s="78"/>
      <c r="F21" s="98"/>
      <c r="G21" s="98"/>
      <c r="H21" s="110">
        <v>119</v>
      </c>
      <c r="I21" s="282">
        <f>MISC!L27</f>
        <v>0</v>
      </c>
      <c r="J21" s="99"/>
      <c r="K21" s="99"/>
      <c r="L21" s="618"/>
      <c r="M21" s="1339"/>
    </row>
    <row r="22" spans="2:13" ht="31.5" customHeight="1">
      <c r="B22" s="1350" t="s">
        <v>536</v>
      </c>
      <c r="C22" s="1350"/>
      <c r="D22" s="1350"/>
      <c r="E22" s="1350"/>
      <c r="F22" s="1350"/>
      <c r="G22" s="1351"/>
      <c r="H22" s="110">
        <v>120</v>
      </c>
      <c r="I22" s="617">
        <f>MISC!L28</f>
        <v>0</v>
      </c>
      <c r="J22" s="99"/>
      <c r="K22" s="99"/>
      <c r="L22" s="618"/>
      <c r="M22" s="1339"/>
    </row>
    <row r="23" spans="2:13" ht="31.5" customHeight="1">
      <c r="B23" s="1348" t="s">
        <v>535</v>
      </c>
      <c r="C23" s="1349"/>
      <c r="D23" s="1349"/>
      <c r="E23" s="1349"/>
      <c r="F23" s="1096">
        <v>180</v>
      </c>
      <c r="G23" s="617">
        <f>MISC!L39</f>
        <v>0</v>
      </c>
      <c r="H23" s="110"/>
      <c r="I23" s="80"/>
      <c r="J23" s="99"/>
      <c r="K23" s="99"/>
      <c r="L23" s="618"/>
      <c r="M23" s="1339"/>
    </row>
    <row r="24" spans="2:13" ht="15.75">
      <c r="B24" s="78" t="s">
        <v>2242</v>
      </c>
      <c r="C24" s="78"/>
      <c r="D24" s="78"/>
      <c r="E24" s="78"/>
      <c r="F24" s="100"/>
      <c r="G24" s="98"/>
      <c r="H24" s="110">
        <v>121</v>
      </c>
      <c r="I24" s="388">
        <f>MISC!L29</f>
        <v>0</v>
      </c>
      <c r="J24" s="99"/>
      <c r="K24" s="99"/>
      <c r="L24" s="618"/>
      <c r="M24" s="1339"/>
    </row>
    <row r="25" spans="2:13" ht="32.25" customHeight="1">
      <c r="B25" s="78" t="s">
        <v>537</v>
      </c>
      <c r="C25" s="78"/>
      <c r="D25" s="78"/>
      <c r="E25" s="78"/>
      <c r="F25" s="100"/>
      <c r="G25" s="98"/>
      <c r="H25" s="110">
        <v>122</v>
      </c>
      <c r="I25" s="388">
        <f>MISC!L30</f>
        <v>0</v>
      </c>
      <c r="J25" s="99"/>
      <c r="K25" s="99"/>
      <c r="L25" s="618"/>
      <c r="M25" s="1339"/>
    </row>
    <row r="26" spans="2:13" ht="31.5" customHeight="1">
      <c r="B26" s="78" t="s">
        <v>1197</v>
      </c>
      <c r="C26" s="92" t="s">
        <v>1330</v>
      </c>
      <c r="D26" s="1096">
        <v>160</v>
      </c>
      <c r="E26" s="97"/>
      <c r="F26" s="98"/>
      <c r="G26" s="92" t="s">
        <v>346</v>
      </c>
      <c r="H26" s="110">
        <v>126</v>
      </c>
      <c r="I26" s="97"/>
      <c r="J26" s="99"/>
      <c r="K26" s="99"/>
      <c r="L26" s="618"/>
      <c r="M26" s="1339"/>
    </row>
    <row r="27" spans="2:13" ht="15.75">
      <c r="B27" s="78" t="s">
        <v>2243</v>
      </c>
      <c r="C27" s="78"/>
      <c r="D27" s="77"/>
      <c r="E27" s="78"/>
      <c r="F27" s="78"/>
      <c r="G27" s="78"/>
      <c r="H27" s="110">
        <v>127</v>
      </c>
      <c r="I27" s="404">
        <f>MAX(0,Sch3!K61)</f>
        <v>0</v>
      </c>
      <c r="J27" s="99"/>
      <c r="K27" s="99"/>
      <c r="L27" s="618"/>
      <c r="M27" s="1339"/>
    </row>
    <row r="28" spans="2:13" ht="31.5" customHeight="1">
      <c r="B28" s="78" t="s">
        <v>1417</v>
      </c>
      <c r="C28" s="92" t="s">
        <v>503</v>
      </c>
      <c r="D28" s="1096">
        <v>156</v>
      </c>
      <c r="E28" s="97"/>
      <c r="F28" s="78"/>
      <c r="G28" s="92" t="s">
        <v>684</v>
      </c>
      <c r="H28" s="110">
        <v>128</v>
      </c>
      <c r="I28" s="97"/>
      <c r="J28" s="99"/>
      <c r="K28" s="99"/>
      <c r="L28" s="618"/>
      <c r="M28" s="1339"/>
    </row>
    <row r="29" spans="2:13" ht="15.75">
      <c r="B29" s="78" t="s">
        <v>685</v>
      </c>
      <c r="C29" s="78"/>
      <c r="D29" s="77"/>
      <c r="E29" s="78"/>
      <c r="F29" s="78"/>
      <c r="G29" s="78"/>
      <c r="H29" s="110">
        <v>129</v>
      </c>
      <c r="I29" s="404">
        <f>MISC!L31</f>
        <v>0</v>
      </c>
      <c r="J29" s="99"/>
      <c r="K29" s="99"/>
      <c r="L29" s="618"/>
      <c r="M29" s="1339"/>
    </row>
    <row r="30" spans="2:13" ht="15.75">
      <c r="B30" s="78" t="s">
        <v>1418</v>
      </c>
      <c r="C30" s="820" t="s">
        <v>751</v>
      </c>
      <c r="D30" s="1335"/>
      <c r="E30" s="1335"/>
      <c r="F30" s="1335"/>
      <c r="G30" s="1335"/>
      <c r="H30" s="110">
        <v>130</v>
      </c>
      <c r="I30" s="404">
        <f>MISC!L32</f>
        <v>0</v>
      </c>
      <c r="J30" s="99"/>
      <c r="K30" s="99"/>
      <c r="L30" s="618"/>
      <c r="M30" s="1339"/>
    </row>
    <row r="31" spans="2:13" ht="15.75">
      <c r="B31" s="84" t="s">
        <v>686</v>
      </c>
      <c r="C31" s="84"/>
      <c r="D31" s="101"/>
      <c r="E31" s="101"/>
      <c r="F31" s="101"/>
      <c r="G31" s="101"/>
      <c r="H31" s="99"/>
      <c r="I31" s="99"/>
      <c r="J31" s="99"/>
      <c r="K31" s="99"/>
      <c r="L31" s="618"/>
      <c r="M31" s="1339"/>
    </row>
    <row r="32" spans="2:13" ht="15.75">
      <c r="B32" s="77" t="s">
        <v>1419</v>
      </c>
      <c r="C32" s="93" t="s">
        <v>1330</v>
      </c>
      <c r="D32" s="189">
        <v>162</v>
      </c>
      <c r="E32" s="108"/>
      <c r="F32" s="77"/>
      <c r="G32" s="93" t="s">
        <v>346</v>
      </c>
      <c r="H32" s="110">
        <v>135</v>
      </c>
      <c r="I32" s="97"/>
      <c r="J32" s="99"/>
      <c r="K32" s="99"/>
      <c r="L32" s="618"/>
      <c r="M32" s="1339"/>
    </row>
    <row r="33" spans="2:13" ht="15.75">
      <c r="B33" s="78" t="s">
        <v>1420</v>
      </c>
      <c r="C33" s="92" t="s">
        <v>1330</v>
      </c>
      <c r="D33" s="189">
        <v>164</v>
      </c>
      <c r="E33" s="97"/>
      <c r="F33" s="78"/>
      <c r="G33" s="92" t="s">
        <v>346</v>
      </c>
      <c r="H33" s="110">
        <v>137</v>
      </c>
      <c r="I33" s="97"/>
      <c r="J33" s="99"/>
      <c r="K33" s="99"/>
      <c r="L33" s="618"/>
      <c r="M33" s="1339"/>
    </row>
    <row r="34" spans="2:13" ht="15.75">
      <c r="B34" s="78" t="s">
        <v>1421</v>
      </c>
      <c r="C34" s="92" t="s">
        <v>1330</v>
      </c>
      <c r="D34" s="189">
        <v>166</v>
      </c>
      <c r="E34" s="404">
        <f>MISC!L38</f>
        <v>0</v>
      </c>
      <c r="F34" s="78"/>
      <c r="G34" s="92" t="s">
        <v>346</v>
      </c>
      <c r="H34" s="110">
        <v>139</v>
      </c>
      <c r="I34" s="404">
        <f>MISC!L33</f>
        <v>0</v>
      </c>
      <c r="J34" s="99"/>
      <c r="K34" s="99"/>
      <c r="L34" s="618"/>
      <c r="M34" s="1339"/>
    </row>
    <row r="35" spans="2:13" ht="15.75">
      <c r="B35" s="78" t="s">
        <v>1422</v>
      </c>
      <c r="C35" s="92" t="s">
        <v>1330</v>
      </c>
      <c r="D35" s="189">
        <v>168</v>
      </c>
      <c r="E35" s="97"/>
      <c r="F35" s="78"/>
      <c r="G35" s="92" t="s">
        <v>346</v>
      </c>
      <c r="H35" s="110">
        <v>141</v>
      </c>
      <c r="I35" s="97"/>
      <c r="J35" s="99"/>
      <c r="K35" s="99"/>
      <c r="L35" s="618"/>
      <c r="M35" s="1339"/>
    </row>
    <row r="36" spans="2:13" ht="15.75">
      <c r="B36" s="78" t="s">
        <v>1423</v>
      </c>
      <c r="C36" s="92" t="s">
        <v>1330</v>
      </c>
      <c r="D36" s="189">
        <v>170</v>
      </c>
      <c r="E36" s="97"/>
      <c r="F36" s="78"/>
      <c r="G36" s="92" t="s">
        <v>346</v>
      </c>
      <c r="H36" s="110">
        <v>143</v>
      </c>
      <c r="I36" s="97"/>
      <c r="J36" s="99"/>
      <c r="K36" s="99"/>
      <c r="L36" s="618"/>
      <c r="M36" s="1339"/>
    </row>
    <row r="37" spans="2:13" ht="11.25" customHeight="1">
      <c r="B37" s="84"/>
      <c r="C37" s="106"/>
      <c r="D37" s="189"/>
      <c r="E37" s="84"/>
      <c r="F37" s="84"/>
      <c r="G37" s="106"/>
      <c r="H37" s="110"/>
      <c r="I37" s="80"/>
      <c r="J37" s="99"/>
      <c r="K37" s="99"/>
      <c r="L37" s="618"/>
      <c r="M37" s="1339"/>
    </row>
    <row r="38" spans="2:13" ht="23.25" customHeight="1">
      <c r="B38" s="77" t="s">
        <v>687</v>
      </c>
      <c r="C38" s="77"/>
      <c r="D38" s="77"/>
      <c r="E38" s="125"/>
      <c r="F38" s="189">
        <v>144</v>
      </c>
      <c r="G38" s="388">
        <f>MISC!L34</f>
        <v>0</v>
      </c>
      <c r="H38" s="80"/>
      <c r="I38" s="80"/>
      <c r="J38" s="99"/>
      <c r="K38" s="99"/>
      <c r="L38" s="618"/>
      <c r="M38" s="1339"/>
    </row>
    <row r="39" spans="2:13" ht="15.75">
      <c r="B39" s="78" t="s">
        <v>1860</v>
      </c>
      <c r="C39" s="78"/>
      <c r="D39" s="78"/>
      <c r="E39" s="78"/>
      <c r="F39" s="189">
        <v>145</v>
      </c>
      <c r="G39" s="404">
        <f>MISC!L35</f>
        <v>0</v>
      </c>
      <c r="H39" s="80"/>
      <c r="I39" s="80"/>
      <c r="J39" s="99"/>
      <c r="K39" s="99"/>
      <c r="L39" s="618"/>
      <c r="M39" s="1339"/>
    </row>
    <row r="40" spans="2:13" ht="31.5" customHeight="1">
      <c r="B40" s="78" t="s">
        <v>688</v>
      </c>
      <c r="C40" s="78"/>
      <c r="D40" s="78"/>
      <c r="E40" s="78"/>
      <c r="F40" s="189">
        <v>146</v>
      </c>
      <c r="G40" s="404">
        <f>MISC!L36</f>
        <v>0</v>
      </c>
      <c r="H40" s="80"/>
      <c r="I40" s="80"/>
      <c r="J40" s="99"/>
      <c r="K40" s="99"/>
      <c r="L40" s="618"/>
      <c r="M40" s="1339"/>
    </row>
    <row r="41" spans="2:13" ht="31.5" customHeight="1">
      <c r="B41" s="1352" t="s">
        <v>538</v>
      </c>
      <c r="C41" s="1351"/>
      <c r="D41" s="1351"/>
      <c r="E41" s="1351"/>
      <c r="F41" s="100"/>
      <c r="G41" s="404">
        <f>G38+G39+G40</f>
        <v>0</v>
      </c>
      <c r="H41" s="110">
        <v>147</v>
      </c>
      <c r="I41" s="388">
        <f>G41</f>
        <v>0</v>
      </c>
      <c r="J41" s="99"/>
      <c r="K41" s="99"/>
      <c r="L41" s="618"/>
      <c r="M41" s="1339"/>
    </row>
    <row r="42" spans="2:13" ht="15.75">
      <c r="B42" s="80"/>
      <c r="C42" s="80"/>
      <c r="D42" s="80"/>
      <c r="E42" s="80"/>
      <c r="F42" s="99"/>
      <c r="G42" s="81" t="s">
        <v>540</v>
      </c>
      <c r="H42" s="99"/>
      <c r="I42" s="1344">
        <f>SUM(I13:I41)</f>
        <v>0</v>
      </c>
      <c r="J42" s="99"/>
      <c r="K42" s="99"/>
      <c r="L42" s="618"/>
      <c r="M42" s="1339"/>
    </row>
    <row r="43" spans="2:13" ht="24.75" customHeight="1">
      <c r="B43" s="81"/>
      <c r="C43" s="81"/>
      <c r="D43" s="80"/>
      <c r="E43" s="81"/>
      <c r="F43" s="99"/>
      <c r="G43" s="81" t="s">
        <v>539</v>
      </c>
      <c r="H43" s="110">
        <v>150</v>
      </c>
      <c r="I43" s="1345"/>
      <c r="J43" s="99"/>
      <c r="K43" s="99"/>
      <c r="L43" s="618"/>
      <c r="M43" s="1339"/>
    </row>
    <row r="44" spans="2:13" ht="21.75" customHeight="1">
      <c r="B44" s="808"/>
      <c r="C44" s="809"/>
      <c r="D44" s="810"/>
      <c r="E44" s="809"/>
      <c r="F44" s="811"/>
      <c r="G44" s="809"/>
      <c r="H44" s="812"/>
      <c r="I44" s="811"/>
      <c r="J44" s="811"/>
      <c r="K44" s="835" t="s">
        <v>616</v>
      </c>
      <c r="L44" s="618"/>
      <c r="M44" s="1339"/>
    </row>
    <row r="45" spans="2:13" ht="15.75" hidden="1">
      <c r="B45" s="814"/>
      <c r="C45" s="982">
        <f>IF(J1&lt;&gt;"ON",IF(J1&lt;&gt;"BC",IF(J1&lt;&gt;"AB",IF(J1&lt;&gt;"NS",IF(J1&lt;&gt;"MB",IF(J1&lt;&gt;"PE",-1,7),6),5),4),3),2)</f>
        <v>5</v>
      </c>
      <c r="D45" s="983"/>
      <c r="E45" s="984" t="s">
        <v>1857</v>
      </c>
      <c r="F45" s="985" t="s">
        <v>1232</v>
      </c>
      <c r="G45" s="985" t="s">
        <v>1233</v>
      </c>
      <c r="H45" s="985" t="s">
        <v>1234</v>
      </c>
      <c r="I45" s="985" t="s">
        <v>935</v>
      </c>
      <c r="J45" s="985" t="s">
        <v>855</v>
      </c>
      <c r="K45" s="832"/>
      <c r="L45" s="618"/>
      <c r="M45" s="1339"/>
    </row>
    <row r="46" spans="2:13" ht="15.75" hidden="1">
      <c r="B46" s="814"/>
      <c r="C46" s="986" t="s">
        <v>121</v>
      </c>
      <c r="D46" s="983" t="s">
        <v>1235</v>
      </c>
      <c r="E46" s="987" t="e">
        <f>#REF!</f>
        <v>#REF!</v>
      </c>
      <c r="F46" s="988" t="e">
        <f>#REF!</f>
        <v>#REF!</v>
      </c>
      <c r="G46" s="986" t="e">
        <f>#REF!</f>
        <v>#REF!</v>
      </c>
      <c r="H46" s="988">
        <f>NS428!J120</f>
        <v>0</v>
      </c>
      <c r="I46" s="986" t="e">
        <f>#REF!</f>
        <v>#REF!</v>
      </c>
      <c r="J46" s="988" t="e">
        <f>#REF!</f>
        <v>#REF!</v>
      </c>
      <c r="K46" s="832"/>
      <c r="L46" s="618"/>
      <c r="M46" s="1339"/>
    </row>
    <row r="47" spans="2:13" ht="15.75" hidden="1">
      <c r="B47" s="833"/>
      <c r="C47" s="986"/>
      <c r="D47" s="983" t="s">
        <v>1236</v>
      </c>
      <c r="E47" s="987" t="e">
        <f>#REF!</f>
        <v>#REF!</v>
      </c>
      <c r="F47" s="988" t="e">
        <f>#REF!</f>
        <v>#REF!</v>
      </c>
      <c r="G47" s="986">
        <v>0</v>
      </c>
      <c r="H47" s="988">
        <f>NS479!I12</f>
        <v>0</v>
      </c>
      <c r="I47" s="986" t="e">
        <f>#REF!</f>
        <v>#REF!</v>
      </c>
      <c r="J47" s="988" t="e">
        <f>#REF!</f>
        <v>#REF!</v>
      </c>
      <c r="K47" s="832"/>
      <c r="L47" s="618"/>
      <c r="M47" s="1339"/>
    </row>
    <row r="48" spans="2:13" ht="15.75" hidden="1">
      <c r="B48" s="814"/>
      <c r="C48" s="814"/>
      <c r="D48" s="987" t="s">
        <v>857</v>
      </c>
      <c r="E48" s="989" t="e">
        <f>#REF!+#REF!+#REF!+#REF!+#REF!+#REF!+#REF!+#REF!+#REF!+#REF!+#REF!+#REF!+#REF!</f>
        <v>#REF!</v>
      </c>
      <c r="F48" s="990" t="e">
        <f>#REF!+#REF!+#REF!+#REF!+#REF!+#REF!+#REF!+#REF!+#REF!+#REF!+#REF!+#REF!+#REF!+#REF!+#REF!</f>
        <v>#REF!</v>
      </c>
      <c r="G48" s="814" t="e">
        <f>#REF!+#REF!+#REF!+#REF!+#REF!</f>
        <v>#REF!</v>
      </c>
      <c r="H48" s="988">
        <f>'NS WRK'!I13+'NS WRK'!I16+'NS WRK'!G29+'NS WRK'!G39+'NS WRK'!G44+'NS WRK'!G67+'NS WRK'!G77+'NS WRK'!I99</f>
        <v>10855</v>
      </c>
      <c r="I48" s="814" t="e">
        <f>#REF!+#REF!+#REF!+#REF!+#REF!+#REF!+#REF!+#REF!</f>
        <v>#REF!</v>
      </c>
      <c r="J48" s="989" t="e">
        <f>#REF!+#REF!+#REF!+#REF!+#REF!+#REF!+#REF!+#REF!</f>
        <v>#REF!</v>
      </c>
      <c r="K48" s="832"/>
      <c r="L48" s="618"/>
      <c r="M48" s="1339"/>
    </row>
    <row r="49" spans="2:13" ht="15.75" hidden="1">
      <c r="B49" s="814"/>
      <c r="C49" s="814"/>
      <c r="D49" s="987" t="s">
        <v>860</v>
      </c>
      <c r="E49" s="991" t="e">
        <f>#REF!+#REF!+#REF!</f>
        <v>#REF!</v>
      </c>
      <c r="F49" s="990" t="e">
        <f>#REF!</f>
        <v>#REF!</v>
      </c>
      <c r="G49" s="814">
        <v>0</v>
      </c>
      <c r="H49" s="988">
        <f>NS479!I12</f>
        <v>0</v>
      </c>
      <c r="I49" s="814" t="e">
        <f>#REF!+#REF!+#REF!</f>
        <v>#REF!</v>
      </c>
      <c r="J49" s="988" t="e">
        <f>#REF!</f>
        <v>#REF!</v>
      </c>
      <c r="K49" s="832"/>
      <c r="L49" s="618"/>
      <c r="M49" s="1339"/>
    </row>
    <row r="50" spans="2:13" ht="15.75" hidden="1">
      <c r="B50" s="834"/>
      <c r="C50" s="814"/>
      <c r="D50" s="987" t="s">
        <v>858</v>
      </c>
      <c r="E50" s="989" t="e">
        <f>#REF!</f>
        <v>#REF!</v>
      </c>
      <c r="F50" s="990" t="e">
        <f>#REF!</f>
        <v>#REF!</v>
      </c>
      <c r="G50" s="814" t="e">
        <f>#REF!</f>
        <v>#REF!</v>
      </c>
      <c r="H50" s="988">
        <f>'NS(S2)'!J30</f>
        <v>0</v>
      </c>
      <c r="I50" s="814" t="e">
        <f>#REF!</f>
        <v>#REF!</v>
      </c>
      <c r="J50" s="988" t="e">
        <f>#REF!</f>
        <v>#REF!</v>
      </c>
      <c r="K50" s="832"/>
      <c r="L50" s="618"/>
      <c r="M50" s="1339"/>
    </row>
    <row r="51" spans="2:13" ht="15.75" hidden="1">
      <c r="B51" s="815"/>
      <c r="C51" s="815"/>
      <c r="D51" s="987" t="s">
        <v>859</v>
      </c>
      <c r="E51" s="989" t="e">
        <f>#REF!</f>
        <v>#REF!</v>
      </c>
      <c r="F51" s="990" t="e">
        <f>#REF!</f>
        <v>#REF!</v>
      </c>
      <c r="G51" s="814" t="e">
        <f>#REF!</f>
        <v>#REF!</v>
      </c>
      <c r="H51" s="988">
        <f>'NS(S11)'!I31</f>
        <v>0</v>
      </c>
      <c r="I51" s="814" t="e">
        <f>#REF!</f>
        <v>#REF!</v>
      </c>
      <c r="J51" s="988" t="e">
        <f>#REF!</f>
        <v>#REF!</v>
      </c>
      <c r="L51" s="618"/>
      <c r="M51" s="1339"/>
    </row>
    <row r="52" spans="2:13" ht="20.25">
      <c r="B52" s="83" t="s">
        <v>2244</v>
      </c>
      <c r="C52" s="81"/>
      <c r="D52" s="80"/>
      <c r="E52" s="81"/>
      <c r="F52" s="99"/>
      <c r="G52" s="81"/>
      <c r="H52" s="110"/>
      <c r="I52" s="99"/>
      <c r="J52" s="99"/>
      <c r="K52" s="99"/>
      <c r="L52" s="618"/>
      <c r="M52" s="1339"/>
    </row>
    <row r="53" spans="2:13" ht="20.25">
      <c r="B53" s="83" t="s">
        <v>2245</v>
      </c>
      <c r="C53" s="81"/>
      <c r="D53" s="80"/>
      <c r="E53" s="81"/>
      <c r="F53" s="99"/>
      <c r="G53" s="81"/>
      <c r="H53" s="110"/>
      <c r="I53" s="99"/>
      <c r="J53" s="99"/>
      <c r="K53" s="99"/>
      <c r="L53" s="618"/>
      <c r="M53" s="1339"/>
    </row>
    <row r="54" spans="2:13" ht="20.25">
      <c r="B54" s="83" t="s">
        <v>2246</v>
      </c>
      <c r="C54" s="81"/>
      <c r="D54" s="80"/>
      <c r="E54" s="81"/>
      <c r="F54" s="99"/>
      <c r="G54" s="81"/>
      <c r="H54" s="110"/>
      <c r="I54" s="99"/>
      <c r="J54" s="99"/>
      <c r="K54" s="99"/>
      <c r="L54" s="618"/>
      <c r="M54" s="1339"/>
    </row>
    <row r="55" spans="2:13" ht="12.75" customHeight="1">
      <c r="B55" s="81"/>
      <c r="C55" s="81"/>
      <c r="D55" s="80"/>
      <c r="E55" s="81"/>
      <c r="F55" s="99"/>
      <c r="G55" s="81"/>
      <c r="H55" s="110"/>
      <c r="I55" s="99"/>
      <c r="J55" s="99"/>
      <c r="K55" s="99"/>
      <c r="L55" s="618"/>
      <c r="M55" s="1339"/>
    </row>
    <row r="56" spans="2:13" ht="20.25" customHeight="1">
      <c r="B56" s="1095" t="s">
        <v>1329</v>
      </c>
      <c r="C56" s="89"/>
      <c r="D56" s="99"/>
      <c r="E56" s="99"/>
      <c r="F56" s="99"/>
      <c r="G56" s="99"/>
      <c r="H56" s="99"/>
      <c r="I56" s="99"/>
      <c r="J56" s="99"/>
      <c r="K56" s="99"/>
      <c r="L56" s="618"/>
      <c r="M56" s="1339"/>
    </row>
    <row r="57" spans="2:13" ht="15.75" customHeight="1">
      <c r="B57" s="76"/>
      <c r="C57" s="89"/>
      <c r="D57" s="99"/>
      <c r="E57" s="99"/>
      <c r="F57" s="99"/>
      <c r="G57" s="99"/>
      <c r="H57" s="99"/>
      <c r="I57" s="99"/>
      <c r="J57" s="99"/>
      <c r="K57" s="99"/>
      <c r="L57" s="618"/>
      <c r="M57" s="1339"/>
    </row>
    <row r="58" spans="2:13" ht="15.75" customHeight="1">
      <c r="B58" s="77" t="s">
        <v>10</v>
      </c>
      <c r="C58" s="77"/>
      <c r="D58" s="100"/>
      <c r="E58" s="100"/>
      <c r="F58" s="100"/>
      <c r="G58" s="100"/>
      <c r="H58" s="100"/>
      <c r="I58" s="100"/>
      <c r="J58" s="113" t="s">
        <v>1861</v>
      </c>
      <c r="K58" s="388">
        <f>I42</f>
        <v>0</v>
      </c>
      <c r="L58" s="618"/>
      <c r="M58" s="1339"/>
    </row>
    <row r="59" spans="2:13" ht="15.75" customHeight="1">
      <c r="B59" s="80"/>
      <c r="C59" s="80"/>
      <c r="D59" s="99"/>
      <c r="E59" s="99"/>
      <c r="F59" s="99"/>
      <c r="G59" s="99"/>
      <c r="H59" s="99"/>
      <c r="I59" s="99"/>
      <c r="J59" s="99"/>
      <c r="K59" s="99"/>
      <c r="L59" s="618"/>
      <c r="M59" s="1339"/>
    </row>
    <row r="60" spans="2:13" ht="15.75" customHeight="1">
      <c r="B60" s="80" t="s">
        <v>1862</v>
      </c>
      <c r="C60" s="80"/>
      <c r="D60" s="99"/>
      <c r="E60" s="99"/>
      <c r="F60" s="99"/>
      <c r="G60" s="99"/>
      <c r="H60" s="99"/>
      <c r="I60" s="99"/>
      <c r="J60" s="99"/>
      <c r="K60" s="99"/>
      <c r="L60" s="618"/>
      <c r="M60" s="1339"/>
    </row>
    <row r="61" spans="2:13" ht="15.75">
      <c r="B61" s="77" t="s">
        <v>204</v>
      </c>
      <c r="C61" s="77"/>
      <c r="D61" s="100"/>
      <c r="E61" s="100"/>
      <c r="F61" s="110">
        <v>206</v>
      </c>
      <c r="G61" s="388">
        <f>MISC!L40</f>
        <v>0</v>
      </c>
      <c r="H61" s="99"/>
      <c r="I61" s="99"/>
      <c r="J61" s="99"/>
      <c r="K61" s="99"/>
      <c r="L61" s="618"/>
      <c r="M61" s="1339"/>
    </row>
    <row r="62" spans="2:13" ht="19.5" customHeight="1">
      <c r="B62" s="82"/>
      <c r="C62" s="80"/>
      <c r="D62" s="99"/>
      <c r="E62" s="99"/>
      <c r="F62" s="110"/>
      <c r="G62" s="99"/>
      <c r="H62" s="99"/>
      <c r="I62" s="99"/>
      <c r="J62" s="99"/>
      <c r="K62" s="99"/>
      <c r="L62" s="618"/>
      <c r="M62" s="1339"/>
    </row>
    <row r="63" spans="2:13" ht="15.75">
      <c r="B63" s="77" t="s">
        <v>209</v>
      </c>
      <c r="C63" s="77"/>
      <c r="D63" s="100"/>
      <c r="E63" s="100"/>
      <c r="F63" s="100"/>
      <c r="G63" s="100"/>
      <c r="H63" s="110">
        <v>207</v>
      </c>
      <c r="I63" s="388">
        <f>MISC!L41</f>
        <v>0</v>
      </c>
      <c r="J63" s="99"/>
      <c r="K63" s="99"/>
      <c r="L63" s="618"/>
      <c r="M63" s="1339"/>
    </row>
    <row r="64" spans="2:13" ht="15.75">
      <c r="B64" s="78" t="s">
        <v>541</v>
      </c>
      <c r="C64" s="78"/>
      <c r="D64" s="98"/>
      <c r="E64" s="98"/>
      <c r="F64" s="98"/>
      <c r="G64" s="98"/>
      <c r="H64" s="110">
        <v>208</v>
      </c>
      <c r="I64" s="938">
        <f>IF((Sch7!E13=0),Sch7!I42,Sch7!E13)</f>
        <v>0</v>
      </c>
      <c r="J64" s="99"/>
      <c r="K64" s="99"/>
      <c r="L64" s="618"/>
      <c r="M64" s="1339"/>
    </row>
    <row r="65" spans="2:13" ht="15.75">
      <c r="B65" s="78" t="s">
        <v>1863</v>
      </c>
      <c r="C65" s="78"/>
      <c r="D65" s="98"/>
      <c r="E65" s="98"/>
      <c r="F65" s="98"/>
      <c r="G65" s="92" t="s">
        <v>1864</v>
      </c>
      <c r="H65" s="110">
        <v>209</v>
      </c>
      <c r="I65" s="97"/>
      <c r="J65" s="99"/>
      <c r="K65" s="99"/>
      <c r="L65" s="618"/>
      <c r="M65" s="1339"/>
    </row>
    <row r="66" spans="2:13" ht="15.75" customHeight="1">
      <c r="B66" s="84"/>
      <c r="C66" s="84"/>
      <c r="D66" s="101"/>
      <c r="E66" s="99"/>
      <c r="F66" s="99"/>
      <c r="G66" s="99"/>
      <c r="H66" s="110"/>
      <c r="I66" s="99"/>
      <c r="J66" s="99"/>
      <c r="K66" s="99"/>
      <c r="L66" s="618"/>
      <c r="M66" s="1339"/>
    </row>
    <row r="67" spans="2:13" ht="15.75">
      <c r="B67" s="77" t="s">
        <v>2154</v>
      </c>
      <c r="C67" s="77"/>
      <c r="D67" s="100"/>
      <c r="E67" s="100"/>
      <c r="F67" s="100"/>
      <c r="G67" s="100"/>
      <c r="H67" s="110">
        <v>212</v>
      </c>
      <c r="I67" s="388">
        <f>MISC!L42</f>
        <v>0</v>
      </c>
      <c r="J67" s="99"/>
      <c r="K67" s="99"/>
      <c r="L67" s="618"/>
      <c r="M67" s="1339"/>
    </row>
    <row r="68" spans="2:13" ht="15.75">
      <c r="B68" s="78" t="s">
        <v>2247</v>
      </c>
      <c r="C68" s="78"/>
      <c r="D68" s="98"/>
      <c r="E68" s="98"/>
      <c r="F68" s="98"/>
      <c r="G68" s="98"/>
      <c r="H68" s="110">
        <v>214</v>
      </c>
      <c r="I68" s="388">
        <f>MAXA('T778'!N65,'T778'!N108,'T778'!N139)</f>
        <v>0</v>
      </c>
      <c r="J68" s="99"/>
      <c r="K68" s="99"/>
      <c r="L68" s="618"/>
      <c r="M68" s="1339"/>
    </row>
    <row r="69" spans="2:13" ht="15.75">
      <c r="B69" s="78" t="s">
        <v>2248</v>
      </c>
      <c r="C69" s="78"/>
      <c r="D69" s="98"/>
      <c r="E69" s="98"/>
      <c r="F69" s="98"/>
      <c r="G69" s="98"/>
      <c r="H69" s="110">
        <v>215</v>
      </c>
      <c r="I69" s="316"/>
      <c r="J69" s="99"/>
      <c r="K69" s="99"/>
      <c r="L69" s="618"/>
      <c r="M69" s="1339"/>
    </row>
    <row r="70" spans="2:13" ht="10.5" customHeight="1">
      <c r="B70" s="84"/>
      <c r="C70" s="84"/>
      <c r="D70" s="101"/>
      <c r="E70" s="101"/>
      <c r="F70" s="101"/>
      <c r="G70" s="101"/>
      <c r="H70" s="110"/>
      <c r="I70" s="101"/>
      <c r="J70" s="99"/>
      <c r="K70" s="99"/>
      <c r="L70" s="618"/>
      <c r="M70" s="1339"/>
    </row>
    <row r="71" spans="2:13" ht="15.75">
      <c r="B71" s="77" t="s">
        <v>1385</v>
      </c>
      <c r="C71" s="93" t="s">
        <v>1330</v>
      </c>
      <c r="D71" s="189">
        <v>228</v>
      </c>
      <c r="E71" s="108"/>
      <c r="F71" s="100"/>
      <c r="G71" s="111" t="s">
        <v>2155</v>
      </c>
      <c r="H71" s="110">
        <v>217</v>
      </c>
      <c r="I71" s="108"/>
      <c r="J71" s="99"/>
      <c r="K71" s="99"/>
      <c r="L71" s="618"/>
      <c r="M71" s="1339"/>
    </row>
    <row r="72" spans="2:13" ht="15.75">
      <c r="B72" s="78" t="s">
        <v>1386</v>
      </c>
      <c r="C72" s="78"/>
      <c r="D72" s="100"/>
      <c r="E72" s="98"/>
      <c r="F72" s="98"/>
      <c r="G72" s="98"/>
      <c r="H72" s="110">
        <v>219</v>
      </c>
      <c r="I72" s="97"/>
      <c r="J72" s="99"/>
      <c r="K72" s="99"/>
      <c r="L72" s="618"/>
      <c r="M72" s="1339"/>
    </row>
    <row r="73" spans="2:13" ht="15.75">
      <c r="B73" s="84"/>
      <c r="C73" s="84"/>
      <c r="D73" s="101"/>
      <c r="E73" s="101"/>
      <c r="F73" s="101"/>
      <c r="G73" s="101"/>
      <c r="H73" s="110"/>
      <c r="I73" s="101"/>
      <c r="J73" s="99"/>
      <c r="K73" s="99"/>
      <c r="L73" s="618"/>
      <c r="M73" s="1339"/>
    </row>
    <row r="74" spans="2:13" ht="15.75">
      <c r="B74" s="77" t="s">
        <v>1387</v>
      </c>
      <c r="C74" s="93" t="s">
        <v>503</v>
      </c>
      <c r="D74" s="189">
        <v>230</v>
      </c>
      <c r="E74" s="108"/>
      <c r="F74" s="100"/>
      <c r="G74" s="111" t="s">
        <v>2155</v>
      </c>
      <c r="H74" s="110">
        <v>220</v>
      </c>
      <c r="I74" s="108"/>
      <c r="J74" s="99"/>
      <c r="K74" s="99"/>
      <c r="L74" s="618"/>
      <c r="M74" s="1339"/>
    </row>
    <row r="75" spans="2:13" ht="15.75">
      <c r="B75" s="78" t="s">
        <v>2249</v>
      </c>
      <c r="C75" s="78"/>
      <c r="D75" s="100"/>
      <c r="E75" s="98"/>
      <c r="F75" s="98"/>
      <c r="G75" s="98"/>
      <c r="H75" s="110">
        <v>221</v>
      </c>
      <c r="I75" s="404">
        <f>MISC!L43</f>
        <v>0</v>
      </c>
      <c r="J75" s="99"/>
      <c r="K75" s="99"/>
      <c r="L75" s="618"/>
      <c r="M75" s="1339"/>
    </row>
    <row r="76" spans="2:13" ht="15.75">
      <c r="B76" s="85" t="s">
        <v>1273</v>
      </c>
      <c r="C76" s="84"/>
      <c r="D76" s="101"/>
      <c r="E76" s="101"/>
      <c r="F76" s="101"/>
      <c r="G76" s="101"/>
      <c r="H76" s="110"/>
      <c r="I76" s="99"/>
      <c r="J76" s="99"/>
      <c r="K76" s="99"/>
      <c r="L76" s="618"/>
      <c r="M76" s="1339"/>
    </row>
    <row r="77" spans="2:13" ht="15.75">
      <c r="B77" s="839" t="s">
        <v>2250</v>
      </c>
      <c r="C77" s="77"/>
      <c r="D77" s="100"/>
      <c r="E77" s="100"/>
      <c r="F77" s="100"/>
      <c r="G77" s="100"/>
      <c r="H77" s="110">
        <v>222</v>
      </c>
      <c r="I77" s="467">
        <f>Sch8!I28</f>
        <v>0</v>
      </c>
      <c r="J77" s="1170" t="s">
        <v>999</v>
      </c>
      <c r="K77" s="99"/>
      <c r="L77" s="618"/>
      <c r="M77" s="1339"/>
    </row>
    <row r="78" spans="2:13" ht="15.75">
      <c r="B78" s="78" t="s">
        <v>2251</v>
      </c>
      <c r="C78" s="78"/>
      <c r="D78" s="98"/>
      <c r="E78" s="98"/>
      <c r="F78" s="98"/>
      <c r="G78" s="98"/>
      <c r="H78" s="110">
        <v>224</v>
      </c>
      <c r="I78" s="404">
        <f>MISC!L44</f>
        <v>0</v>
      </c>
      <c r="J78" s="99"/>
      <c r="K78" s="99"/>
      <c r="L78" s="618"/>
      <c r="M78" s="1339"/>
    </row>
    <row r="79" spans="2:13" ht="15.75">
      <c r="B79" s="78" t="s">
        <v>1274</v>
      </c>
      <c r="C79" s="78"/>
      <c r="D79" s="98"/>
      <c r="E79" s="98"/>
      <c r="F79" s="98"/>
      <c r="G79" s="98"/>
      <c r="H79" s="110">
        <v>229</v>
      </c>
      <c r="I79" s="404">
        <f>MISC!L45</f>
        <v>0</v>
      </c>
      <c r="J79" s="99"/>
      <c r="K79" s="99"/>
      <c r="L79" s="618"/>
      <c r="M79" s="1339"/>
    </row>
    <row r="80" spans="2:13" ht="15.75">
      <c r="B80" s="78" t="s">
        <v>11</v>
      </c>
      <c r="C80" s="78"/>
      <c r="D80" s="98"/>
      <c r="E80" s="98"/>
      <c r="F80" s="98"/>
      <c r="G80" s="98"/>
      <c r="H80" s="110">
        <v>231</v>
      </c>
      <c r="I80" s="97"/>
      <c r="J80" s="99"/>
      <c r="K80" s="99"/>
      <c r="L80" s="618"/>
      <c r="M80" s="1339"/>
    </row>
    <row r="81" spans="2:13" ht="15.75">
      <c r="B81" s="78" t="s">
        <v>1275</v>
      </c>
      <c r="C81" s="94" t="s">
        <v>751</v>
      </c>
      <c r="D81" s="1335"/>
      <c r="E81" s="1335"/>
      <c r="F81" s="1335"/>
      <c r="G81" s="1335"/>
      <c r="H81" s="110">
        <v>232</v>
      </c>
      <c r="I81" s="404">
        <f>MISC!L46</f>
        <v>0</v>
      </c>
      <c r="J81" s="99"/>
      <c r="K81" s="99"/>
      <c r="L81" s="618"/>
      <c r="M81" s="1339"/>
    </row>
    <row r="82" spans="2:13" ht="18">
      <c r="B82" s="78"/>
      <c r="C82" s="78"/>
      <c r="D82" s="98"/>
      <c r="E82" s="98"/>
      <c r="F82" s="98"/>
      <c r="G82" s="92" t="s">
        <v>12</v>
      </c>
      <c r="H82" s="110">
        <v>233</v>
      </c>
      <c r="I82" s="404">
        <f>SUM(I63:I81)</f>
        <v>0</v>
      </c>
      <c r="J82" s="1167" t="s">
        <v>1600</v>
      </c>
      <c r="K82" s="388">
        <f>I82</f>
        <v>0</v>
      </c>
      <c r="L82" s="618"/>
      <c r="M82" s="1339"/>
    </row>
    <row r="83" spans="2:13" ht="15.75">
      <c r="B83" s="86"/>
      <c r="C83" s="92"/>
      <c r="D83" s="92" t="s">
        <v>13</v>
      </c>
      <c r="E83" s="98"/>
      <c r="F83" s="98"/>
      <c r="G83" s="98"/>
      <c r="H83" s="99"/>
      <c r="I83" s="81" t="s">
        <v>1288</v>
      </c>
      <c r="J83" s="110">
        <v>234</v>
      </c>
      <c r="K83" s="404">
        <f>IF(I42&gt;K82,(+I42-K82),0)</f>
        <v>0</v>
      </c>
      <c r="L83" s="618"/>
      <c r="M83" s="1339"/>
    </row>
    <row r="84" spans="2:13" ht="15.75">
      <c r="B84" s="84"/>
      <c r="C84" s="84"/>
      <c r="D84" s="101"/>
      <c r="E84" s="101"/>
      <c r="F84" s="101"/>
      <c r="G84" s="101"/>
      <c r="H84" s="99"/>
      <c r="I84" s="99"/>
      <c r="J84" s="99"/>
      <c r="K84" s="99"/>
      <c r="L84" s="618"/>
      <c r="M84" s="1339"/>
    </row>
    <row r="85" spans="2:13" ht="15.75">
      <c r="B85" s="77" t="s">
        <v>1043</v>
      </c>
      <c r="C85" s="77"/>
      <c r="D85" s="100"/>
      <c r="E85" s="100"/>
      <c r="F85" s="100"/>
      <c r="G85" s="100"/>
      <c r="H85" s="100"/>
      <c r="I85" s="100"/>
      <c r="J85" s="110">
        <v>235</v>
      </c>
      <c r="K85" s="388">
        <f>+'FED WRK'!I37</f>
        <v>0</v>
      </c>
      <c r="L85" s="1170" t="s">
        <v>999</v>
      </c>
      <c r="M85" s="1339"/>
    </row>
    <row r="86" spans="2:13" ht="15.75">
      <c r="B86" s="87" t="s">
        <v>940</v>
      </c>
      <c r="C86" s="80"/>
      <c r="D86" s="99"/>
      <c r="E86" s="99"/>
      <c r="F86" s="99"/>
      <c r="G86" s="99"/>
      <c r="H86" s="99"/>
      <c r="I86" s="81"/>
      <c r="J86" s="99"/>
      <c r="K86" s="99"/>
      <c r="L86" s="618"/>
      <c r="M86" s="1339"/>
    </row>
    <row r="87" spans="2:13" ht="15.75">
      <c r="B87" s="80"/>
      <c r="C87" s="80"/>
      <c r="D87" s="99"/>
      <c r="E87" s="81"/>
      <c r="F87" s="99"/>
      <c r="G87" s="99"/>
      <c r="H87" s="99"/>
      <c r="I87" s="81" t="s">
        <v>542</v>
      </c>
      <c r="J87" s="110">
        <v>236</v>
      </c>
      <c r="K87" s="660">
        <f>IF(K83&gt;K85,(+K83-K85),0)</f>
        <v>0</v>
      </c>
      <c r="L87" s="618"/>
      <c r="M87" s="1339"/>
    </row>
    <row r="88" spans="2:13" ht="20.25">
      <c r="B88" s="1095" t="s">
        <v>1173</v>
      </c>
      <c r="C88" s="80"/>
      <c r="D88" s="99"/>
      <c r="E88" s="99"/>
      <c r="F88" s="99"/>
      <c r="G88" s="99"/>
      <c r="H88" s="99"/>
      <c r="I88" s="99"/>
      <c r="J88" s="89"/>
      <c r="K88" s="89"/>
      <c r="L88" s="618"/>
      <c r="M88" s="1339"/>
    </row>
    <row r="89" spans="2:13" ht="9" customHeight="1">
      <c r="B89" s="76"/>
      <c r="C89" s="89"/>
      <c r="D89" s="99"/>
      <c r="E89" s="99"/>
      <c r="F89" s="99"/>
      <c r="G89" s="99"/>
      <c r="H89" s="99"/>
      <c r="I89" s="99"/>
      <c r="J89" s="89"/>
      <c r="K89" s="89"/>
      <c r="L89" s="618"/>
      <c r="M89" s="1339"/>
    </row>
    <row r="90" spans="2:13" ht="18" customHeight="1">
      <c r="B90" s="77" t="s">
        <v>2253</v>
      </c>
      <c r="C90" s="104"/>
      <c r="D90" s="100"/>
      <c r="E90" s="100"/>
      <c r="F90" s="100"/>
      <c r="G90" s="100"/>
      <c r="H90" s="110">
        <v>244</v>
      </c>
      <c r="I90" s="840">
        <f>MISC!L47</f>
        <v>0</v>
      </c>
      <c r="J90" s="89"/>
      <c r="K90" s="89"/>
      <c r="L90" s="618"/>
      <c r="M90" s="1339"/>
    </row>
    <row r="91" spans="2:13" ht="18" customHeight="1">
      <c r="B91" s="77" t="s">
        <v>14</v>
      </c>
      <c r="C91" s="77"/>
      <c r="D91" s="100"/>
      <c r="E91" s="100"/>
      <c r="F91" s="100"/>
      <c r="G91" s="100"/>
      <c r="H91" s="110">
        <v>248</v>
      </c>
      <c r="I91" s="388">
        <f>MISC!L48</f>
        <v>0</v>
      </c>
      <c r="J91" s="89"/>
      <c r="K91" s="89"/>
      <c r="L91" s="618"/>
      <c r="M91" s="1339"/>
    </row>
    <row r="92" spans="2:13" ht="18">
      <c r="B92" s="78" t="s">
        <v>2156</v>
      </c>
      <c r="C92" s="78"/>
      <c r="D92" s="98"/>
      <c r="E92" s="98"/>
      <c r="F92" s="98"/>
      <c r="G92" s="98"/>
      <c r="H92" s="110">
        <v>249</v>
      </c>
      <c r="I92" s="404">
        <f>MISC!L49</f>
        <v>0</v>
      </c>
      <c r="J92" s="89"/>
      <c r="K92" s="89"/>
      <c r="L92" s="618"/>
      <c r="M92" s="1339"/>
    </row>
    <row r="93" spans="2:13" ht="26.25" customHeight="1">
      <c r="B93" s="88" t="s">
        <v>1650</v>
      </c>
      <c r="C93" s="78"/>
      <c r="D93" s="98"/>
      <c r="E93" s="98"/>
      <c r="F93" s="98"/>
      <c r="G93" s="98"/>
      <c r="H93" s="110">
        <v>250</v>
      </c>
      <c r="I93" s="404">
        <f>MISC!L50</f>
        <v>0</v>
      </c>
      <c r="J93" s="89"/>
      <c r="K93" s="89"/>
      <c r="L93" s="618"/>
      <c r="M93" s="1339"/>
    </row>
    <row r="94" spans="2:13" ht="18">
      <c r="B94" s="78" t="s">
        <v>488</v>
      </c>
      <c r="C94" s="78"/>
      <c r="D94" s="98"/>
      <c r="E94" s="98"/>
      <c r="F94" s="98"/>
      <c r="G94" s="98"/>
      <c r="H94" s="110">
        <v>251</v>
      </c>
      <c r="I94" s="97"/>
      <c r="J94" s="89"/>
      <c r="K94" s="89"/>
      <c r="L94" s="618"/>
      <c r="M94" s="1339"/>
    </row>
    <row r="95" spans="2:13" ht="18">
      <c r="B95" s="78" t="s">
        <v>489</v>
      </c>
      <c r="C95" s="78"/>
      <c r="D95" s="98"/>
      <c r="E95" s="98"/>
      <c r="F95" s="98"/>
      <c r="G95" s="98"/>
      <c r="H95" s="110">
        <v>252</v>
      </c>
      <c r="I95" s="97"/>
      <c r="J95" s="89"/>
      <c r="K95" s="89"/>
      <c r="L95" s="618"/>
      <c r="M95" s="1339"/>
    </row>
    <row r="96" spans="2:13" ht="18">
      <c r="B96" s="78" t="s">
        <v>758</v>
      </c>
      <c r="C96" s="78"/>
      <c r="D96" s="98"/>
      <c r="E96" s="98"/>
      <c r="F96" s="98"/>
      <c r="G96" s="98"/>
      <c r="H96" s="110">
        <v>253</v>
      </c>
      <c r="I96" s="97"/>
      <c r="J96" s="89"/>
      <c r="K96" s="89"/>
      <c r="L96" s="618"/>
      <c r="M96" s="1339"/>
    </row>
    <row r="97" spans="2:13" ht="18">
      <c r="B97" s="78" t="s">
        <v>759</v>
      </c>
      <c r="C97" s="78"/>
      <c r="D97" s="98"/>
      <c r="E97" s="98"/>
      <c r="F97" s="98"/>
      <c r="G97" s="98"/>
      <c r="H97" s="110">
        <v>254</v>
      </c>
      <c r="I97" s="97"/>
      <c r="J97" s="89"/>
      <c r="K97" s="89"/>
      <c r="L97" s="618"/>
      <c r="M97" s="1339"/>
    </row>
    <row r="98" spans="2:13" ht="18">
      <c r="B98" s="78" t="s">
        <v>2252</v>
      </c>
      <c r="C98" s="78"/>
      <c r="D98" s="98"/>
      <c r="E98" s="98"/>
      <c r="F98" s="98"/>
      <c r="G98" s="98"/>
      <c r="H98" s="110">
        <v>255</v>
      </c>
      <c r="I98" s="97"/>
      <c r="J98" s="89"/>
      <c r="K98" s="89"/>
      <c r="L98" s="618"/>
      <c r="M98" s="1339"/>
    </row>
    <row r="99" spans="2:13" ht="18">
      <c r="B99" s="78" t="s">
        <v>2145</v>
      </c>
      <c r="C99" s="94" t="s">
        <v>751</v>
      </c>
      <c r="D99" s="1335"/>
      <c r="E99" s="1335"/>
      <c r="F99" s="1335"/>
      <c r="G99" s="1335"/>
      <c r="H99" s="110">
        <v>256</v>
      </c>
      <c r="I99" s="404">
        <f>MISC!L51</f>
        <v>0</v>
      </c>
      <c r="J99" s="89"/>
      <c r="K99" s="89"/>
      <c r="L99" s="618"/>
      <c r="M99" s="1339"/>
    </row>
    <row r="100" spans="2:13" ht="18">
      <c r="B100" s="78"/>
      <c r="C100" s="78"/>
      <c r="D100" s="98"/>
      <c r="E100" s="98"/>
      <c r="F100" s="92"/>
      <c r="G100" s="92" t="s">
        <v>2255</v>
      </c>
      <c r="H100" s="110">
        <v>257</v>
      </c>
      <c r="I100" s="404">
        <f>SUM(I90:I99)</f>
        <v>0</v>
      </c>
      <c r="J100" s="1167" t="s">
        <v>1600</v>
      </c>
      <c r="K100" s="388">
        <f>I100</f>
        <v>0</v>
      </c>
      <c r="L100" s="618"/>
      <c r="M100" s="1339"/>
    </row>
    <row r="101" spans="2:13" ht="15.75">
      <c r="B101" s="80"/>
      <c r="C101" s="80"/>
      <c r="D101" s="99"/>
      <c r="E101" s="91"/>
      <c r="F101" s="99"/>
      <c r="G101" s="91"/>
      <c r="H101" s="80"/>
      <c r="I101" s="81" t="s">
        <v>2146</v>
      </c>
      <c r="J101" s="91"/>
      <c r="K101" s="1344">
        <f>MAXA(0,(K87-K100))</f>
        <v>0</v>
      </c>
      <c r="L101" s="618"/>
      <c r="M101" s="1339"/>
    </row>
    <row r="102" spans="2:13" ht="15.75">
      <c r="B102" s="80"/>
      <c r="C102" s="80"/>
      <c r="D102" s="99"/>
      <c r="E102" s="99"/>
      <c r="F102" s="99"/>
      <c r="G102" s="99"/>
      <c r="H102" s="99"/>
      <c r="I102" s="81" t="s">
        <v>546</v>
      </c>
      <c r="J102" s="110">
        <v>260</v>
      </c>
      <c r="K102" s="1345"/>
      <c r="L102" s="618"/>
      <c r="M102" s="1339"/>
    </row>
    <row r="103" spans="2:13" ht="18">
      <c r="B103" s="80"/>
      <c r="C103" s="80"/>
      <c r="D103" s="99"/>
      <c r="E103" s="99"/>
      <c r="F103" s="99"/>
      <c r="G103" s="99"/>
      <c r="H103" s="99"/>
      <c r="I103" s="81"/>
      <c r="J103" s="110"/>
      <c r="K103" s="89"/>
      <c r="L103" s="618"/>
      <c r="M103" s="1339"/>
    </row>
    <row r="104" spans="2:13" ht="18">
      <c r="B104" s="89" t="s">
        <v>16</v>
      </c>
      <c r="C104" s="80"/>
      <c r="D104" s="99"/>
      <c r="E104" s="99"/>
      <c r="F104" s="99"/>
      <c r="G104" s="99"/>
      <c r="H104" s="99"/>
      <c r="I104" s="81"/>
      <c r="J104" s="110"/>
      <c r="K104" s="89"/>
      <c r="L104" s="618"/>
      <c r="M104" s="1339"/>
    </row>
    <row r="105" spans="2:13" ht="18">
      <c r="B105" s="89" t="s">
        <v>15</v>
      </c>
      <c r="C105" s="80"/>
      <c r="D105" s="99"/>
      <c r="E105" s="99"/>
      <c r="F105" s="99"/>
      <c r="G105" s="99"/>
      <c r="H105" s="99"/>
      <c r="I105" s="81"/>
      <c r="J105" s="110"/>
      <c r="K105" s="89"/>
      <c r="L105" s="618"/>
      <c r="M105" s="1339"/>
    </row>
    <row r="106" spans="2:13" ht="18">
      <c r="B106" s="89"/>
      <c r="C106" s="80"/>
      <c r="D106" s="99"/>
      <c r="E106" s="99"/>
      <c r="F106" s="99"/>
      <c r="G106" s="99"/>
      <c r="H106" s="99"/>
      <c r="I106" s="81"/>
      <c r="J106" s="110"/>
      <c r="K106" s="89"/>
      <c r="L106" s="618"/>
      <c r="M106" s="1339"/>
    </row>
    <row r="107" spans="1:13" ht="15">
      <c r="A107" s="620"/>
      <c r="B107" s="80"/>
      <c r="C107" s="80"/>
      <c r="D107" s="80"/>
      <c r="E107" s="80"/>
      <c r="F107" s="80"/>
      <c r="G107" s="80"/>
      <c r="H107" s="80"/>
      <c r="I107" s="80"/>
      <c r="J107" s="80"/>
      <c r="K107" s="80"/>
      <c r="L107" s="80"/>
      <c r="M107" s="1339"/>
    </row>
    <row r="108" spans="2:13" ht="6.75" customHeight="1">
      <c r="B108" s="80"/>
      <c r="C108" s="89"/>
      <c r="D108" s="89"/>
      <c r="E108" s="99"/>
      <c r="F108" s="89"/>
      <c r="G108" s="89"/>
      <c r="H108" s="89"/>
      <c r="I108" s="89"/>
      <c r="J108" s="89"/>
      <c r="K108" s="89"/>
      <c r="L108" s="618"/>
      <c r="M108" s="1339"/>
    </row>
    <row r="109" spans="2:13" ht="20.25">
      <c r="B109" s="1095" t="s">
        <v>1844</v>
      </c>
      <c r="C109" s="80"/>
      <c r="D109" s="89"/>
      <c r="E109" s="89"/>
      <c r="F109" s="89"/>
      <c r="G109" s="89"/>
      <c r="H109" s="89"/>
      <c r="I109" s="89"/>
      <c r="J109" s="89"/>
      <c r="K109" s="115">
        <v>4</v>
      </c>
      <c r="L109" s="618"/>
      <c r="M109" s="1339"/>
    </row>
    <row r="110" spans="2:13" ht="21" customHeight="1">
      <c r="B110" s="77" t="s">
        <v>31</v>
      </c>
      <c r="C110" s="77"/>
      <c r="D110" s="104"/>
      <c r="E110" s="104"/>
      <c r="F110" s="104"/>
      <c r="G110" s="104"/>
      <c r="H110" s="104"/>
      <c r="I110" s="104"/>
      <c r="J110" s="110">
        <v>420</v>
      </c>
      <c r="K110" s="388">
        <f>Sch1!J87</f>
        <v>0</v>
      </c>
      <c r="L110" s="618"/>
      <c r="M110" s="1339"/>
    </row>
    <row r="111" spans="2:13" ht="15.75">
      <c r="B111" s="78" t="s">
        <v>1630</v>
      </c>
      <c r="C111" s="78"/>
      <c r="D111" s="92"/>
      <c r="E111" s="92"/>
      <c r="F111" s="92"/>
      <c r="G111" s="92"/>
      <c r="H111" s="92"/>
      <c r="I111" s="92"/>
      <c r="J111" s="110">
        <v>421</v>
      </c>
      <c r="K111" s="404">
        <f>Sch8!I26</f>
        <v>0</v>
      </c>
      <c r="L111" s="618"/>
      <c r="M111" s="1339"/>
    </row>
    <row r="112" spans="2:13" ht="15.75">
      <c r="B112" s="78" t="s">
        <v>1846</v>
      </c>
      <c r="C112" s="90"/>
      <c r="D112" s="92"/>
      <c r="E112" s="86"/>
      <c r="F112" s="92"/>
      <c r="G112" s="92"/>
      <c r="H112" s="93"/>
      <c r="I112" s="93"/>
      <c r="J112" s="110">
        <v>422</v>
      </c>
      <c r="K112" s="404">
        <f>K85</f>
        <v>0</v>
      </c>
      <c r="L112" s="618"/>
      <c r="M112" s="1339"/>
    </row>
    <row r="113" spans="2:13" ht="9" customHeight="1">
      <c r="B113" s="84"/>
      <c r="C113" s="95"/>
      <c r="D113" s="105"/>
      <c r="E113" s="109"/>
      <c r="F113" s="105"/>
      <c r="G113" s="105"/>
      <c r="H113" s="105"/>
      <c r="I113" s="105"/>
      <c r="J113" s="110"/>
      <c r="K113" s="89"/>
      <c r="L113" s="618"/>
      <c r="M113" s="1339"/>
    </row>
    <row r="114" spans="2:13" ht="18">
      <c r="B114" s="922" t="s">
        <v>1428</v>
      </c>
      <c r="C114" s="234"/>
      <c r="D114" s="241"/>
      <c r="E114" s="241"/>
      <c r="F114" s="241"/>
      <c r="G114" s="241"/>
      <c r="H114" s="241"/>
      <c r="I114" s="923"/>
      <c r="J114" s="110" t="s">
        <v>1734</v>
      </c>
      <c r="K114" s="652">
        <f>VLOOKUP("L428",D46:J47,C45,FALSE)</f>
        <v>0</v>
      </c>
      <c r="L114" s="618"/>
      <c r="M114" s="1339"/>
    </row>
    <row r="115" spans="2:13" ht="15.75">
      <c r="B115" s="80"/>
      <c r="C115" s="80"/>
      <c r="D115" s="81"/>
      <c r="E115" s="81"/>
      <c r="F115" s="81"/>
      <c r="G115" s="81"/>
      <c r="H115" s="81"/>
      <c r="I115" s="81" t="s">
        <v>1739</v>
      </c>
      <c r="J115" s="110"/>
      <c r="K115" s="81"/>
      <c r="L115" s="618"/>
      <c r="M115" s="1339"/>
    </row>
    <row r="116" spans="2:13" ht="15.75">
      <c r="B116" s="80"/>
      <c r="C116" s="80"/>
      <c r="D116" s="81"/>
      <c r="E116" s="81"/>
      <c r="F116" s="81"/>
      <c r="G116" s="81"/>
      <c r="H116" s="81"/>
      <c r="I116" s="81" t="s">
        <v>548</v>
      </c>
      <c r="J116" s="110">
        <v>435</v>
      </c>
      <c r="K116" s="388">
        <f>SUM(K110:K114)</f>
        <v>0</v>
      </c>
      <c r="L116" s="1170" t="s">
        <v>999</v>
      </c>
      <c r="M116" s="1339"/>
    </row>
    <row r="117" spans="2:13" ht="7.5" customHeight="1">
      <c r="B117" s="80"/>
      <c r="C117" s="80"/>
      <c r="D117" s="81"/>
      <c r="E117" s="81"/>
      <c r="F117" s="81"/>
      <c r="G117" s="81"/>
      <c r="H117" s="81"/>
      <c r="I117" s="81"/>
      <c r="J117" s="110"/>
      <c r="K117" s="81"/>
      <c r="L117" s="618"/>
      <c r="M117" s="1339"/>
    </row>
    <row r="118" spans="2:13" ht="15.75">
      <c r="B118" s="77" t="s">
        <v>388</v>
      </c>
      <c r="C118" s="77"/>
      <c r="D118" s="93"/>
      <c r="E118" s="93"/>
      <c r="F118" s="93"/>
      <c r="G118" s="93"/>
      <c r="H118" s="110">
        <v>437</v>
      </c>
      <c r="I118" s="388">
        <f>MISC!L61</f>
        <v>0</v>
      </c>
      <c r="J118" s="1170" t="s">
        <v>999</v>
      </c>
      <c r="K118" s="81"/>
      <c r="L118" s="618"/>
      <c r="M118" s="1339"/>
    </row>
    <row r="119" spans="2:13" ht="15.75">
      <c r="B119" s="78" t="s">
        <v>1308</v>
      </c>
      <c r="C119" s="78"/>
      <c r="D119" s="92"/>
      <c r="E119" s="92"/>
      <c r="F119" s="92"/>
      <c r="G119" s="92"/>
      <c r="H119" s="110">
        <v>440</v>
      </c>
      <c r="I119" s="97"/>
      <c r="J119" s="1170" t="s">
        <v>999</v>
      </c>
      <c r="K119" s="81"/>
      <c r="L119" s="618"/>
      <c r="M119" s="1339"/>
    </row>
    <row r="120" spans="2:13" ht="15.75">
      <c r="B120" s="78" t="s">
        <v>578</v>
      </c>
      <c r="C120" s="78"/>
      <c r="D120" s="92"/>
      <c r="E120" s="92"/>
      <c r="F120" s="92"/>
      <c r="G120" s="92"/>
      <c r="H120" s="110">
        <v>448</v>
      </c>
      <c r="I120" s="388">
        <f>MAX(0,'T2204'!I23)</f>
        <v>0</v>
      </c>
      <c r="J120" s="1170" t="s">
        <v>999</v>
      </c>
      <c r="K120" s="81"/>
      <c r="L120" s="618"/>
      <c r="M120" s="1339"/>
    </row>
    <row r="121" spans="2:13" ht="15.75">
      <c r="B121" s="78" t="s">
        <v>132</v>
      </c>
      <c r="C121" s="78"/>
      <c r="D121" s="92"/>
      <c r="E121" s="92"/>
      <c r="F121" s="92"/>
      <c r="G121" s="92"/>
      <c r="H121" s="110">
        <v>450</v>
      </c>
      <c r="I121" s="404">
        <f>MISC!L64</f>
        <v>0</v>
      </c>
      <c r="J121" s="1170" t="s">
        <v>999</v>
      </c>
      <c r="K121" s="81"/>
      <c r="L121" s="618"/>
      <c r="M121" s="1339"/>
    </row>
    <row r="122" spans="2:13" ht="15.75">
      <c r="B122" s="78" t="s">
        <v>133</v>
      </c>
      <c r="C122" s="78"/>
      <c r="D122" s="92"/>
      <c r="E122" s="92"/>
      <c r="F122" s="92"/>
      <c r="G122" s="92"/>
      <c r="H122" s="110">
        <v>452</v>
      </c>
      <c r="I122" s="404">
        <f>IF(AND(age&gt;17,QUAL!G28,'FED WRK'!I166&gt;=2919),'FED WRK'!I159,0)</f>
        <v>0</v>
      </c>
      <c r="J122" s="1170" t="s">
        <v>999</v>
      </c>
      <c r="K122" s="81"/>
      <c r="L122" s="618"/>
      <c r="M122" s="1339"/>
    </row>
    <row r="123" spans="2:13" ht="15.75">
      <c r="B123" s="78" t="s">
        <v>1429</v>
      </c>
      <c r="C123" s="78"/>
      <c r="D123" s="92"/>
      <c r="E123" s="92"/>
      <c r="F123" s="92"/>
      <c r="G123" s="92"/>
      <c r="H123" s="110">
        <v>454</v>
      </c>
      <c r="I123" s="97"/>
      <c r="J123" s="1170" t="s">
        <v>999</v>
      </c>
      <c r="K123" s="81"/>
      <c r="L123" s="618"/>
      <c r="M123" s="1339"/>
    </row>
    <row r="124" spans="2:13" ht="15.75">
      <c r="B124" s="78" t="s">
        <v>1740</v>
      </c>
      <c r="C124" s="78"/>
      <c r="D124" s="92"/>
      <c r="E124" s="92"/>
      <c r="F124" s="92"/>
      <c r="G124" s="92"/>
      <c r="H124" s="110">
        <v>456</v>
      </c>
      <c r="I124" s="404">
        <f>MISC!L65</f>
        <v>0</v>
      </c>
      <c r="J124" s="1170" t="s">
        <v>999</v>
      </c>
      <c r="K124" s="81"/>
      <c r="L124" s="618"/>
      <c r="M124" s="1339"/>
    </row>
    <row r="125" spans="2:13" ht="15.75">
      <c r="B125" s="84"/>
      <c r="C125" s="84"/>
      <c r="D125" s="106"/>
      <c r="E125" s="106"/>
      <c r="F125" s="106"/>
      <c r="G125" s="106"/>
      <c r="H125" s="110"/>
      <c r="I125" s="81"/>
      <c r="J125" s="81"/>
      <c r="K125" s="81"/>
      <c r="L125" s="618"/>
      <c r="M125" s="1339"/>
    </row>
    <row r="126" spans="2:13" ht="15" customHeight="1">
      <c r="B126" s="77" t="s">
        <v>2157</v>
      </c>
      <c r="C126" s="77"/>
      <c r="D126" s="93"/>
      <c r="E126" s="93"/>
      <c r="F126" s="93"/>
      <c r="G126" s="93"/>
      <c r="H126" s="110">
        <v>457</v>
      </c>
      <c r="I126" s="108"/>
      <c r="J126" s="1170" t="s">
        <v>999</v>
      </c>
      <c r="K126" s="81"/>
      <c r="L126" s="618"/>
      <c r="M126" s="1339"/>
    </row>
    <row r="127" spans="2:13" ht="15.75">
      <c r="B127" s="78" t="s">
        <v>2158</v>
      </c>
      <c r="C127" s="90"/>
      <c r="D127" s="92"/>
      <c r="E127" s="92"/>
      <c r="F127" s="92"/>
      <c r="G127" s="92"/>
      <c r="H127" s="110">
        <v>476</v>
      </c>
      <c r="I127" s="97"/>
      <c r="J127" s="1170" t="s">
        <v>999</v>
      </c>
      <c r="K127" s="81"/>
      <c r="L127" s="618"/>
      <c r="M127" s="1339"/>
    </row>
    <row r="128" spans="2:13" ht="24.75" customHeight="1">
      <c r="B128" s="924" t="s">
        <v>791</v>
      </c>
      <c r="C128" s="237"/>
      <c r="D128" s="471"/>
      <c r="E128" s="471"/>
      <c r="F128" s="471"/>
      <c r="G128" s="471"/>
      <c r="H128" s="110">
        <v>479</v>
      </c>
      <c r="I128" s="651">
        <f>VLOOKUP("L479",D46:J47,C45,FALSE)</f>
        <v>0</v>
      </c>
      <c r="J128" s="1170" t="s">
        <v>999</v>
      </c>
      <c r="K128" s="81"/>
      <c r="L128" s="618"/>
      <c r="M128" s="1339"/>
    </row>
    <row r="129" spans="2:13" ht="15.75">
      <c r="B129" s="80"/>
      <c r="C129" s="80"/>
      <c r="D129" s="81"/>
      <c r="E129" s="81"/>
      <c r="F129" s="81"/>
      <c r="G129" s="81" t="s">
        <v>1741</v>
      </c>
      <c r="H129" s="99"/>
      <c r="I129" s="81"/>
      <c r="J129" s="81"/>
      <c r="K129" s="81"/>
      <c r="L129" s="618"/>
      <c r="M129" s="1339"/>
    </row>
    <row r="130" spans="2:13" ht="18">
      <c r="B130" s="80"/>
      <c r="C130" s="80"/>
      <c r="D130" s="81"/>
      <c r="E130" s="81"/>
      <c r="F130" s="81"/>
      <c r="G130" s="81" t="s">
        <v>549</v>
      </c>
      <c r="H130" s="110">
        <v>482</v>
      </c>
      <c r="I130" s="388">
        <f>SUM(I118:I128)</f>
        <v>0</v>
      </c>
      <c r="J130" s="1167" t="s">
        <v>1600</v>
      </c>
      <c r="K130" s="388">
        <f>I130</f>
        <v>0</v>
      </c>
      <c r="L130" s="618"/>
      <c r="M130" s="1339"/>
    </row>
    <row r="131" spans="2:13" ht="19.5" customHeight="1">
      <c r="B131" s="80"/>
      <c r="C131" s="80"/>
      <c r="D131" s="81"/>
      <c r="E131" s="81"/>
      <c r="F131" s="81"/>
      <c r="G131" s="105"/>
      <c r="H131" s="1123"/>
      <c r="I131" s="1124" t="s">
        <v>664</v>
      </c>
      <c r="J131" s="81"/>
      <c r="K131" s="660">
        <f>K116-K130</f>
        <v>0</v>
      </c>
      <c r="L131" s="618"/>
      <c r="M131" s="1339"/>
    </row>
    <row r="132" spans="2:13" ht="22.5" customHeight="1">
      <c r="B132" s="80"/>
      <c r="C132" s="80"/>
      <c r="D132" s="81"/>
      <c r="E132" s="81"/>
      <c r="F132" s="81" t="s">
        <v>1037</v>
      </c>
      <c r="G132" s="81"/>
      <c r="H132" s="81"/>
      <c r="I132" s="99"/>
      <c r="J132" s="81"/>
      <c r="K132" s="81" t="s">
        <v>1038</v>
      </c>
      <c r="L132" s="618"/>
      <c r="M132" s="1339"/>
    </row>
    <row r="133" spans="2:13" ht="15">
      <c r="B133" s="80"/>
      <c r="C133" s="1333"/>
      <c r="D133" s="1334"/>
      <c r="E133" s="81"/>
      <c r="F133" s="81"/>
      <c r="G133" s="81"/>
      <c r="H133" s="81"/>
      <c r="I133" s="81"/>
      <c r="J133" s="81"/>
      <c r="K133" s="81" t="s">
        <v>665</v>
      </c>
      <c r="L133" s="618"/>
      <c r="M133" s="1339"/>
    </row>
    <row r="134" spans="2:13" ht="24.75" customHeight="1">
      <c r="B134" s="80"/>
      <c r="C134" s="80"/>
      <c r="D134" s="80"/>
      <c r="E134" s="80"/>
      <c r="F134" s="80"/>
      <c r="G134" s="107" t="s">
        <v>551</v>
      </c>
      <c r="H134" s="81"/>
      <c r="I134" s="99"/>
      <c r="J134" s="81"/>
      <c r="K134" s="80"/>
      <c r="L134" s="618"/>
      <c r="M134" s="1339"/>
    </row>
    <row r="135" spans="2:13" ht="4.5" customHeight="1">
      <c r="B135" s="80"/>
      <c r="C135" s="80"/>
      <c r="D135" s="80"/>
      <c r="E135" s="80"/>
      <c r="F135" s="80"/>
      <c r="G135" s="107"/>
      <c r="H135" s="81"/>
      <c r="I135" s="99"/>
      <c r="J135" s="81"/>
      <c r="K135" s="80"/>
      <c r="L135" s="618"/>
      <c r="M135" s="1339"/>
    </row>
    <row r="136" spans="2:13" ht="15.75">
      <c r="B136" s="91" t="s">
        <v>277</v>
      </c>
      <c r="C136" s="1346">
        <f>IF(K131&lt;(-2),-K131,0)</f>
        <v>0</v>
      </c>
      <c r="D136" s="1347"/>
      <c r="E136" s="1347"/>
      <c r="F136" s="80"/>
      <c r="G136" s="80"/>
      <c r="H136" s="81"/>
      <c r="I136" s="1125" t="s">
        <v>550</v>
      </c>
      <c r="J136" s="110">
        <v>485</v>
      </c>
      <c r="K136" s="388">
        <f>IF(MAXA($K$131,0)&gt;2,MAXA($K$131,0),0)</f>
        <v>0</v>
      </c>
      <c r="L136" s="1170" t="s">
        <v>999</v>
      </c>
      <c r="M136" s="1339"/>
    </row>
    <row r="137" spans="2:13" ht="5.25" customHeight="1">
      <c r="B137" s="81"/>
      <c r="C137" s="80"/>
      <c r="D137" s="80"/>
      <c r="E137" s="80"/>
      <c r="F137" s="80"/>
      <c r="G137" s="80"/>
      <c r="H137" s="81"/>
      <c r="I137" s="91"/>
      <c r="J137" s="99"/>
      <c r="K137" s="91"/>
      <c r="L137" s="618"/>
      <c r="M137" s="1339"/>
    </row>
    <row r="138" spans="2:13" ht="15" customHeight="1">
      <c r="B138" s="80"/>
      <c r="C138" s="80"/>
      <c r="D138" s="80"/>
      <c r="E138" s="80"/>
      <c r="F138" s="80"/>
      <c r="G138" s="80"/>
      <c r="H138" s="81"/>
      <c r="I138" s="1125" t="s">
        <v>101</v>
      </c>
      <c r="J138" s="110">
        <v>486</v>
      </c>
      <c r="K138" s="204"/>
      <c r="L138" s="1170" t="s">
        <v>999</v>
      </c>
      <c r="M138" s="1339"/>
    </row>
    <row r="139" spans="2:13" ht="22.5" customHeight="1">
      <c r="B139" s="82" t="s">
        <v>1796</v>
      </c>
      <c r="C139" s="107"/>
      <c r="D139" s="80"/>
      <c r="E139" s="80"/>
      <c r="F139" s="81"/>
      <c r="G139" s="80"/>
      <c r="H139" s="81"/>
      <c r="I139" s="91"/>
      <c r="J139" s="110"/>
      <c r="K139" s="81" t="str">
        <f>"  Your payment is due no later than April 30, "&amp;nextyeartext&amp;"."</f>
        <v>  Your payment is due no later than April 30, 2007.</v>
      </c>
      <c r="L139" s="618"/>
      <c r="M139" s="1339"/>
    </row>
    <row r="140" spans="2:13" ht="7.5" customHeight="1">
      <c r="B140" s="80"/>
      <c r="C140" s="80"/>
      <c r="D140" s="80"/>
      <c r="E140" s="80"/>
      <c r="F140" s="80"/>
      <c r="G140" s="80"/>
      <c r="H140" s="81"/>
      <c r="I140" s="91"/>
      <c r="J140" s="110"/>
      <c r="K140" s="91"/>
      <c r="L140" s="618"/>
      <c r="M140" s="1339"/>
    </row>
    <row r="141" spans="2:13" ht="15.75">
      <c r="B141" s="80"/>
      <c r="C141" s="1126" t="s">
        <v>552</v>
      </c>
      <c r="D141" s="80"/>
      <c r="E141" s="80"/>
      <c r="F141" s="80"/>
      <c r="G141" s="80"/>
      <c r="H141" s="81"/>
      <c r="I141" s="99"/>
      <c r="J141" s="91"/>
      <c r="K141" s="91"/>
      <c r="L141" s="618"/>
      <c r="M141" s="1339"/>
    </row>
    <row r="142" spans="2:13" ht="15.75">
      <c r="B142" s="80"/>
      <c r="C142" s="99" t="s">
        <v>2160</v>
      </c>
      <c r="D142" s="80"/>
      <c r="E142" s="80"/>
      <c r="F142" s="80"/>
      <c r="G142" s="82"/>
      <c r="H142" s="81"/>
      <c r="I142" s="91"/>
      <c r="J142" s="91"/>
      <c r="K142" s="81"/>
      <c r="L142" s="618"/>
      <c r="M142" s="1339"/>
    </row>
    <row r="143" spans="2:13" ht="15">
      <c r="B143" s="80"/>
      <c r="C143" s="80" t="s">
        <v>2159</v>
      </c>
      <c r="D143" s="80"/>
      <c r="E143" s="80"/>
      <c r="F143" s="80"/>
      <c r="G143" s="82"/>
      <c r="H143" s="80"/>
      <c r="I143" s="80"/>
      <c r="J143" s="80"/>
      <c r="K143" s="81"/>
      <c r="L143" s="618"/>
      <c r="M143" s="1339"/>
    </row>
    <row r="144" spans="2:13" ht="21.75" customHeight="1">
      <c r="B144" s="80"/>
      <c r="C144" s="99" t="s">
        <v>433</v>
      </c>
      <c r="D144" s="80"/>
      <c r="E144" s="80"/>
      <c r="F144" s="80"/>
      <c r="G144" s="80"/>
      <c r="H144" s="80"/>
      <c r="I144" s="80"/>
      <c r="J144" s="80"/>
      <c r="K144" s="80" t="s">
        <v>102</v>
      </c>
      <c r="L144" s="618"/>
      <c r="M144" s="1339"/>
    </row>
    <row r="145" spans="2:13" ht="15.75">
      <c r="B145" s="80"/>
      <c r="C145" s="80" t="s">
        <v>1430</v>
      </c>
      <c r="D145" s="80"/>
      <c r="E145" s="80"/>
      <c r="F145" s="80"/>
      <c r="G145" s="80"/>
      <c r="H145" s="80"/>
      <c r="I145" s="80"/>
      <c r="J145" s="80"/>
      <c r="K145" s="80"/>
      <c r="L145" s="618"/>
      <c r="M145" s="1339"/>
    </row>
    <row r="146" spans="2:13" ht="21.75" customHeight="1">
      <c r="B146" s="80"/>
      <c r="C146" s="99" t="s">
        <v>553</v>
      </c>
      <c r="D146" s="80"/>
      <c r="E146" s="80"/>
      <c r="F146" s="80"/>
      <c r="G146" s="80"/>
      <c r="H146" s="80"/>
      <c r="I146" s="80"/>
      <c r="J146" s="80"/>
      <c r="K146" s="80"/>
      <c r="L146" s="618"/>
      <c r="M146" s="1339"/>
    </row>
    <row r="147" spans="2:13" ht="15.75">
      <c r="B147" s="80"/>
      <c r="C147" s="80" t="s">
        <v>554</v>
      </c>
      <c r="D147" s="80"/>
      <c r="E147" s="80"/>
      <c r="F147" s="80"/>
      <c r="G147" s="80"/>
      <c r="H147" s="80"/>
      <c r="I147" s="80"/>
      <c r="J147" s="80"/>
      <c r="K147" s="80"/>
      <c r="L147" s="618"/>
      <c r="M147" s="1339"/>
    </row>
    <row r="148" spans="2:13" ht="15.75">
      <c r="B148" s="80"/>
      <c r="C148" s="80" t="s">
        <v>555</v>
      </c>
      <c r="D148" s="80"/>
      <c r="E148" s="80"/>
      <c r="F148" s="80"/>
      <c r="G148" s="80"/>
      <c r="H148" s="80"/>
      <c r="I148" s="80"/>
      <c r="J148" s="80"/>
      <c r="K148" s="80"/>
      <c r="L148" s="618"/>
      <c r="M148" s="1339"/>
    </row>
    <row r="149" spans="2:13" ht="24" customHeight="1">
      <c r="B149" s="80"/>
      <c r="C149" s="107" t="s">
        <v>1046</v>
      </c>
      <c r="D149" s="107"/>
      <c r="E149" s="107" t="s">
        <v>1048</v>
      </c>
      <c r="F149" s="80"/>
      <c r="G149" s="80"/>
      <c r="H149" s="80"/>
      <c r="I149" s="80"/>
      <c r="J149" s="80"/>
      <c r="K149" s="80"/>
      <c r="L149" s="618"/>
      <c r="M149" s="1339"/>
    </row>
    <row r="150" spans="2:13" ht="15">
      <c r="B150" s="80"/>
      <c r="C150" s="107" t="s">
        <v>1047</v>
      </c>
      <c r="D150" s="107"/>
      <c r="E150" s="107" t="s">
        <v>1047</v>
      </c>
      <c r="F150" s="80"/>
      <c r="G150" s="107" t="s">
        <v>912</v>
      </c>
      <c r="H150" s="107"/>
      <c r="I150" s="107" t="s">
        <v>1049</v>
      </c>
      <c r="J150" s="80"/>
      <c r="K150" s="107" t="s">
        <v>556</v>
      </c>
      <c r="L150" s="618"/>
      <c r="M150" s="1339"/>
    </row>
    <row r="151" spans="2:13" ht="21" customHeight="1">
      <c r="B151" s="91" t="s">
        <v>1399</v>
      </c>
      <c r="C151" s="921"/>
      <c r="D151" s="621" t="s">
        <v>1398</v>
      </c>
      <c r="E151" s="925"/>
      <c r="F151" s="621" t="s">
        <v>1050</v>
      </c>
      <c r="G151" s="1127"/>
      <c r="H151" s="622">
        <v>463</v>
      </c>
      <c r="I151" s="601" t="s">
        <v>288</v>
      </c>
      <c r="J151" s="622">
        <v>491</v>
      </c>
      <c r="K151" s="601" t="s">
        <v>288</v>
      </c>
      <c r="L151" s="618"/>
      <c r="M151" s="1339"/>
    </row>
    <row r="152" spans="2:13" ht="15">
      <c r="B152" s="80"/>
      <c r="C152" s="623" t="s">
        <v>91</v>
      </c>
      <c r="D152" s="624"/>
      <c r="E152" s="623" t="s">
        <v>1400</v>
      </c>
      <c r="F152" s="624"/>
      <c r="G152" s="1129" t="s">
        <v>1401</v>
      </c>
      <c r="H152" s="1128"/>
      <c r="I152" s="618"/>
      <c r="J152" s="80"/>
      <c r="K152" s="80"/>
      <c r="L152" s="618"/>
      <c r="M152" s="1339"/>
    </row>
    <row r="153" spans="2:13" ht="8.25" customHeight="1">
      <c r="B153" s="80"/>
      <c r="C153" s="618"/>
      <c r="D153" s="80"/>
      <c r="E153" s="80"/>
      <c r="F153" s="80"/>
      <c r="G153" s="80"/>
      <c r="H153" s="80"/>
      <c r="I153" s="80"/>
      <c r="J153" s="80"/>
      <c r="K153" s="80"/>
      <c r="L153" s="618"/>
      <c r="M153" s="1339"/>
    </row>
    <row r="154" spans="2:13" ht="6.75" customHeight="1">
      <c r="B154" s="80"/>
      <c r="C154" s="618"/>
      <c r="D154" s="80"/>
      <c r="E154" s="80"/>
      <c r="F154" s="80"/>
      <c r="G154" s="80"/>
      <c r="H154" s="80"/>
      <c r="I154" s="80"/>
      <c r="J154" s="80"/>
      <c r="K154" s="80"/>
      <c r="L154" s="618"/>
      <c r="M154" s="1339"/>
    </row>
    <row r="155" spans="2:13" ht="15">
      <c r="B155" s="80"/>
      <c r="C155" s="80"/>
      <c r="D155" s="80"/>
      <c r="E155" s="80"/>
      <c r="F155" s="80"/>
      <c r="G155" s="80"/>
      <c r="H155" s="80"/>
      <c r="I155" s="80"/>
      <c r="J155" s="80"/>
      <c r="K155" s="80"/>
      <c r="L155" s="80"/>
      <c r="M155" s="1339"/>
    </row>
    <row r="156" spans="2:13" ht="15">
      <c r="B156" s="80"/>
      <c r="C156" s="80"/>
      <c r="D156" s="80"/>
      <c r="E156" s="80"/>
      <c r="F156" s="80"/>
      <c r="G156" s="80"/>
      <c r="H156" s="80"/>
      <c r="I156" s="80"/>
      <c r="J156" s="80"/>
      <c r="K156" s="80"/>
      <c r="L156" s="80"/>
      <c r="M156" s="1339"/>
    </row>
    <row r="157" spans="2:13" ht="15">
      <c r="B157" s="80"/>
      <c r="C157" s="80"/>
      <c r="D157" s="80"/>
      <c r="E157" s="80"/>
      <c r="F157" s="80"/>
      <c r="G157" s="80"/>
      <c r="H157" s="80"/>
      <c r="I157" s="80"/>
      <c r="J157" s="80"/>
      <c r="K157" s="80"/>
      <c r="L157" s="80"/>
      <c r="M157" s="1339"/>
    </row>
    <row r="158" spans="2:13" ht="15">
      <c r="B158" s="80"/>
      <c r="C158" s="80"/>
      <c r="D158" s="80"/>
      <c r="E158" s="80"/>
      <c r="F158" s="80"/>
      <c r="G158" s="80"/>
      <c r="H158" s="80"/>
      <c r="I158" s="80"/>
      <c r="J158" s="80"/>
      <c r="K158" s="80"/>
      <c r="L158" s="80"/>
      <c r="M158" s="1339"/>
    </row>
    <row r="159" spans="2:13" ht="15">
      <c r="B159" s="80"/>
      <c r="C159" s="80"/>
      <c r="D159" s="80"/>
      <c r="E159" s="80"/>
      <c r="F159" s="80"/>
      <c r="G159" s="80"/>
      <c r="H159" s="80"/>
      <c r="I159" s="80"/>
      <c r="J159" s="80"/>
      <c r="K159" s="80"/>
      <c r="L159" s="80"/>
      <c r="M159" s="1339"/>
    </row>
    <row r="160" spans="2:13" ht="11.25" customHeight="1">
      <c r="B160" s="618"/>
      <c r="C160" s="618"/>
      <c r="D160" s="618"/>
      <c r="E160" s="618"/>
      <c r="F160" s="618"/>
      <c r="G160" s="618"/>
      <c r="H160" s="618"/>
      <c r="I160" s="618"/>
      <c r="J160" s="618"/>
      <c r="K160" s="618"/>
      <c r="L160" s="618"/>
      <c r="M160" s="1339"/>
    </row>
    <row r="161" spans="2:13" ht="15.75">
      <c r="B161" s="632" t="s">
        <v>1933</v>
      </c>
      <c r="C161" s="625"/>
      <c r="D161" s="625"/>
      <c r="E161" s="625"/>
      <c r="F161" s="625"/>
      <c r="G161" s="1130" t="s">
        <v>2303</v>
      </c>
      <c r="H161" s="633" t="s">
        <v>911</v>
      </c>
      <c r="I161" s="1342"/>
      <c r="J161" s="1342"/>
      <c r="K161" s="1342"/>
      <c r="L161" s="1343"/>
      <c r="M161" s="1339"/>
    </row>
    <row r="162" spans="2:13" ht="15">
      <c r="B162" s="627" t="s">
        <v>1934</v>
      </c>
      <c r="C162" s="628"/>
      <c r="D162" s="628"/>
      <c r="E162" s="628"/>
      <c r="F162" s="628"/>
      <c r="G162" s="1131" t="s">
        <v>2304</v>
      </c>
      <c r="H162" s="1133" t="s">
        <v>699</v>
      </c>
      <c r="I162" s="1134"/>
      <c r="J162" s="1134"/>
      <c r="K162" s="1134"/>
      <c r="L162" s="1135"/>
      <c r="M162" s="1339"/>
    </row>
    <row r="163" spans="2:13" ht="15">
      <c r="B163" s="634"/>
      <c r="C163" s="635"/>
      <c r="D163" s="635"/>
      <c r="E163" s="635"/>
      <c r="F163" s="628"/>
      <c r="G163" s="1131" t="s">
        <v>2305</v>
      </c>
      <c r="H163" s="1340"/>
      <c r="I163" s="1340"/>
      <c r="J163" s="1340"/>
      <c r="K163" s="1340"/>
      <c r="L163" s="1341"/>
      <c r="M163" s="1339"/>
    </row>
    <row r="164" spans="2:13" ht="15.75">
      <c r="B164" s="1337" t="s">
        <v>1935</v>
      </c>
      <c r="C164" s="1338"/>
      <c r="D164" s="1338"/>
      <c r="E164" s="1338"/>
      <c r="F164" s="628"/>
      <c r="G164" s="1131" t="s">
        <v>909</v>
      </c>
      <c r="H164" s="1340"/>
      <c r="I164" s="1340"/>
      <c r="J164" s="1340"/>
      <c r="K164" s="1340"/>
      <c r="L164" s="1341"/>
      <c r="M164" s="1339"/>
    </row>
    <row r="165" spans="2:13" ht="15">
      <c r="B165" s="627"/>
      <c r="C165" s="636" t="s">
        <v>2300</v>
      </c>
      <c r="D165" s="628"/>
      <c r="E165" s="628"/>
      <c r="F165" s="628"/>
      <c r="G165" s="1131" t="s">
        <v>910</v>
      </c>
      <c r="H165" s="1340"/>
      <c r="I165" s="1340"/>
      <c r="J165" s="1340"/>
      <c r="K165" s="1340"/>
      <c r="L165" s="1341"/>
      <c r="M165" s="1339"/>
    </row>
    <row r="166" spans="2:13" ht="15">
      <c r="B166" s="284" t="s">
        <v>557</v>
      </c>
      <c r="C166" s="629" t="s">
        <v>2301</v>
      </c>
      <c r="D166" s="1336"/>
      <c r="E166" s="1336"/>
      <c r="F166" s="629"/>
      <c r="G166" s="1132"/>
      <c r="H166" s="629" t="s">
        <v>1334</v>
      </c>
      <c r="I166" s="629"/>
      <c r="J166" s="1340"/>
      <c r="K166" s="1340"/>
      <c r="L166" s="1341"/>
      <c r="M166" s="1339"/>
    </row>
    <row r="167" spans="2:13" ht="8.25" customHeight="1">
      <c r="B167" s="618"/>
      <c r="C167" s="618"/>
      <c r="D167" s="618"/>
      <c r="E167" s="618"/>
      <c r="F167" s="618"/>
      <c r="G167" s="618"/>
      <c r="H167" s="618"/>
      <c r="I167" s="618"/>
      <c r="J167" s="618"/>
      <c r="K167" s="618"/>
      <c r="L167" s="618"/>
      <c r="M167" s="1339"/>
    </row>
    <row r="168" spans="2:13" ht="20.25" customHeight="1">
      <c r="B168" s="637" t="s">
        <v>2302</v>
      </c>
      <c r="C168" s="625"/>
      <c r="D168" s="821"/>
      <c r="E168" s="638"/>
      <c r="F168" s="639"/>
      <c r="G168" s="638"/>
      <c r="H168" s="638"/>
      <c r="I168" s="640"/>
      <c r="J168" s="822"/>
      <c r="K168" s="638"/>
      <c r="L168" s="641"/>
      <c r="M168" s="1339"/>
    </row>
    <row r="169" spans="2:13" ht="15" customHeight="1">
      <c r="B169" s="642" t="s">
        <v>17</v>
      </c>
      <c r="C169" s="628"/>
      <c r="D169" s="821"/>
      <c r="E169" s="638"/>
      <c r="F169" s="643"/>
      <c r="G169" s="638"/>
      <c r="H169" s="638"/>
      <c r="I169" s="636"/>
      <c r="J169" s="822"/>
      <c r="K169" s="638"/>
      <c r="L169" s="644"/>
      <c r="M169" s="1339"/>
    </row>
    <row r="170" spans="2:13" ht="4.5" customHeight="1">
      <c r="B170" s="645"/>
      <c r="C170" s="629"/>
      <c r="D170" s="646"/>
      <c r="E170" s="647"/>
      <c r="F170" s="647"/>
      <c r="G170" s="647"/>
      <c r="H170" s="647"/>
      <c r="I170" s="647"/>
      <c r="J170" s="647"/>
      <c r="K170" s="647"/>
      <c r="L170" s="648"/>
      <c r="M170" s="1339"/>
    </row>
    <row r="171" spans="2:13" ht="15">
      <c r="B171" s="618"/>
      <c r="C171" s="649"/>
      <c r="D171" s="618"/>
      <c r="E171" s="618"/>
      <c r="F171" s="618"/>
      <c r="G171" s="618"/>
      <c r="H171" s="618"/>
      <c r="I171" s="618"/>
      <c r="J171" s="618"/>
      <c r="K171" s="650" t="s">
        <v>547</v>
      </c>
      <c r="L171" s="618"/>
      <c r="M171" s="1339"/>
    </row>
  </sheetData>
  <sheetProtection password="EC35" sheet="1" objects="1" scenarios="1"/>
  <mergeCells count="18">
    <mergeCell ref="B23:E23"/>
    <mergeCell ref="B22:G22"/>
    <mergeCell ref="B41:E41"/>
    <mergeCell ref="I42:I43"/>
    <mergeCell ref="D166:E166"/>
    <mergeCell ref="B164:E164"/>
    <mergeCell ref="M1:M171"/>
    <mergeCell ref="H164:L164"/>
    <mergeCell ref="H165:L165"/>
    <mergeCell ref="J166:L166"/>
    <mergeCell ref="I161:L161"/>
    <mergeCell ref="H163:L163"/>
    <mergeCell ref="K101:K102"/>
    <mergeCell ref="C136:E136"/>
    <mergeCell ref="C133:D133"/>
    <mergeCell ref="D30:G30"/>
    <mergeCell ref="D81:G81"/>
    <mergeCell ref="D99:G99"/>
  </mergeCells>
  <dataValidations count="3">
    <dataValidation type="list" allowBlank="1" showInputMessage="1" showErrorMessage="1" sqref="J6 H6">
      <formula1>"X,'"</formula1>
    </dataValidation>
    <dataValidation type="decimal" allowBlank="1" showInputMessage="1" showErrorMessage="1" errorTitle="Invalid Value" error="Maximum of $600" sqref="I65">
      <formula1>0</formula1>
      <formula2>600</formula2>
    </dataValidation>
    <dataValidation type="list" showInputMessage="1" showErrorMessage="1" sqref="I151 K151">
      <formula1>"X,'"</formula1>
    </dataValidation>
  </dataValidations>
  <hyperlinks>
    <hyperlink ref="I64" location="Sch7!E13" display="Sch7!E13"/>
    <hyperlink ref="M1:M171" location="'GO TO'!B8" display=" "/>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2" manualBreakCount="2">
    <brk id="43" max="11" man="1"/>
    <brk id="107" max="11" man="1"/>
  </rowBreaks>
  <drawing r:id="rId3"/>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L365"/>
  <sheetViews>
    <sheetView zoomScale="75" zoomScaleNormal="75" workbookViewId="0" topLeftCell="A1">
      <selection activeCell="A3" sqref="A3"/>
    </sheetView>
  </sheetViews>
  <sheetFormatPr defaultColWidth="9.77734375" defaultRowHeight="15"/>
  <cols>
    <col min="1" max="1" width="37.77734375" style="495"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26.25">
      <c r="A1" s="137" t="str">
        <f>"T1-"&amp;yeartext</f>
        <v>T1-2006</v>
      </c>
      <c r="B1" s="1166" t="s">
        <v>103</v>
      </c>
      <c r="C1" s="1165"/>
      <c r="D1" s="80"/>
      <c r="E1" s="80"/>
      <c r="F1" s="80"/>
      <c r="G1" s="80"/>
      <c r="H1" s="80"/>
      <c r="I1" s="80"/>
      <c r="J1" s="80"/>
      <c r="K1" s="80"/>
      <c r="L1" s="1270" t="s">
        <v>1793</v>
      </c>
    </row>
    <row r="2" spans="1:12" ht="13.5" customHeight="1">
      <c r="A2" s="138"/>
      <c r="B2" s="80"/>
      <c r="C2" s="141"/>
      <c r="D2" s="80"/>
      <c r="E2" s="80"/>
      <c r="F2" s="80"/>
      <c r="G2" s="80"/>
      <c r="H2" s="80"/>
      <c r="I2" s="80"/>
      <c r="J2" s="80"/>
      <c r="K2" s="80"/>
      <c r="L2" s="1270"/>
    </row>
    <row r="3" spans="1:12" ht="23.25">
      <c r="A3" s="138" t="s">
        <v>1580</v>
      </c>
      <c r="B3" s="80"/>
      <c r="C3" s="141"/>
      <c r="D3" s="80"/>
      <c r="E3" s="80"/>
      <c r="F3" s="80"/>
      <c r="G3" s="80"/>
      <c r="H3" s="80"/>
      <c r="I3" s="80"/>
      <c r="J3" s="80"/>
      <c r="K3" s="80"/>
      <c r="L3" s="1270"/>
    </row>
    <row r="4" spans="1:12" ht="18.75">
      <c r="A4" s="1158" t="s">
        <v>1579</v>
      </c>
      <c r="B4" s="80"/>
      <c r="C4" s="80"/>
      <c r="D4" s="80"/>
      <c r="E4" s="80"/>
      <c r="F4" s="80"/>
      <c r="G4" s="80"/>
      <c r="H4" s="80"/>
      <c r="I4" s="80"/>
      <c r="J4" s="80"/>
      <c r="K4" s="80"/>
      <c r="L4" s="1270"/>
    </row>
    <row r="5" spans="1:12" ht="9.75" customHeight="1">
      <c r="A5" s="1158"/>
      <c r="B5" s="80"/>
      <c r="C5" s="80"/>
      <c r="D5" s="80"/>
      <c r="E5" s="80"/>
      <c r="F5" s="80"/>
      <c r="G5" s="80"/>
      <c r="H5" s="80"/>
      <c r="I5" s="80"/>
      <c r="J5" s="80"/>
      <c r="K5" s="80"/>
      <c r="L5" s="1270"/>
    </row>
    <row r="6" spans="1:12" ht="4.5" customHeight="1">
      <c r="A6" s="1161"/>
      <c r="B6" s="1142"/>
      <c r="C6" s="1142"/>
      <c r="D6" s="1142"/>
      <c r="E6" s="1142"/>
      <c r="F6" s="1142"/>
      <c r="G6" s="1142"/>
      <c r="H6" s="1142"/>
      <c r="I6" s="1142"/>
      <c r="J6" s="1142"/>
      <c r="K6" s="80"/>
      <c r="L6" s="1270"/>
    </row>
    <row r="7" spans="1:12" ht="9.75" customHeight="1">
      <c r="A7" s="138"/>
      <c r="B7" s="125"/>
      <c r="C7" s="125"/>
      <c r="D7" s="125"/>
      <c r="E7" s="125"/>
      <c r="F7" s="125"/>
      <c r="G7" s="80"/>
      <c r="H7" s="80"/>
      <c r="I7" s="80"/>
      <c r="J7" s="80"/>
      <c r="K7" s="80"/>
      <c r="L7" s="1270"/>
    </row>
    <row r="8" spans="1:12" ht="20.25">
      <c r="A8" s="1136" t="s">
        <v>1824</v>
      </c>
      <c r="B8" s="125"/>
      <c r="C8" s="125"/>
      <c r="D8" s="125"/>
      <c r="E8" s="125"/>
      <c r="F8" s="125"/>
      <c r="G8" s="129"/>
      <c r="H8" s="125"/>
      <c r="I8" s="125"/>
      <c r="J8" s="125"/>
      <c r="K8" s="125"/>
      <c r="L8" s="1270"/>
    </row>
    <row r="9" spans="1:12" ht="18">
      <c r="A9" s="138" t="s">
        <v>85</v>
      </c>
      <c r="B9" s="125"/>
      <c r="C9" s="125"/>
      <c r="D9" s="125"/>
      <c r="E9" s="125"/>
      <c r="F9" s="125"/>
      <c r="G9" s="129"/>
      <c r="H9" s="125"/>
      <c r="I9" s="125"/>
      <c r="J9" s="125"/>
      <c r="K9" s="125"/>
      <c r="L9" s="1270"/>
    </row>
    <row r="10" spans="1:12" ht="18">
      <c r="A10" s="1138" t="s">
        <v>86</v>
      </c>
      <c r="B10" s="77"/>
      <c r="C10" s="77"/>
      <c r="D10" s="77"/>
      <c r="E10" s="77"/>
      <c r="F10" s="77"/>
      <c r="G10" s="130"/>
      <c r="H10" s="125"/>
      <c r="I10" s="412">
        <f>+'T1 GEN-2-3-4'!K116-'T1 GEN-2-3-4'!K111</f>
        <v>0</v>
      </c>
      <c r="J10" s="729">
        <v>1</v>
      </c>
      <c r="K10" s="125"/>
      <c r="L10" s="1270"/>
    </row>
    <row r="11" spans="1:12" ht="18">
      <c r="A11" s="1138" t="s">
        <v>1592</v>
      </c>
      <c r="B11" s="78"/>
      <c r="C11" s="78"/>
      <c r="D11" s="78"/>
      <c r="E11" s="78"/>
      <c r="F11" s="125"/>
      <c r="G11" s="412">
        <f>+'T1 GEN-2-3-4'!I130</f>
        <v>0</v>
      </c>
      <c r="H11" s="729">
        <v>2</v>
      </c>
      <c r="I11" s="125"/>
      <c r="J11" s="125"/>
      <c r="K11" s="125"/>
      <c r="L11" s="1270"/>
    </row>
    <row r="12" spans="1:12" ht="18.75" thickBot="1">
      <c r="A12" s="1138" t="s">
        <v>1593</v>
      </c>
      <c r="B12" s="78"/>
      <c r="C12" s="131"/>
      <c r="D12" s="131"/>
      <c r="E12" s="131"/>
      <c r="F12" s="142"/>
      <c r="G12" s="789">
        <f>+'T1 GEN-2-3-4'!I120+MISC!J64+'T1 GEN-2-3-4'!I126+'T1 GEN-2-3-4'!I127</f>
        <v>0</v>
      </c>
      <c r="H12" s="729">
        <v>3</v>
      </c>
      <c r="I12" s="125"/>
      <c r="J12" s="125"/>
      <c r="K12" s="125"/>
      <c r="L12" s="1270"/>
    </row>
    <row r="13" spans="1:12" ht="18.75" thickBot="1">
      <c r="A13" s="1140" t="s">
        <v>1557</v>
      </c>
      <c r="B13" s="78"/>
      <c r="C13" s="131"/>
      <c r="D13" s="131"/>
      <c r="E13" s="131"/>
      <c r="F13" s="142"/>
      <c r="G13" s="412">
        <f>+G11-G12</f>
        <v>0</v>
      </c>
      <c r="H13" s="1167" t="s">
        <v>1600</v>
      </c>
      <c r="I13" s="789">
        <f>+G13</f>
        <v>0</v>
      </c>
      <c r="J13" s="729">
        <v>4</v>
      </c>
      <c r="K13" s="125"/>
      <c r="L13" s="1270"/>
    </row>
    <row r="14" spans="1:12" ht="18">
      <c r="A14" s="1140" t="s">
        <v>1201</v>
      </c>
      <c r="B14" s="78"/>
      <c r="C14" s="78"/>
      <c r="D14" s="78"/>
      <c r="E14" s="131"/>
      <c r="F14" s="1137"/>
      <c r="G14" s="1138"/>
      <c r="H14" s="125"/>
      <c r="I14" s="412">
        <f>+I10-I13</f>
        <v>0</v>
      </c>
      <c r="J14" s="729">
        <v>5</v>
      </c>
      <c r="K14" s="125"/>
      <c r="L14" s="1270"/>
    </row>
    <row r="15" spans="1:12" ht="16.5">
      <c r="A15" s="861" t="s">
        <v>1594</v>
      </c>
      <c r="B15" s="125"/>
      <c r="C15" s="125"/>
      <c r="D15" s="125"/>
      <c r="E15" s="125"/>
      <c r="F15" s="142"/>
      <c r="G15" s="129"/>
      <c r="H15" s="125"/>
      <c r="I15" s="125"/>
      <c r="J15" s="125"/>
      <c r="K15" s="125"/>
      <c r="L15" s="1270"/>
    </row>
    <row r="16" spans="1:12" ht="9.75" customHeight="1">
      <c r="A16" s="861"/>
      <c r="B16" s="125"/>
      <c r="C16" s="125"/>
      <c r="D16" s="125"/>
      <c r="E16" s="125"/>
      <c r="F16" s="142"/>
      <c r="G16" s="129"/>
      <c r="H16" s="125"/>
      <c r="I16" s="125"/>
      <c r="J16" s="125"/>
      <c r="K16" s="125"/>
      <c r="L16" s="1270"/>
    </row>
    <row r="17" spans="1:12" ht="4.5" customHeight="1">
      <c r="A17" s="1168"/>
      <c r="B17" s="1141"/>
      <c r="C17" s="1141"/>
      <c r="D17" s="1141"/>
      <c r="E17" s="1141"/>
      <c r="F17" s="1162"/>
      <c r="G17" s="1163"/>
      <c r="H17" s="1141"/>
      <c r="I17" s="1141"/>
      <c r="J17" s="1141"/>
      <c r="K17" s="125"/>
      <c r="L17" s="1270"/>
    </row>
    <row r="18" spans="1:12" ht="15" customHeight="1">
      <c r="A18" s="861"/>
      <c r="B18" s="125"/>
      <c r="C18" s="125"/>
      <c r="D18" s="125"/>
      <c r="E18" s="125"/>
      <c r="F18" s="142"/>
      <c r="G18" s="129"/>
      <c r="H18" s="125"/>
      <c r="I18" s="125"/>
      <c r="J18" s="125"/>
      <c r="K18" s="125"/>
      <c r="L18" s="1270"/>
    </row>
    <row r="19" spans="1:12" ht="20.25">
      <c r="A19" s="1136" t="s">
        <v>1751</v>
      </c>
      <c r="B19" s="1141"/>
      <c r="C19" s="125"/>
      <c r="D19" s="125"/>
      <c r="E19" s="125"/>
      <c r="F19" s="142"/>
      <c r="G19" s="129"/>
      <c r="H19" s="125"/>
      <c r="I19" s="125"/>
      <c r="J19" s="125"/>
      <c r="K19" s="125"/>
      <c r="L19" s="1270"/>
    </row>
    <row r="20" spans="1:12" ht="18">
      <c r="A20" s="1138" t="s">
        <v>1752</v>
      </c>
      <c r="B20" s="77"/>
      <c r="C20" s="77"/>
      <c r="D20" s="77"/>
      <c r="E20" s="77"/>
      <c r="F20" s="1137"/>
      <c r="G20" s="130"/>
      <c r="H20" s="125"/>
      <c r="I20" s="412">
        <f>+'T1 GEN-2-3-4'!I16</f>
        <v>0</v>
      </c>
      <c r="J20" s="729">
        <v>1</v>
      </c>
      <c r="K20" s="125"/>
      <c r="L20" s="1270"/>
    </row>
    <row r="21" spans="1:12" ht="18.75" thickBot="1">
      <c r="A21" s="1140" t="s">
        <v>1753</v>
      </c>
      <c r="B21" s="77"/>
      <c r="C21" s="77"/>
      <c r="D21" s="77"/>
      <c r="E21" s="78"/>
      <c r="F21" s="1139"/>
      <c r="G21" s="131"/>
      <c r="H21" s="125"/>
      <c r="I21" s="730">
        <f>+'T1 GEN-2-3-4'!G40</f>
        <v>0</v>
      </c>
      <c r="J21" s="729">
        <v>2</v>
      </c>
      <c r="K21" s="125"/>
      <c r="L21" s="1270"/>
    </row>
    <row r="22" spans="1:12" ht="18">
      <c r="A22" s="1140" t="s">
        <v>201</v>
      </c>
      <c r="B22" s="77"/>
      <c r="C22" s="77"/>
      <c r="D22" s="77"/>
      <c r="E22" s="78"/>
      <c r="F22" s="1139"/>
      <c r="G22" s="131"/>
      <c r="H22" s="125"/>
      <c r="I22" s="412">
        <f>+I20+I21</f>
        <v>0</v>
      </c>
      <c r="J22" s="729">
        <v>3</v>
      </c>
      <c r="K22" s="125"/>
      <c r="L22" s="1270"/>
    </row>
    <row r="23" spans="1:12" ht="18.75" thickBot="1">
      <c r="A23" s="1138" t="s">
        <v>1595</v>
      </c>
      <c r="B23" s="77"/>
      <c r="C23" s="77"/>
      <c r="D23" s="77"/>
      <c r="E23" s="78"/>
      <c r="F23" s="1139"/>
      <c r="G23" s="1140"/>
      <c r="H23" s="138"/>
      <c r="I23" s="789">
        <f>'T4A(OAS)'!E35</f>
        <v>0</v>
      </c>
      <c r="J23" s="729">
        <v>4</v>
      </c>
      <c r="K23" s="125"/>
      <c r="L23" s="1270"/>
    </row>
    <row r="24" spans="1:12" ht="18.75" thickBot="1">
      <c r="A24" s="1140" t="s">
        <v>1540</v>
      </c>
      <c r="B24" s="77"/>
      <c r="C24" s="77"/>
      <c r="D24" s="77"/>
      <c r="E24" s="78"/>
      <c r="F24" s="1139"/>
      <c r="G24" s="131"/>
      <c r="H24" s="125"/>
      <c r="I24" s="790">
        <f>MAXA(0,(+I22-I23))</f>
        <v>0</v>
      </c>
      <c r="J24" s="729">
        <v>5</v>
      </c>
      <c r="K24" s="125"/>
      <c r="L24" s="1270"/>
    </row>
    <row r="25" spans="1:12" ht="18.75" thickTop="1">
      <c r="A25" s="139"/>
      <c r="B25" s="125"/>
      <c r="C25" s="125"/>
      <c r="D25" s="125"/>
      <c r="E25" s="125"/>
      <c r="F25" s="142"/>
      <c r="G25" s="129"/>
      <c r="H25" s="125"/>
      <c r="I25" s="125"/>
      <c r="J25" s="125"/>
      <c r="K25" s="125"/>
      <c r="L25" s="1270"/>
    </row>
    <row r="26" spans="1:12" ht="18">
      <c r="A26" s="1138" t="s">
        <v>635</v>
      </c>
      <c r="B26" s="77"/>
      <c r="C26" s="77"/>
      <c r="D26" s="77"/>
      <c r="E26" s="77"/>
      <c r="F26" s="1137"/>
      <c r="G26" s="130"/>
      <c r="H26" s="125"/>
      <c r="I26" s="412">
        <f>+'T1 GEN-2-3-4'!K83</f>
        <v>0</v>
      </c>
      <c r="J26" s="729">
        <v>6</v>
      </c>
      <c r="K26" s="125"/>
      <c r="L26" s="1270"/>
    </row>
    <row r="27" spans="1:12" ht="18">
      <c r="A27" s="1138" t="s">
        <v>1596</v>
      </c>
      <c r="B27" s="77"/>
      <c r="C27" s="77"/>
      <c r="D27" s="77"/>
      <c r="E27" s="131"/>
      <c r="F27" s="116"/>
      <c r="G27" s="605">
        <f>'T4E'!E71</f>
        <v>0</v>
      </c>
      <c r="H27" s="729">
        <v>7</v>
      </c>
      <c r="I27" s="125"/>
      <c r="J27" s="129"/>
      <c r="K27" s="125"/>
      <c r="L27" s="1270"/>
    </row>
    <row r="28" spans="1:12" ht="18.75" thickBot="1">
      <c r="A28" s="1138" t="s">
        <v>1597</v>
      </c>
      <c r="B28" s="77"/>
      <c r="C28" s="77"/>
      <c r="D28" s="77"/>
      <c r="E28" s="131"/>
      <c r="F28" s="116"/>
      <c r="G28" s="730">
        <f>'T1 GEN-2-3-4'!I20</f>
        <v>0</v>
      </c>
      <c r="H28" s="729">
        <v>8</v>
      </c>
      <c r="I28" s="125"/>
      <c r="J28" s="129"/>
      <c r="K28" s="125"/>
      <c r="L28" s="1270"/>
    </row>
    <row r="29" spans="1:12" ht="18.75" thickBot="1">
      <c r="A29" s="1138" t="s">
        <v>1598</v>
      </c>
      <c r="B29" s="77"/>
      <c r="C29" s="77"/>
      <c r="D29" s="77"/>
      <c r="E29" s="131"/>
      <c r="F29" s="116"/>
      <c r="G29" s="831">
        <f>G27+G28</f>
        <v>0</v>
      </c>
      <c r="H29" s="1167" t="s">
        <v>1600</v>
      </c>
      <c r="I29" s="789">
        <f>G29</f>
        <v>0</v>
      </c>
      <c r="J29" s="729">
        <v>9</v>
      </c>
      <c r="K29" s="125"/>
      <c r="L29" s="1270"/>
    </row>
    <row r="30" spans="1:12" ht="18">
      <c r="A30" s="1140" t="s">
        <v>1599</v>
      </c>
      <c r="B30" s="77"/>
      <c r="C30" s="77"/>
      <c r="D30" s="77"/>
      <c r="E30" s="130"/>
      <c r="F30" s="130"/>
      <c r="G30" s="131"/>
      <c r="H30" s="125"/>
      <c r="I30" s="831">
        <f>I26-I29</f>
        <v>0</v>
      </c>
      <c r="J30" s="729">
        <v>10</v>
      </c>
      <c r="K30" s="125"/>
      <c r="L30" s="1270"/>
    </row>
    <row r="31" spans="1:12" ht="18.75" thickBot="1">
      <c r="A31" s="1140" t="s">
        <v>1556</v>
      </c>
      <c r="B31" s="77"/>
      <c r="C31" s="77"/>
      <c r="D31" s="77"/>
      <c r="E31" s="131"/>
      <c r="F31" s="131"/>
      <c r="G31" s="1164"/>
      <c r="H31" s="729"/>
      <c r="I31" s="789">
        <v>62144</v>
      </c>
      <c r="J31" s="729">
        <v>11</v>
      </c>
      <c r="K31" s="125"/>
      <c r="L31" s="1270"/>
    </row>
    <row r="32" spans="1:12" ht="18">
      <c r="A32" s="1140" t="s">
        <v>1601</v>
      </c>
      <c r="B32" s="77"/>
      <c r="C32" s="77"/>
      <c r="D32" s="77"/>
      <c r="E32" s="131"/>
      <c r="F32" s="131"/>
      <c r="G32" s="131"/>
      <c r="H32" s="125"/>
      <c r="I32" s="412">
        <f>MAXA(0,(I30-I31))</f>
        <v>0</v>
      </c>
      <c r="J32" s="729">
        <v>12</v>
      </c>
      <c r="K32" s="125"/>
      <c r="L32" s="1270"/>
    </row>
    <row r="33" spans="1:12" ht="18.75" thickBot="1">
      <c r="A33" s="1140" t="s">
        <v>1602</v>
      </c>
      <c r="B33" s="77"/>
      <c r="C33" s="77"/>
      <c r="D33" s="77"/>
      <c r="E33" s="131"/>
      <c r="F33" s="131"/>
      <c r="G33" s="131"/>
      <c r="H33" s="125"/>
      <c r="I33" s="791">
        <f>+I32*0.15</f>
        <v>0</v>
      </c>
      <c r="J33" s="729">
        <v>13</v>
      </c>
      <c r="K33" s="125"/>
      <c r="L33" s="1270"/>
    </row>
    <row r="34" spans="1:12" ht="15.75" thickTop="1">
      <c r="A34" s="84"/>
      <c r="B34" s="125"/>
      <c r="C34" s="125"/>
      <c r="D34" s="125"/>
      <c r="E34" s="125"/>
      <c r="F34" s="142"/>
      <c r="G34" s="129"/>
      <c r="H34" s="125"/>
      <c r="I34" s="125"/>
      <c r="J34" s="129"/>
      <c r="K34" s="125"/>
      <c r="L34" s="1270"/>
    </row>
    <row r="35" spans="1:12" ht="18">
      <c r="A35" s="1138" t="s">
        <v>158</v>
      </c>
      <c r="B35" s="77"/>
      <c r="C35" s="77"/>
      <c r="D35" s="77"/>
      <c r="E35" s="130"/>
      <c r="F35" s="130"/>
      <c r="G35" s="130"/>
      <c r="H35" s="125"/>
      <c r="I35" s="412">
        <f>MINA(I24,I33)</f>
        <v>0</v>
      </c>
      <c r="J35" s="729">
        <v>14</v>
      </c>
      <c r="K35" s="125"/>
      <c r="L35" s="1270"/>
    </row>
    <row r="36" spans="1:12" ht="18.75" thickBot="1">
      <c r="A36" s="1140" t="s">
        <v>2297</v>
      </c>
      <c r="B36" s="77"/>
      <c r="C36" s="77"/>
      <c r="D36" s="77"/>
      <c r="E36" s="131"/>
      <c r="F36" s="131"/>
      <c r="G36" s="131"/>
      <c r="H36" s="125"/>
      <c r="I36" s="730">
        <f>+G27</f>
        <v>0</v>
      </c>
      <c r="J36" s="729">
        <v>15</v>
      </c>
      <c r="K36" s="125"/>
      <c r="L36" s="1270"/>
    </row>
    <row r="37" spans="1:12" ht="18">
      <c r="A37" s="1138" t="s">
        <v>159</v>
      </c>
      <c r="B37" s="77"/>
      <c r="C37" s="77"/>
      <c r="D37" s="77"/>
      <c r="E37" s="131"/>
      <c r="F37" s="131"/>
      <c r="G37" s="131"/>
      <c r="H37" s="125"/>
      <c r="I37" s="412">
        <f>+I35+I36</f>
        <v>0</v>
      </c>
      <c r="J37" s="729">
        <v>16</v>
      </c>
      <c r="K37" s="125"/>
      <c r="L37" s="1270"/>
    </row>
    <row r="38" spans="1:12" ht="9.75" customHeight="1">
      <c r="A38" s="84"/>
      <c r="B38" s="84"/>
      <c r="C38" s="84"/>
      <c r="D38" s="84"/>
      <c r="E38" s="84"/>
      <c r="F38" s="84"/>
      <c r="G38" s="129"/>
      <c r="H38" s="125"/>
      <c r="I38" s="125"/>
      <c r="J38" s="125"/>
      <c r="K38" s="125"/>
      <c r="L38" s="1270"/>
    </row>
    <row r="39" spans="1:12" ht="4.5" customHeight="1">
      <c r="A39" s="1141"/>
      <c r="B39" s="1142"/>
      <c r="C39" s="1142"/>
      <c r="D39" s="1142"/>
      <c r="E39" s="1142"/>
      <c r="F39" s="1142"/>
      <c r="G39" s="1163"/>
      <c r="H39" s="1157"/>
      <c r="I39" s="1157"/>
      <c r="J39" s="1157"/>
      <c r="K39" s="125"/>
      <c r="L39" s="1270"/>
    </row>
    <row r="40" spans="1:12" ht="9.75" customHeight="1">
      <c r="A40" s="125"/>
      <c r="B40" s="80"/>
      <c r="C40" s="80"/>
      <c r="D40" s="80"/>
      <c r="E40" s="80"/>
      <c r="F40" s="80"/>
      <c r="G40" s="129"/>
      <c r="H40" s="852"/>
      <c r="I40" s="852"/>
      <c r="J40" s="852"/>
      <c r="K40" s="125"/>
      <c r="L40" s="1270"/>
    </row>
    <row r="41" spans="1:12" ht="20.25">
      <c r="A41" s="1136" t="s">
        <v>1164</v>
      </c>
      <c r="B41" s="80"/>
      <c r="C41" s="80"/>
      <c r="D41" s="80"/>
      <c r="E41" s="80"/>
      <c r="F41" s="145"/>
      <c r="G41" s="118"/>
      <c r="H41" s="118"/>
      <c r="I41" s="118"/>
      <c r="J41" s="118"/>
      <c r="K41" s="80"/>
      <c r="L41" s="1270"/>
    </row>
    <row r="42" spans="1:12" ht="18">
      <c r="A42" s="1138" t="s">
        <v>1165</v>
      </c>
      <c r="B42" s="77"/>
      <c r="C42" s="77"/>
      <c r="D42" s="77"/>
      <c r="E42" s="77"/>
      <c r="F42" s="1137"/>
      <c r="G42" s="1138"/>
      <c r="H42" s="118"/>
      <c r="I42" s="412">
        <f>5066*fract</f>
        <v>5066</v>
      </c>
      <c r="J42" s="729">
        <v>1</v>
      </c>
      <c r="K42" s="80"/>
      <c r="L42" s="1270"/>
    </row>
    <row r="43" spans="1:12" ht="18">
      <c r="A43" s="1140" t="s">
        <v>558</v>
      </c>
      <c r="B43" s="78"/>
      <c r="C43" s="78"/>
      <c r="D43" s="78"/>
      <c r="E43" s="78"/>
      <c r="F43" s="145"/>
      <c r="G43" s="412">
        <f>+'T1 GEN-2-3-4'!K87</f>
        <v>0</v>
      </c>
      <c r="H43" s="729">
        <v>2</v>
      </c>
      <c r="I43" s="118"/>
      <c r="J43" s="118"/>
      <c r="K43" s="80"/>
      <c r="L43" s="1270"/>
    </row>
    <row r="44" spans="1:12" ht="18.75" thickBot="1">
      <c r="A44" s="1138" t="s">
        <v>1556</v>
      </c>
      <c r="B44" s="78"/>
      <c r="C44" s="78"/>
      <c r="D44" s="78"/>
      <c r="E44" s="78"/>
      <c r="F44" s="145"/>
      <c r="G44" s="789">
        <f>30270*fract</f>
        <v>30270</v>
      </c>
      <c r="H44" s="729">
        <v>3</v>
      </c>
      <c r="I44" s="118"/>
      <c r="J44" s="118"/>
      <c r="K44" s="80"/>
      <c r="L44" s="1270"/>
    </row>
    <row r="45" spans="1:12" ht="18">
      <c r="A45" s="1138" t="s">
        <v>1620</v>
      </c>
      <c r="B45" s="78"/>
      <c r="C45" s="78"/>
      <c r="D45" s="78"/>
      <c r="E45" s="78"/>
      <c r="F45" s="145"/>
      <c r="G45" s="412">
        <f>+MAXA(0,(G43-G44))</f>
        <v>0</v>
      </c>
      <c r="H45" s="729">
        <v>4</v>
      </c>
      <c r="I45" s="118"/>
      <c r="J45" s="118"/>
      <c r="K45" s="80"/>
      <c r="L45" s="1270"/>
    </row>
    <row r="46" spans="1:12" ht="18.75" thickBot="1">
      <c r="A46" s="1138" t="s">
        <v>2264</v>
      </c>
      <c r="B46" s="78"/>
      <c r="C46" s="78"/>
      <c r="D46" s="78"/>
      <c r="E46" s="78"/>
      <c r="F46" s="145"/>
      <c r="G46" s="118"/>
      <c r="H46" s="118"/>
      <c r="I46" s="789">
        <f>+G45*0.15</f>
        <v>0</v>
      </c>
      <c r="J46" s="729">
        <v>5</v>
      </c>
      <c r="K46" s="80"/>
      <c r="L46" s="1270"/>
    </row>
    <row r="47" spans="1:12" ht="18">
      <c r="A47" s="1138" t="s">
        <v>582</v>
      </c>
      <c r="B47" s="78"/>
      <c r="C47" s="78"/>
      <c r="D47" s="78"/>
      <c r="E47" s="78"/>
      <c r="F47" s="1139"/>
      <c r="G47" s="1140"/>
      <c r="H47" s="118"/>
      <c r="I47" s="412">
        <f>+MAXA(0,(I42-I46))</f>
        <v>5066</v>
      </c>
      <c r="J47" s="729">
        <v>6</v>
      </c>
      <c r="K47" s="80"/>
      <c r="L47" s="1270"/>
    </row>
    <row r="48" spans="1:12" ht="4.5" customHeight="1">
      <c r="A48" s="125"/>
      <c r="B48" s="80"/>
      <c r="C48" s="80"/>
      <c r="D48" s="80"/>
      <c r="E48" s="80"/>
      <c r="F48" s="145"/>
      <c r="G48" s="118"/>
      <c r="H48" s="118"/>
      <c r="I48" s="118"/>
      <c r="J48" s="118"/>
      <c r="K48" s="80"/>
      <c r="L48" s="1270"/>
    </row>
    <row r="49" spans="1:12" ht="4.5" customHeight="1">
      <c r="A49" s="1141"/>
      <c r="B49" s="1142"/>
      <c r="C49" s="1142"/>
      <c r="D49" s="1142"/>
      <c r="E49" s="1142"/>
      <c r="F49" s="1143"/>
      <c r="G49" s="1144"/>
      <c r="H49" s="1144"/>
      <c r="I49" s="1144"/>
      <c r="J49" s="1144"/>
      <c r="K49" s="80"/>
      <c r="L49" s="1270"/>
    </row>
    <row r="50" spans="1:12" ht="18">
      <c r="A50" s="125"/>
      <c r="B50" s="80"/>
      <c r="C50" s="80"/>
      <c r="D50" s="80"/>
      <c r="E50" s="80"/>
      <c r="F50" s="145"/>
      <c r="G50" s="118"/>
      <c r="H50" s="118"/>
      <c r="I50" s="118"/>
      <c r="J50" s="118"/>
      <c r="K50" s="80"/>
      <c r="L50" s="1270"/>
    </row>
    <row r="51" spans="1:12" ht="20.25">
      <c r="A51" s="1136" t="s">
        <v>486</v>
      </c>
      <c r="B51" s="1142"/>
      <c r="C51" s="1142"/>
      <c r="D51" s="80"/>
      <c r="E51" s="80"/>
      <c r="F51" s="145"/>
      <c r="G51" s="118"/>
      <c r="H51" s="118"/>
      <c r="I51" s="118"/>
      <c r="J51" s="118"/>
      <c r="K51" s="80"/>
      <c r="L51" s="1270"/>
    </row>
    <row r="52" spans="1:12" ht="18">
      <c r="A52" s="1138" t="s">
        <v>1202</v>
      </c>
      <c r="B52" s="80"/>
      <c r="C52" s="80"/>
      <c r="D52" s="80"/>
      <c r="E52" s="80"/>
      <c r="F52" s="145"/>
      <c r="G52" s="118"/>
      <c r="H52" s="118"/>
      <c r="I52" s="412">
        <f>8256*fract</f>
        <v>8256</v>
      </c>
      <c r="J52" s="729">
        <v>1</v>
      </c>
      <c r="K52" s="80"/>
      <c r="L52" s="1270"/>
    </row>
    <row r="53" spans="1:12" ht="18.75" thickBot="1">
      <c r="A53" s="1138" t="s">
        <v>1203</v>
      </c>
      <c r="B53" s="78"/>
      <c r="C53" s="78"/>
      <c r="D53" s="78"/>
      <c r="E53" s="78"/>
      <c r="F53" s="1139"/>
      <c r="G53" s="1140"/>
      <c r="H53" s="118"/>
      <c r="I53" s="730">
        <f>Sch5!E16</f>
        <v>0</v>
      </c>
      <c r="J53" s="729">
        <v>2</v>
      </c>
      <c r="K53" s="80"/>
      <c r="L53" s="1270"/>
    </row>
    <row r="54" spans="1:12" ht="18">
      <c r="A54" s="1138" t="s">
        <v>406</v>
      </c>
      <c r="B54" s="78"/>
      <c r="C54" s="78"/>
      <c r="D54" s="78"/>
      <c r="E54" s="78"/>
      <c r="F54" s="1139"/>
      <c r="G54" s="1140"/>
      <c r="H54" s="118"/>
      <c r="I54" s="412">
        <f>MAXA(0,I52-I53)</f>
        <v>8256</v>
      </c>
      <c r="J54" s="729" t="s">
        <v>616</v>
      </c>
      <c r="K54" s="80"/>
      <c r="L54" s="1270"/>
    </row>
    <row r="55" spans="1:12" ht="18">
      <c r="A55" s="139" t="s">
        <v>583</v>
      </c>
      <c r="B55" s="80"/>
      <c r="C55" s="80"/>
      <c r="D55" s="80"/>
      <c r="E55" s="80"/>
      <c r="F55" s="145"/>
      <c r="G55" s="118"/>
      <c r="H55" s="118"/>
      <c r="I55" s="412">
        <f>MINA(7505*fract,+I54)</f>
        <v>7505</v>
      </c>
      <c r="J55" s="125"/>
      <c r="K55" s="80"/>
      <c r="L55" s="1270"/>
    </row>
    <row r="56" spans="1:12" ht="18">
      <c r="A56" s="138" t="s">
        <v>584</v>
      </c>
      <c r="B56" s="80"/>
      <c r="C56" s="80"/>
      <c r="D56" s="80"/>
      <c r="E56" s="80"/>
      <c r="F56" s="145"/>
      <c r="G56" s="118"/>
      <c r="H56" s="118"/>
      <c r="I56" s="118"/>
      <c r="J56" s="118"/>
      <c r="K56" s="80"/>
      <c r="L56" s="1270"/>
    </row>
    <row r="57" spans="1:12" ht="4.5" customHeight="1">
      <c r="A57" s="138"/>
      <c r="B57" s="80"/>
      <c r="C57" s="80"/>
      <c r="D57" s="80"/>
      <c r="E57" s="80"/>
      <c r="F57" s="145"/>
      <c r="G57" s="118"/>
      <c r="H57" s="118"/>
      <c r="I57" s="118"/>
      <c r="J57" s="118"/>
      <c r="K57" s="80"/>
      <c r="L57" s="1270"/>
    </row>
    <row r="58" spans="1:12" ht="18">
      <c r="A58" s="507" t="s">
        <v>586</v>
      </c>
      <c r="B58" s="1145"/>
      <c r="C58" s="1145"/>
      <c r="D58" s="1145"/>
      <c r="E58" s="1145"/>
      <c r="F58" s="145"/>
      <c r="G58" s="118"/>
      <c r="H58" s="118"/>
      <c r="I58" s="118"/>
      <c r="J58" s="118"/>
      <c r="K58" s="80"/>
      <c r="L58" s="1270"/>
    </row>
    <row r="59" spans="1:12" ht="18">
      <c r="A59" s="507" t="s">
        <v>585</v>
      </c>
      <c r="B59" s="1145"/>
      <c r="C59" s="1145"/>
      <c r="D59" s="1145"/>
      <c r="E59" s="1145"/>
      <c r="F59" s="145"/>
      <c r="G59" s="118"/>
      <c r="H59" s="118"/>
      <c r="I59" s="118"/>
      <c r="J59" s="118"/>
      <c r="K59" s="80"/>
      <c r="L59" s="1270"/>
    </row>
    <row r="60" spans="1:12" ht="4.5" customHeight="1">
      <c r="A60" s="125"/>
      <c r="B60" s="80"/>
      <c r="C60" s="80"/>
      <c r="D60" s="80"/>
      <c r="E60" s="80"/>
      <c r="F60" s="145"/>
      <c r="G60" s="118"/>
      <c r="H60" s="118"/>
      <c r="I60" s="118"/>
      <c r="J60" s="118"/>
      <c r="K60" s="80"/>
      <c r="L60" s="1270"/>
    </row>
    <row r="61" spans="1:12" ht="4.5" customHeight="1">
      <c r="A61" s="1141"/>
      <c r="B61" s="1142"/>
      <c r="C61" s="1142"/>
      <c r="D61" s="1142"/>
      <c r="E61" s="1142"/>
      <c r="F61" s="1143"/>
      <c r="G61" s="1144"/>
      <c r="H61" s="1144"/>
      <c r="I61" s="1144"/>
      <c r="J61" s="1144"/>
      <c r="K61" s="80"/>
      <c r="L61" s="1270"/>
    </row>
    <row r="62" spans="1:12" ht="18">
      <c r="A62" s="125"/>
      <c r="B62" s="80"/>
      <c r="C62" s="80"/>
      <c r="D62" s="80"/>
      <c r="E62" s="80"/>
      <c r="F62" s="145"/>
      <c r="G62" s="118"/>
      <c r="H62" s="118"/>
      <c r="I62" s="118"/>
      <c r="J62" s="118"/>
      <c r="K62" s="80"/>
      <c r="L62" s="1270"/>
    </row>
    <row r="63" spans="1:12" ht="20.25">
      <c r="A63" s="1136" t="s">
        <v>587</v>
      </c>
      <c r="B63" s="1142"/>
      <c r="C63" s="1142"/>
      <c r="D63" s="1142"/>
      <c r="E63" s="1142"/>
      <c r="F63" s="145"/>
      <c r="G63" s="118"/>
      <c r="H63" s="118"/>
      <c r="I63" s="118"/>
      <c r="J63" s="118"/>
      <c r="K63" s="80"/>
      <c r="L63" s="1270"/>
    </row>
    <row r="64" spans="1:12" ht="18">
      <c r="A64" s="138" t="str">
        <f>"If your dependant's net income for "&amp;yeartext&amp;" was $9,513 or more, you cannot make a claim."</f>
        <v>If your dependant's net income for 2006 was $9,513 or more, you cannot make a claim.</v>
      </c>
      <c r="B64" s="80"/>
      <c r="C64" s="80"/>
      <c r="D64" s="80"/>
      <c r="E64" s="80"/>
      <c r="F64" s="145"/>
      <c r="G64" s="118"/>
      <c r="H64" s="118"/>
      <c r="I64" s="118"/>
      <c r="J64" s="118"/>
      <c r="K64" s="80"/>
      <c r="L64" s="1270"/>
    </row>
    <row r="65" spans="1:12" ht="18">
      <c r="A65" s="1138" t="s">
        <v>1556</v>
      </c>
      <c r="B65" s="77"/>
      <c r="C65" s="77"/>
      <c r="D65" s="77"/>
      <c r="E65" s="77"/>
      <c r="F65" s="1137"/>
      <c r="G65" s="1138"/>
      <c r="H65" s="118"/>
      <c r="I65" s="1074">
        <f>9513*fract</f>
        <v>9513</v>
      </c>
      <c r="J65" s="729">
        <v>1</v>
      </c>
      <c r="K65" s="80"/>
      <c r="L65" s="1270"/>
    </row>
    <row r="66" spans="1:12" ht="18.75" thickBot="1">
      <c r="A66" s="1140" t="s">
        <v>1203</v>
      </c>
      <c r="B66" s="78"/>
      <c r="C66" s="78"/>
      <c r="D66" s="78"/>
      <c r="E66" s="78"/>
      <c r="F66" s="1139"/>
      <c r="G66" s="1140"/>
      <c r="H66" s="118"/>
      <c r="I66" s="1075"/>
      <c r="J66" s="729">
        <v>2</v>
      </c>
      <c r="K66" s="80"/>
      <c r="L66" s="1270"/>
    </row>
    <row r="67" spans="1:12" ht="18">
      <c r="A67" s="1140" t="s">
        <v>1572</v>
      </c>
      <c r="B67" s="78"/>
      <c r="C67" s="78"/>
      <c r="D67" s="78"/>
      <c r="E67" s="78"/>
      <c r="F67" s="1139"/>
      <c r="G67" s="1140"/>
      <c r="H67" s="118"/>
      <c r="I67" s="1074">
        <f>MAX(0,MINA(3933*fract,I65-I66))</f>
        <v>3933</v>
      </c>
      <c r="J67" s="729">
        <v>3</v>
      </c>
      <c r="K67" s="80"/>
      <c r="L67" s="1270"/>
    </row>
    <row r="68" spans="1:12" ht="18.75" thickBot="1">
      <c r="A68" s="1138" t="s">
        <v>1573</v>
      </c>
      <c r="B68" s="78"/>
      <c r="C68" s="78"/>
      <c r="D68" s="78"/>
      <c r="E68" s="78"/>
      <c r="F68" s="1139"/>
      <c r="G68" s="1140"/>
      <c r="H68" s="118"/>
      <c r="I68" s="1076"/>
      <c r="J68" s="729">
        <v>4</v>
      </c>
      <c r="K68" s="80"/>
      <c r="L68" s="1270"/>
    </row>
    <row r="69" spans="1:12" ht="18">
      <c r="A69" s="1138" t="s">
        <v>1574</v>
      </c>
      <c r="B69" s="78"/>
      <c r="C69" s="78"/>
      <c r="D69" s="78"/>
      <c r="E69" s="78"/>
      <c r="F69" s="1139"/>
      <c r="G69" s="1140"/>
      <c r="H69" s="118"/>
      <c r="I69" s="1073">
        <f>MAXA(0,(I67-I68))</f>
        <v>3933</v>
      </c>
      <c r="J69" s="729">
        <v>5</v>
      </c>
      <c r="K69" s="80"/>
      <c r="L69" s="1270"/>
    </row>
    <row r="70" spans="1:12" ht="18">
      <c r="A70" s="852" t="s">
        <v>392</v>
      </c>
      <c r="B70" s="80"/>
      <c r="C70" s="80"/>
      <c r="D70" s="80"/>
      <c r="E70" s="80"/>
      <c r="F70" s="145"/>
      <c r="G70" s="118"/>
      <c r="H70" s="118"/>
      <c r="I70" s="118"/>
      <c r="J70" s="118"/>
      <c r="K70" s="80"/>
      <c r="L70" s="1270"/>
    </row>
    <row r="71" spans="1:12" ht="18">
      <c r="A71" s="138" t="s">
        <v>588</v>
      </c>
      <c r="B71" s="80"/>
      <c r="C71" s="80"/>
      <c r="D71" s="80"/>
      <c r="E71" s="80"/>
      <c r="F71" s="145"/>
      <c r="G71" s="125"/>
      <c r="H71" s="506" t="s">
        <v>503</v>
      </c>
      <c r="I71" s="503">
        <f>I69</f>
        <v>3933</v>
      </c>
      <c r="J71" s="118"/>
      <c r="K71" s="80"/>
      <c r="L71" s="1270"/>
    </row>
    <row r="72" spans="1:12" ht="18">
      <c r="A72" s="138" t="s">
        <v>1243</v>
      </c>
      <c r="B72" s="80"/>
      <c r="C72" s="80"/>
      <c r="D72" s="80"/>
      <c r="E72" s="80"/>
      <c r="F72" s="145"/>
      <c r="G72" s="118"/>
      <c r="H72" s="118"/>
      <c r="I72" s="118"/>
      <c r="J72" s="118"/>
      <c r="K72" s="80"/>
      <c r="L72" s="1270"/>
    </row>
    <row r="73" spans="1:12" ht="18">
      <c r="A73" s="507" t="s">
        <v>1322</v>
      </c>
      <c r="B73" s="1145"/>
      <c r="C73" s="1145"/>
      <c r="D73" s="1145"/>
      <c r="E73" s="1145"/>
      <c r="F73" s="145"/>
      <c r="G73" s="118"/>
      <c r="H73" s="118"/>
      <c r="I73" s="118"/>
      <c r="J73" s="118"/>
      <c r="K73" s="80"/>
      <c r="L73" s="1270"/>
    </row>
    <row r="74" spans="1:12" ht="18">
      <c r="A74" s="507" t="s">
        <v>1162</v>
      </c>
      <c r="B74" s="1145"/>
      <c r="C74" s="1145"/>
      <c r="D74" s="1145"/>
      <c r="E74" s="1145"/>
      <c r="F74" s="145"/>
      <c r="G74" s="118"/>
      <c r="H74" s="118"/>
      <c r="I74" s="118"/>
      <c r="J74" s="118"/>
      <c r="K74" s="80"/>
      <c r="L74" s="1270"/>
    </row>
    <row r="75" spans="1:12" ht="4.5" customHeight="1">
      <c r="A75" s="125"/>
      <c r="B75" s="80"/>
      <c r="C75" s="80"/>
      <c r="D75" s="80"/>
      <c r="E75" s="80"/>
      <c r="F75" s="145"/>
      <c r="G75" s="118"/>
      <c r="H75" s="118"/>
      <c r="I75" s="118"/>
      <c r="J75" s="118"/>
      <c r="K75" s="80"/>
      <c r="L75" s="1270"/>
    </row>
    <row r="76" spans="1:12" ht="4.5" customHeight="1">
      <c r="A76" s="1141"/>
      <c r="B76" s="1142"/>
      <c r="C76" s="1142"/>
      <c r="D76" s="1142"/>
      <c r="E76" s="1142"/>
      <c r="F76" s="1143"/>
      <c r="G76" s="1144"/>
      <c r="H76" s="1144"/>
      <c r="I76" s="1144"/>
      <c r="J76" s="1144"/>
      <c r="K76" s="80"/>
      <c r="L76" s="1270"/>
    </row>
    <row r="77" spans="1:12" ht="9.75" customHeight="1">
      <c r="A77" s="125"/>
      <c r="B77" s="80"/>
      <c r="C77" s="80"/>
      <c r="D77" s="80"/>
      <c r="E77" s="80"/>
      <c r="F77" s="145"/>
      <c r="G77" s="118"/>
      <c r="H77" s="118"/>
      <c r="I77" s="118"/>
      <c r="J77" s="118"/>
      <c r="K77" s="80"/>
      <c r="L77" s="1270"/>
    </row>
    <row r="78" spans="1:12" ht="20.25">
      <c r="A78" s="1136" t="s">
        <v>1097</v>
      </c>
      <c r="B78" s="1141"/>
      <c r="C78" s="125"/>
      <c r="D78" s="125"/>
      <c r="E78" s="125"/>
      <c r="F78" s="142"/>
      <c r="G78" s="129"/>
      <c r="H78" s="125"/>
      <c r="I78" s="125"/>
      <c r="J78" s="125"/>
      <c r="K78" s="80"/>
      <c r="L78" s="1270"/>
    </row>
    <row r="79" spans="1:12" ht="18">
      <c r="A79" s="1138" t="s">
        <v>1098</v>
      </c>
      <c r="B79" s="77"/>
      <c r="C79" s="77"/>
      <c r="D79" s="77"/>
      <c r="E79" s="77"/>
      <c r="F79" s="1137"/>
      <c r="G79" s="130"/>
      <c r="H79" s="125"/>
      <c r="I79" s="412">
        <f>+'T1 GEN-2-3-4'!I19</f>
        <v>0</v>
      </c>
      <c r="J79" s="142">
        <v>1</v>
      </c>
      <c r="K79" s="80"/>
      <c r="L79" s="1270"/>
    </row>
    <row r="80" spans="1:12" ht="18">
      <c r="A80" s="138" t="s">
        <v>160</v>
      </c>
      <c r="B80" s="125"/>
      <c r="C80" s="125"/>
      <c r="D80" s="125"/>
      <c r="E80" s="125"/>
      <c r="F80" s="142"/>
      <c r="G80" s="129"/>
      <c r="H80" s="125"/>
      <c r="I80" s="125"/>
      <c r="J80" s="142"/>
      <c r="K80" s="80"/>
      <c r="L80" s="1270"/>
    </row>
    <row r="81" spans="1:12" ht="18.75" thickBot="1">
      <c r="A81" s="138" t="str">
        <f>"Dec. 31, "&amp;yeartext&amp;", or you received the payments because of the death of your spouse or common-law partner"</f>
        <v>Dec. 31, 2006, or you received the payments because of the death of your spouse or common-law partner</v>
      </c>
      <c r="B81" s="125"/>
      <c r="C81" s="125"/>
      <c r="D81" s="125"/>
      <c r="E81" s="125"/>
      <c r="F81" s="142"/>
      <c r="G81" s="129"/>
      <c r="H81" s="125"/>
      <c r="I81" s="733">
        <f>MISC!L53</f>
        <v>0</v>
      </c>
      <c r="J81" s="142">
        <v>2</v>
      </c>
      <c r="K81" s="80"/>
      <c r="L81" s="1270"/>
    </row>
    <row r="82" spans="1:12" ht="18">
      <c r="A82" s="1140" t="s">
        <v>201</v>
      </c>
      <c r="B82" s="78"/>
      <c r="C82" s="78"/>
      <c r="D82" s="78"/>
      <c r="E82" s="78"/>
      <c r="F82" s="1139"/>
      <c r="G82" s="131"/>
      <c r="H82" s="125"/>
      <c r="I82" s="412">
        <f>+I79+I81</f>
        <v>0</v>
      </c>
      <c r="J82" s="142">
        <v>3</v>
      </c>
      <c r="K82" s="80"/>
      <c r="L82" s="1270"/>
    </row>
    <row r="83" spans="1:12" ht="18">
      <c r="A83" s="1138" t="s">
        <v>161</v>
      </c>
      <c r="B83" s="77"/>
      <c r="C83" s="77"/>
      <c r="D83" s="77"/>
      <c r="E83" s="77"/>
      <c r="F83" s="142"/>
      <c r="G83" s="135"/>
      <c r="H83" s="142">
        <v>4</v>
      </c>
      <c r="I83" s="125"/>
      <c r="J83" s="125"/>
      <c r="K83" s="80"/>
      <c r="L83" s="1270"/>
    </row>
    <row r="84" spans="1:12" ht="18">
      <c r="A84" s="1138" t="s">
        <v>162</v>
      </c>
      <c r="B84" s="78"/>
      <c r="C84" s="78"/>
      <c r="D84" s="78"/>
      <c r="E84" s="78"/>
      <c r="F84" s="142"/>
      <c r="G84" s="136"/>
      <c r="H84" s="142">
        <v>5</v>
      </c>
      <c r="I84" s="125"/>
      <c r="J84" s="125"/>
      <c r="K84" s="80"/>
      <c r="L84" s="1270"/>
    </row>
    <row r="85" spans="1:12" ht="18">
      <c r="A85" s="139" t="s">
        <v>163</v>
      </c>
      <c r="B85" s="84"/>
      <c r="C85" s="84"/>
      <c r="D85" s="125"/>
      <c r="E85" s="125"/>
      <c r="F85" s="142"/>
      <c r="G85" s="129"/>
      <c r="H85" s="142"/>
      <c r="I85" s="125"/>
      <c r="J85" s="125"/>
      <c r="K85" s="80"/>
      <c r="L85" s="1270"/>
    </row>
    <row r="86" spans="1:12" ht="18.75" thickBot="1">
      <c r="A86" s="1138" t="s">
        <v>164</v>
      </c>
      <c r="B86" s="77"/>
      <c r="C86" s="77"/>
      <c r="D86" s="77"/>
      <c r="E86" s="77"/>
      <c r="F86" s="142"/>
      <c r="G86" s="731"/>
      <c r="H86" s="142">
        <v>6</v>
      </c>
      <c r="I86" s="125"/>
      <c r="J86" s="125"/>
      <c r="K86" s="80"/>
      <c r="L86" s="1270"/>
    </row>
    <row r="87" spans="1:12" ht="18.75" thickBot="1">
      <c r="A87" s="1138" t="s">
        <v>1344</v>
      </c>
      <c r="B87" s="78"/>
      <c r="C87" s="78"/>
      <c r="D87" s="78"/>
      <c r="E87" s="78"/>
      <c r="F87" s="142"/>
      <c r="G87" s="412">
        <f>+G83+G84+G86</f>
        <v>0</v>
      </c>
      <c r="H87" s="1167" t="s">
        <v>1600</v>
      </c>
      <c r="I87" s="789">
        <f>G87</f>
        <v>0</v>
      </c>
      <c r="J87" s="142">
        <v>7</v>
      </c>
      <c r="K87" s="80"/>
      <c r="L87" s="1270"/>
    </row>
    <row r="88" spans="1:12" ht="18">
      <c r="A88" s="1138" t="s">
        <v>165</v>
      </c>
      <c r="B88" s="77"/>
      <c r="C88" s="77"/>
      <c r="D88" s="77"/>
      <c r="E88" s="77"/>
      <c r="F88" s="1137"/>
      <c r="G88" s="130"/>
      <c r="H88" s="852"/>
      <c r="I88" s="412">
        <f>+I82-I87</f>
        <v>0</v>
      </c>
      <c r="J88" s="142">
        <v>8</v>
      </c>
      <c r="K88" s="80"/>
      <c r="L88" s="1270"/>
    </row>
    <row r="89" spans="1:12" ht="18">
      <c r="A89" s="138"/>
      <c r="B89" s="125"/>
      <c r="C89" s="125"/>
      <c r="D89" s="125"/>
      <c r="E89" s="125"/>
      <c r="F89" s="142"/>
      <c r="G89" s="129"/>
      <c r="H89" s="125"/>
      <c r="I89" s="125"/>
      <c r="J89" s="125"/>
      <c r="K89" s="80"/>
      <c r="L89" s="1270"/>
    </row>
    <row r="90" spans="1:12" ht="18">
      <c r="A90" s="138" t="s">
        <v>1100</v>
      </c>
      <c r="B90" s="125"/>
      <c r="C90" s="125"/>
      <c r="D90" s="125"/>
      <c r="E90" s="125"/>
      <c r="F90" s="142"/>
      <c r="G90" s="129"/>
      <c r="H90" s="125"/>
      <c r="I90" s="412">
        <f>MINA(2000,I88)</f>
        <v>0</v>
      </c>
      <c r="J90" s="125"/>
      <c r="K90" s="80"/>
      <c r="L90" s="1270"/>
    </row>
    <row r="91" spans="1:12" ht="9.75" customHeight="1">
      <c r="A91" s="138"/>
      <c r="B91" s="125"/>
      <c r="C91" s="125"/>
      <c r="D91" s="125"/>
      <c r="E91" s="125"/>
      <c r="F91" s="142"/>
      <c r="G91" s="129"/>
      <c r="H91" s="125"/>
      <c r="I91" s="125"/>
      <c r="J91" s="125"/>
      <c r="K91" s="80"/>
      <c r="L91" s="1270"/>
    </row>
    <row r="92" spans="1:12" ht="4.5" customHeight="1">
      <c r="A92" s="1151"/>
      <c r="B92" s="1141"/>
      <c r="C92" s="1141"/>
      <c r="D92" s="1141"/>
      <c r="E92" s="1141"/>
      <c r="F92" s="1162"/>
      <c r="G92" s="1163"/>
      <c r="H92" s="1141"/>
      <c r="I92" s="1141"/>
      <c r="J92" s="1141"/>
      <c r="K92" s="1142"/>
      <c r="L92" s="1270"/>
    </row>
    <row r="93" spans="1:12" ht="9.75" customHeight="1">
      <c r="A93" s="138"/>
      <c r="B93" s="125"/>
      <c r="C93" s="125"/>
      <c r="D93" s="125"/>
      <c r="E93" s="125"/>
      <c r="F93" s="142"/>
      <c r="G93" s="129"/>
      <c r="H93" s="125"/>
      <c r="I93" s="125"/>
      <c r="J93" s="125"/>
      <c r="K93" s="80"/>
      <c r="L93" s="1270"/>
    </row>
    <row r="94" spans="1:12" ht="20.25">
      <c r="A94" s="1136" t="s">
        <v>1282</v>
      </c>
      <c r="B94" s="125"/>
      <c r="C94" s="125"/>
      <c r="D94" s="125"/>
      <c r="E94" s="125"/>
      <c r="F94" s="142"/>
      <c r="G94" s="129"/>
      <c r="H94" s="125"/>
      <c r="I94" s="125"/>
      <c r="J94" s="125"/>
      <c r="K94" s="80"/>
      <c r="L94" s="1270"/>
    </row>
    <row r="95" spans="1:12" ht="18">
      <c r="A95" s="138" t="str">
        <f>"If your dependant's net income for "&amp;yeartext&amp;" was $17,363 or more, you cannot make a claim."</f>
        <v>If your dependant's net income for 2006 was $17,363 or more, you cannot make a claim.</v>
      </c>
      <c r="B95" s="125"/>
      <c r="C95" s="125"/>
      <c r="D95" s="125"/>
      <c r="E95" s="125"/>
      <c r="F95" s="142"/>
      <c r="G95" s="129"/>
      <c r="H95" s="125"/>
      <c r="I95" s="125"/>
      <c r="J95" s="125"/>
      <c r="K95" s="80"/>
      <c r="L95" s="1270"/>
    </row>
    <row r="96" spans="1:12" ht="18">
      <c r="A96" s="1138" t="s">
        <v>1556</v>
      </c>
      <c r="B96" s="77"/>
      <c r="C96" s="77"/>
      <c r="D96" s="77"/>
      <c r="E96" s="77"/>
      <c r="F96" s="1137"/>
      <c r="G96" s="130"/>
      <c r="H96" s="125"/>
      <c r="I96" s="412">
        <f>17363*fract</f>
        <v>17363</v>
      </c>
      <c r="J96" s="142">
        <v>1</v>
      </c>
      <c r="K96" s="80"/>
      <c r="L96" s="1270"/>
    </row>
    <row r="97" spans="1:12" ht="18.75" thickBot="1">
      <c r="A97" s="1140" t="s">
        <v>1203</v>
      </c>
      <c r="B97" s="77"/>
      <c r="C97" s="77"/>
      <c r="D97" s="77"/>
      <c r="E97" s="77"/>
      <c r="F97" s="1137"/>
      <c r="G97" s="130"/>
      <c r="H97" s="125"/>
      <c r="I97" s="732"/>
      <c r="J97" s="142">
        <v>2</v>
      </c>
      <c r="K97" s="80"/>
      <c r="L97" s="1270"/>
    </row>
    <row r="98" spans="1:12" ht="18">
      <c r="A98" s="1138" t="s">
        <v>166</v>
      </c>
      <c r="B98" s="77"/>
      <c r="C98" s="77"/>
      <c r="D98" s="77"/>
      <c r="E98" s="78"/>
      <c r="F98" s="1139"/>
      <c r="G98" s="131"/>
      <c r="H98" s="125"/>
      <c r="I98" s="412">
        <f>MINA(3933*fract,(I96-I97))</f>
        <v>3933</v>
      </c>
      <c r="J98" s="142">
        <v>3</v>
      </c>
      <c r="K98" s="80"/>
      <c r="L98" s="1270"/>
    </row>
    <row r="99" spans="1:12" ht="18.75" thickBot="1">
      <c r="A99" s="1138" t="s">
        <v>167</v>
      </c>
      <c r="B99" s="77"/>
      <c r="C99" s="77"/>
      <c r="D99" s="77"/>
      <c r="E99" s="78"/>
      <c r="F99" s="1139"/>
      <c r="G99" s="131"/>
      <c r="H99" s="125"/>
      <c r="I99" s="731"/>
      <c r="J99" s="142">
        <v>4</v>
      </c>
      <c r="K99" s="80"/>
      <c r="L99" s="1270"/>
    </row>
    <row r="100" spans="1:12" ht="18">
      <c r="A100" s="1138" t="s">
        <v>1574</v>
      </c>
      <c r="B100" s="77"/>
      <c r="C100" s="77"/>
      <c r="D100" s="77"/>
      <c r="E100" s="78"/>
      <c r="F100" s="1139"/>
      <c r="G100" s="131"/>
      <c r="H100" s="125"/>
      <c r="I100" s="412">
        <f>MAXA(0,(+I98-I99))</f>
        <v>3933</v>
      </c>
      <c r="J100" s="142">
        <v>5</v>
      </c>
      <c r="K100" s="80"/>
      <c r="L100" s="1270"/>
    </row>
    <row r="101" spans="1:12" ht="18">
      <c r="A101" s="852" t="s">
        <v>392</v>
      </c>
      <c r="B101" s="125"/>
      <c r="C101" s="125"/>
      <c r="D101" s="125"/>
      <c r="E101" s="125"/>
      <c r="F101" s="142"/>
      <c r="G101" s="129"/>
      <c r="H101" s="125"/>
      <c r="I101" s="125"/>
      <c r="J101" s="142"/>
      <c r="K101" s="80"/>
      <c r="L101" s="1270"/>
    </row>
    <row r="102" spans="1:12" ht="18">
      <c r="A102" s="138" t="s">
        <v>168</v>
      </c>
      <c r="B102" s="125"/>
      <c r="C102" s="125"/>
      <c r="D102" s="125"/>
      <c r="E102" s="125"/>
      <c r="F102" s="142"/>
      <c r="G102" s="129"/>
      <c r="H102" s="125"/>
      <c r="I102" s="135">
        <f>I100</f>
        <v>3933</v>
      </c>
      <c r="J102" s="142"/>
      <c r="K102" s="80"/>
      <c r="L102" s="1270"/>
    </row>
    <row r="103" spans="1:12" ht="18">
      <c r="A103" s="138" t="s">
        <v>1101</v>
      </c>
      <c r="B103" s="125"/>
      <c r="C103" s="125"/>
      <c r="D103" s="125"/>
      <c r="E103" s="125"/>
      <c r="F103" s="142"/>
      <c r="G103" s="129"/>
      <c r="H103" s="125"/>
      <c r="I103" s="125"/>
      <c r="J103" s="125"/>
      <c r="K103" s="80"/>
      <c r="L103" s="1270"/>
    </row>
    <row r="104" spans="1:12" ht="18">
      <c r="A104" s="507" t="s">
        <v>1343</v>
      </c>
      <c r="B104" s="5"/>
      <c r="C104" s="5"/>
      <c r="D104" s="5"/>
      <c r="E104" s="6"/>
      <c r="F104" s="142"/>
      <c r="G104" s="129"/>
      <c r="H104" s="125"/>
      <c r="I104" s="125"/>
      <c r="J104" s="125"/>
      <c r="K104" s="80"/>
      <c r="L104" s="1270"/>
    </row>
    <row r="105" spans="1:12" ht="18">
      <c r="A105" s="507" t="s">
        <v>1930</v>
      </c>
      <c r="B105" s="7"/>
      <c r="C105" s="7"/>
      <c r="D105" s="507"/>
      <c r="E105" s="507"/>
      <c r="F105" s="142"/>
      <c r="G105" s="129"/>
      <c r="H105" s="125"/>
      <c r="I105" s="125"/>
      <c r="J105" s="125"/>
      <c r="K105" s="80"/>
      <c r="L105" s="1270"/>
    </row>
    <row r="106" spans="1:12" ht="9.75" customHeight="1">
      <c r="A106" s="138"/>
      <c r="B106" s="125"/>
      <c r="C106" s="125"/>
      <c r="D106" s="125"/>
      <c r="E106" s="125"/>
      <c r="F106" s="142"/>
      <c r="G106" s="129"/>
      <c r="H106" s="129"/>
      <c r="I106" s="129"/>
      <c r="J106" s="129"/>
      <c r="K106" s="80"/>
      <c r="L106" s="1270"/>
    </row>
    <row r="107" spans="1:12" ht="4.5" customHeight="1">
      <c r="A107" s="1151"/>
      <c r="B107" s="1141"/>
      <c r="C107" s="1141"/>
      <c r="D107" s="1141"/>
      <c r="E107" s="1141"/>
      <c r="F107" s="1162"/>
      <c r="G107" s="1163"/>
      <c r="H107" s="1163"/>
      <c r="I107" s="1163"/>
      <c r="J107" s="1163"/>
      <c r="K107" s="1142"/>
      <c r="L107" s="1270"/>
    </row>
    <row r="108" spans="1:12" ht="9.75" customHeight="1">
      <c r="A108" s="138"/>
      <c r="B108" s="125"/>
      <c r="C108" s="125"/>
      <c r="D108" s="125"/>
      <c r="E108" s="125"/>
      <c r="F108" s="125"/>
      <c r="G108" s="129"/>
      <c r="H108" s="129"/>
      <c r="I108" s="129"/>
      <c r="J108" s="129"/>
      <c r="K108" s="80"/>
      <c r="L108" s="1270"/>
    </row>
    <row r="109" spans="1:12" ht="20.25">
      <c r="A109" s="1136" t="str">
        <f>"Line 316 - Disability amount (for self) (calculation if you were under age 18 on December 31, "&amp;yeartext&amp;")"</f>
        <v>Line 316 - Disability amount (for self) (calculation if you were under age 18 on December 31, 2006)</v>
      </c>
      <c r="B109" s="1141"/>
      <c r="C109" s="1141"/>
      <c r="D109" s="1141"/>
      <c r="E109" s="1141"/>
      <c r="F109" s="1141"/>
      <c r="G109" s="1163"/>
      <c r="H109" s="1163"/>
      <c r="I109" s="1163"/>
      <c r="J109" s="1163"/>
      <c r="K109" s="80"/>
      <c r="L109" s="1270"/>
    </row>
    <row r="110" spans="1:12" ht="18">
      <c r="A110" s="1138" t="s">
        <v>876</v>
      </c>
      <c r="B110" s="629"/>
      <c r="C110" s="629"/>
      <c r="D110" s="629"/>
      <c r="E110" s="629"/>
      <c r="F110" s="629"/>
      <c r="G110" s="130"/>
      <c r="H110" s="125"/>
      <c r="I110" s="412">
        <v>3933</v>
      </c>
      <c r="J110" s="792" t="s">
        <v>925</v>
      </c>
      <c r="K110" s="80"/>
      <c r="L110" s="1270"/>
    </row>
    <row r="111" spans="1:12" ht="18">
      <c r="A111" s="1138" t="s">
        <v>1102</v>
      </c>
      <c r="B111" s="628"/>
      <c r="C111" s="116"/>
      <c r="D111" s="116"/>
      <c r="E111" s="116"/>
      <c r="F111" s="116"/>
      <c r="G111" s="135"/>
      <c r="H111" s="792" t="s">
        <v>615</v>
      </c>
      <c r="I111" s="628"/>
      <c r="J111" s="628"/>
      <c r="K111" s="80"/>
      <c r="L111" s="1270"/>
    </row>
    <row r="112" spans="1:12" ht="18.75" thickBot="1">
      <c r="A112" s="1138" t="s">
        <v>1202</v>
      </c>
      <c r="B112" s="631"/>
      <c r="C112" s="131"/>
      <c r="D112" s="131"/>
      <c r="E112" s="131"/>
      <c r="F112" s="116"/>
      <c r="G112" s="730">
        <v>2303</v>
      </c>
      <c r="H112" s="792" t="s">
        <v>616</v>
      </c>
      <c r="I112" s="628"/>
      <c r="J112" s="628"/>
      <c r="K112" s="80"/>
      <c r="L112" s="1270"/>
    </row>
    <row r="113" spans="1:12" ht="18.75" thickBot="1">
      <c r="A113" s="1138" t="s">
        <v>1620</v>
      </c>
      <c r="B113" s="631"/>
      <c r="C113" s="131"/>
      <c r="D113" s="131"/>
      <c r="E113" s="131"/>
      <c r="F113" s="116"/>
      <c r="G113" s="412">
        <f>MAXA(0,(G111-G112))</f>
        <v>0</v>
      </c>
      <c r="H113" s="1167" t="s">
        <v>1600</v>
      </c>
      <c r="I113" s="789">
        <f>G113</f>
        <v>0</v>
      </c>
      <c r="J113" s="792" t="s">
        <v>617</v>
      </c>
      <c r="K113" s="80"/>
      <c r="L113" s="1270"/>
    </row>
    <row r="114" spans="1:12" ht="18">
      <c r="A114" s="1138" t="s">
        <v>1618</v>
      </c>
      <c r="B114" s="631"/>
      <c r="C114" s="131"/>
      <c r="D114" s="131"/>
      <c r="E114" s="131"/>
      <c r="F114" s="116"/>
      <c r="G114" s="629"/>
      <c r="H114" s="629"/>
      <c r="I114" s="412">
        <f>MAXA(0,(I110-I113))</f>
        <v>3933</v>
      </c>
      <c r="J114" s="792" t="s">
        <v>618</v>
      </c>
      <c r="K114" s="80"/>
      <c r="L114" s="1270"/>
    </row>
    <row r="115" spans="1:12" ht="18">
      <c r="A115" s="138" t="s">
        <v>170</v>
      </c>
      <c r="B115" s="628"/>
      <c r="C115" s="116"/>
      <c r="D115" s="116"/>
      <c r="E115" s="116"/>
      <c r="F115" s="116"/>
      <c r="G115" s="628"/>
      <c r="H115" s="628"/>
      <c r="I115" s="628"/>
      <c r="J115" s="628"/>
      <c r="K115" s="80"/>
      <c r="L115" s="1270"/>
    </row>
    <row r="116" spans="1:12" ht="18">
      <c r="A116" s="138" t="s">
        <v>169</v>
      </c>
      <c r="B116" s="628"/>
      <c r="C116" s="116"/>
      <c r="D116" s="116"/>
      <c r="E116" s="116"/>
      <c r="F116" s="116"/>
      <c r="G116" s="628"/>
      <c r="H116" s="628"/>
      <c r="I116" s="412">
        <f>6741+IF(age&gt;=18,0,I114)</f>
        <v>6741</v>
      </c>
      <c r="J116" s="792"/>
      <c r="K116" s="80"/>
      <c r="L116" s="1270"/>
    </row>
    <row r="117" spans="1:12" ht="18">
      <c r="A117" s="507" t="s">
        <v>1342</v>
      </c>
      <c r="B117" s="793"/>
      <c r="C117" s="793"/>
      <c r="D117" s="793"/>
      <c r="E117" s="793"/>
      <c r="F117" s="628"/>
      <c r="G117" s="628"/>
      <c r="H117" s="628"/>
      <c r="I117" s="628"/>
      <c r="J117" s="628"/>
      <c r="K117" s="80"/>
      <c r="L117" s="1270"/>
    </row>
    <row r="118" spans="1:12" ht="18">
      <c r="A118" s="507" t="s">
        <v>1341</v>
      </c>
      <c r="B118" s="793"/>
      <c r="C118" s="793"/>
      <c r="D118" s="793"/>
      <c r="E118" s="793"/>
      <c r="F118" s="628"/>
      <c r="G118" s="628"/>
      <c r="H118" s="628"/>
      <c r="I118" s="628"/>
      <c r="J118" s="628"/>
      <c r="K118" s="80"/>
      <c r="L118" s="1270"/>
    </row>
    <row r="119" spans="1:12" ht="4.5" customHeight="1">
      <c r="A119" s="138"/>
      <c r="B119" s="138"/>
      <c r="C119" s="138"/>
      <c r="D119" s="138"/>
      <c r="E119" s="138"/>
      <c r="F119" s="138"/>
      <c r="G119" s="116"/>
      <c r="H119" s="116"/>
      <c r="I119" s="116"/>
      <c r="J119" s="116"/>
      <c r="K119" s="80"/>
      <c r="L119" s="1270"/>
    </row>
    <row r="120" spans="1:12" ht="4.5" customHeight="1">
      <c r="A120" s="1151"/>
      <c r="B120" s="1151"/>
      <c r="C120" s="1151"/>
      <c r="D120" s="1151"/>
      <c r="E120" s="1151"/>
      <c r="F120" s="1151"/>
      <c r="G120" s="1150"/>
      <c r="H120" s="1150"/>
      <c r="I120" s="1150"/>
      <c r="J120" s="1150"/>
      <c r="K120" s="80"/>
      <c r="L120" s="1270"/>
    </row>
    <row r="121" spans="1:12" ht="9.75" customHeight="1">
      <c r="A121" s="1152"/>
      <c r="B121" s="116"/>
      <c r="C121" s="116"/>
      <c r="D121" s="116"/>
      <c r="E121" s="116"/>
      <c r="F121" s="116"/>
      <c r="G121" s="116"/>
      <c r="H121" s="116"/>
      <c r="I121" s="116"/>
      <c r="J121" s="116"/>
      <c r="K121" s="80"/>
      <c r="L121" s="1270"/>
    </row>
    <row r="122" spans="1:12" ht="20.25">
      <c r="A122" s="1136" t="s">
        <v>1575</v>
      </c>
      <c r="B122" s="1150"/>
      <c r="C122" s="1150"/>
      <c r="D122" s="1150"/>
      <c r="E122" s="1150"/>
      <c r="F122" s="116"/>
      <c r="G122" s="116"/>
      <c r="H122" s="116"/>
      <c r="I122" s="116"/>
      <c r="J122" s="116"/>
      <c r="K122" s="80"/>
      <c r="L122" s="1270"/>
    </row>
    <row r="123" spans="1:10" ht="18">
      <c r="A123" s="1138" t="s">
        <v>1202</v>
      </c>
      <c r="B123" s="116"/>
      <c r="C123" s="116"/>
      <c r="D123" s="116"/>
      <c r="E123" s="116"/>
      <c r="F123" s="116"/>
      <c r="G123" s="116"/>
      <c r="H123" s="116"/>
      <c r="I123" s="412">
        <f>6741*fract</f>
        <v>6741</v>
      </c>
      <c r="J123" s="142">
        <v>1</v>
      </c>
    </row>
    <row r="124" spans="1:10" ht="18">
      <c r="A124" s="138" t="str">
        <f>"If the dependant was under age 18 on December 31, "&amp;yeartext&amp;", enter the amount from line 5 of his"</f>
        <v>If the dependant was under age 18 on December 31, 2006, enter the amount from line 5 of his</v>
      </c>
      <c r="B124" s="1156"/>
      <c r="C124" s="1156"/>
      <c r="D124" s="1156"/>
      <c r="E124" s="1156"/>
      <c r="F124" s="1156"/>
      <c r="G124" s="1156"/>
      <c r="H124" s="116"/>
      <c r="I124" s="125"/>
      <c r="J124" s="125"/>
    </row>
    <row r="125" spans="1:10" ht="18.75" thickBot="1">
      <c r="A125" s="1138" t="s">
        <v>2165</v>
      </c>
      <c r="B125" s="130"/>
      <c r="C125" s="130"/>
      <c r="D125" s="130"/>
      <c r="E125" s="130"/>
      <c r="F125" s="130"/>
      <c r="G125" s="130"/>
      <c r="H125" s="116"/>
      <c r="I125" s="731"/>
      <c r="J125" s="1147" t="s">
        <v>615</v>
      </c>
    </row>
    <row r="126" spans="1:10" ht="18">
      <c r="A126" s="1138" t="s">
        <v>201</v>
      </c>
      <c r="B126" s="131"/>
      <c r="C126" s="131"/>
      <c r="D126" s="131"/>
      <c r="E126" s="131"/>
      <c r="F126" s="131"/>
      <c r="G126" s="131"/>
      <c r="H126" s="116"/>
      <c r="I126" s="412">
        <f>I123+I125</f>
        <v>6741</v>
      </c>
      <c r="J126" s="1147" t="s">
        <v>616</v>
      </c>
    </row>
    <row r="127" spans="1:10" ht="18.75" thickBot="1">
      <c r="A127" s="1138" t="s">
        <v>1576</v>
      </c>
      <c r="B127" s="131"/>
      <c r="C127" s="131"/>
      <c r="D127" s="131"/>
      <c r="E127" s="131"/>
      <c r="F127" s="131"/>
      <c r="G127" s="131"/>
      <c r="H127" s="116"/>
      <c r="I127" s="731"/>
      <c r="J127" s="1148" t="s">
        <v>617</v>
      </c>
    </row>
    <row r="128" spans="1:10" ht="18">
      <c r="A128" s="1140" t="s">
        <v>110</v>
      </c>
      <c r="B128" s="131"/>
      <c r="C128" s="131"/>
      <c r="D128" s="131"/>
      <c r="E128" s="131"/>
      <c r="F128" s="131"/>
      <c r="G128" s="131"/>
      <c r="H128" s="116"/>
      <c r="I128" s="412">
        <f>+I126+I127</f>
        <v>6741</v>
      </c>
      <c r="J128" s="1148" t="s">
        <v>618</v>
      </c>
    </row>
    <row r="129" spans="1:10" ht="18">
      <c r="A129" s="1138" t="s">
        <v>1577</v>
      </c>
      <c r="B129" s="131"/>
      <c r="C129" s="131"/>
      <c r="D129" s="131"/>
      <c r="E129" s="131"/>
      <c r="F129" s="131"/>
      <c r="G129" s="131"/>
      <c r="H129" s="116"/>
      <c r="I129" s="135"/>
      <c r="J129" s="1148" t="s">
        <v>619</v>
      </c>
    </row>
    <row r="130" spans="1:10" ht="18">
      <c r="A130" s="1140" t="s">
        <v>2013</v>
      </c>
      <c r="B130" s="131"/>
      <c r="C130" s="131"/>
      <c r="D130" s="131"/>
      <c r="E130" s="131"/>
      <c r="F130" s="131"/>
      <c r="G130" s="131"/>
      <c r="H130" s="116"/>
      <c r="I130" s="605">
        <f>MAXA(0,(I128-I129))</f>
        <v>6741</v>
      </c>
      <c r="J130" s="1148" t="s">
        <v>1560</v>
      </c>
    </row>
    <row r="131" spans="1:10" ht="18">
      <c r="A131" s="139" t="s">
        <v>1578</v>
      </c>
      <c r="B131" s="1156"/>
      <c r="C131" s="1156"/>
      <c r="D131" s="1156"/>
      <c r="E131" s="1156"/>
      <c r="F131" s="1156"/>
      <c r="G131" s="1156"/>
      <c r="H131" s="116"/>
      <c r="I131" s="412">
        <f>MINA(I126,I130)</f>
        <v>6741</v>
      </c>
      <c r="J131" s="125"/>
    </row>
    <row r="132" spans="1:10" ht="18">
      <c r="A132" s="138"/>
      <c r="B132" s="116"/>
      <c r="C132" s="116"/>
      <c r="D132" s="116"/>
      <c r="E132" s="116"/>
      <c r="F132" s="116"/>
      <c r="G132" s="509" t="s">
        <v>1801</v>
      </c>
      <c r="H132" s="116"/>
      <c r="I132" s="135">
        <f>I131</f>
        <v>6741</v>
      </c>
      <c r="J132" s="125"/>
    </row>
    <row r="133" spans="1:10" ht="18">
      <c r="A133" s="507" t="s">
        <v>1803</v>
      </c>
      <c r="B133" s="1149"/>
      <c r="C133" s="1149"/>
      <c r="D133" s="1149"/>
      <c r="E133" s="116"/>
      <c r="F133" s="116"/>
      <c r="G133" s="116"/>
      <c r="H133" s="116"/>
      <c r="I133" s="123"/>
      <c r="J133" s="125"/>
    </row>
    <row r="134" spans="1:10" ht="18">
      <c r="A134" s="507" t="s">
        <v>1804</v>
      </c>
      <c r="B134" s="1149"/>
      <c r="C134" s="1149"/>
      <c r="D134" s="1149"/>
      <c r="E134" s="116"/>
      <c r="F134" s="116"/>
      <c r="G134" s="116"/>
      <c r="H134" s="116"/>
      <c r="I134" s="852"/>
      <c r="J134" s="125"/>
    </row>
    <row r="135" spans="1:10" ht="4.5" customHeight="1">
      <c r="A135" s="852"/>
      <c r="B135" s="116"/>
      <c r="C135" s="116"/>
      <c r="D135" s="116"/>
      <c r="E135" s="116"/>
      <c r="F135" s="116"/>
      <c r="G135" s="116"/>
      <c r="H135" s="116"/>
      <c r="I135" s="852"/>
      <c r="J135" s="125"/>
    </row>
    <row r="136" spans="1:10" ht="4.5" customHeight="1">
      <c r="A136" s="1157"/>
      <c r="B136" s="1150"/>
      <c r="C136" s="1150"/>
      <c r="D136" s="1150"/>
      <c r="E136" s="1150"/>
      <c r="F136" s="1150"/>
      <c r="G136" s="1150"/>
      <c r="H136" s="1150"/>
      <c r="I136" s="1157"/>
      <c r="J136" s="1141"/>
    </row>
    <row r="137" spans="1:10" ht="4.5" customHeight="1">
      <c r="A137" s="138"/>
      <c r="B137" s="116"/>
      <c r="C137" s="116"/>
      <c r="D137" s="116"/>
      <c r="E137" s="116"/>
      <c r="F137" s="116"/>
      <c r="G137" s="116"/>
      <c r="H137" s="116"/>
      <c r="I137" s="80"/>
      <c r="J137" s="125"/>
    </row>
    <row r="138" spans="1:10" ht="20.25">
      <c r="A138" s="1136" t="s">
        <v>1581</v>
      </c>
      <c r="B138" s="1150"/>
      <c r="C138" s="1150"/>
      <c r="D138" s="1150"/>
      <c r="E138" s="116"/>
      <c r="F138" s="116"/>
      <c r="G138" s="116"/>
      <c r="H138" s="116"/>
      <c r="I138" s="125"/>
      <c r="J138" s="125"/>
    </row>
    <row r="139" spans="1:10" ht="27" customHeight="1">
      <c r="A139" s="138" t="s">
        <v>471</v>
      </c>
      <c r="B139" s="116"/>
      <c r="C139" s="116"/>
      <c r="D139" s="116"/>
      <c r="E139" s="116"/>
      <c r="F139" s="116"/>
      <c r="G139" s="116"/>
      <c r="H139" s="116"/>
      <c r="I139" s="125"/>
      <c r="J139" s="125"/>
    </row>
    <row r="140" spans="1:10" ht="18">
      <c r="A140" s="1138" t="s">
        <v>1571</v>
      </c>
      <c r="B140" s="130"/>
      <c r="C140" s="130"/>
      <c r="D140" s="130"/>
      <c r="E140" s="130"/>
      <c r="F140" s="130"/>
      <c r="G140" s="130"/>
      <c r="H140" s="116"/>
      <c r="I140" s="135"/>
      <c r="J140" s="142">
        <v>1</v>
      </c>
    </row>
    <row r="141" spans="1:10" ht="18">
      <c r="A141" s="138"/>
      <c r="B141" s="116"/>
      <c r="C141" s="116"/>
      <c r="D141" s="116"/>
      <c r="E141" s="116"/>
      <c r="F141" s="116"/>
      <c r="G141" s="116"/>
      <c r="H141" s="116"/>
      <c r="I141" s="125"/>
      <c r="J141" s="125"/>
    </row>
    <row r="142" spans="1:10" ht="18">
      <c r="A142" s="1138" t="s">
        <v>1619</v>
      </c>
      <c r="B142" s="130"/>
      <c r="C142" s="130"/>
      <c r="D142" s="130"/>
      <c r="E142" s="130"/>
      <c r="F142" s="130"/>
      <c r="G142" s="130"/>
      <c r="H142" s="116"/>
      <c r="I142" s="412">
        <f>(3/12)*MINA(I140+0,400)+(2/12)*MINA(I140+0,750)+(4/12)*MINA(I140+0,1275)</f>
        <v>0</v>
      </c>
      <c r="J142" s="1147" t="s">
        <v>1560</v>
      </c>
    </row>
    <row r="143" spans="1:10" ht="9.75" customHeight="1">
      <c r="A143" s="139"/>
      <c r="B143" s="116"/>
      <c r="C143" s="116"/>
      <c r="D143" s="116"/>
      <c r="E143" s="116"/>
      <c r="F143" s="116"/>
      <c r="G143" s="116"/>
      <c r="H143" s="116"/>
      <c r="I143" s="84"/>
      <c r="J143" s="125"/>
    </row>
    <row r="144" spans="1:10" ht="4.5" customHeight="1">
      <c r="A144" s="1151"/>
      <c r="B144" s="1150"/>
      <c r="C144" s="1150"/>
      <c r="D144" s="1150"/>
      <c r="E144" s="1150"/>
      <c r="F144" s="1150"/>
      <c r="G144" s="1150"/>
      <c r="H144" s="1150"/>
      <c r="I144" s="1141"/>
      <c r="J144" s="1141"/>
    </row>
    <row r="145" spans="1:10" ht="9.75" customHeight="1">
      <c r="A145" s="138"/>
      <c r="B145" s="116"/>
      <c r="C145" s="116"/>
      <c r="D145" s="116"/>
      <c r="E145" s="116"/>
      <c r="F145" s="116"/>
      <c r="G145" s="116"/>
      <c r="H145" s="116"/>
      <c r="I145" s="125"/>
      <c r="J145" s="125"/>
    </row>
    <row r="146" spans="1:10" ht="20.25">
      <c r="A146" s="1136" t="s">
        <v>1582</v>
      </c>
      <c r="B146" s="1150"/>
      <c r="C146" s="1150"/>
      <c r="D146" s="1150"/>
      <c r="E146" s="116"/>
      <c r="F146" s="116"/>
      <c r="G146" s="116"/>
      <c r="H146" s="116"/>
      <c r="I146" s="125"/>
      <c r="J146" s="125"/>
    </row>
    <row r="147" spans="1:10" ht="18">
      <c r="A147" s="138" t="s">
        <v>1583</v>
      </c>
      <c r="B147" s="116"/>
      <c r="C147" s="116"/>
      <c r="D147" s="116"/>
      <c r="E147" s="116"/>
      <c r="F147" s="116"/>
      <c r="G147" s="116"/>
      <c r="H147" s="116"/>
      <c r="I147" s="125"/>
      <c r="J147" s="125"/>
    </row>
    <row r="148" spans="1:10" ht="18">
      <c r="A148" s="1138" t="s">
        <v>485</v>
      </c>
      <c r="B148" s="130"/>
      <c r="C148" s="130"/>
      <c r="D148" s="130"/>
      <c r="E148" s="130"/>
      <c r="F148" s="116"/>
      <c r="G148" s="412">
        <f>'T1 GEN-2-3-4'!K87</f>
        <v>0</v>
      </c>
      <c r="H148" s="1148" t="s">
        <v>925</v>
      </c>
      <c r="I148" s="125"/>
      <c r="J148" s="125"/>
    </row>
    <row r="149" spans="1:10" ht="18.75" thickBot="1">
      <c r="A149" s="1138" t="s">
        <v>82</v>
      </c>
      <c r="B149" s="131"/>
      <c r="C149" s="131"/>
      <c r="D149" s="131"/>
      <c r="E149" s="131"/>
      <c r="F149" s="116"/>
      <c r="G149" s="733">
        <f>'T1 GEN-1'!U30</f>
        <v>0</v>
      </c>
      <c r="H149" s="1148" t="s">
        <v>615</v>
      </c>
      <c r="I149" s="125"/>
      <c r="J149" s="125"/>
    </row>
    <row r="150" spans="1:10" ht="18.75" thickBot="1">
      <c r="A150" s="1138" t="s">
        <v>201</v>
      </c>
      <c r="B150" s="131"/>
      <c r="C150" s="131"/>
      <c r="D150" s="131"/>
      <c r="E150" s="131"/>
      <c r="F150" s="116"/>
      <c r="G150" s="412">
        <f>G148+G149</f>
        <v>0</v>
      </c>
      <c r="H150" s="1167" t="s">
        <v>1600</v>
      </c>
      <c r="I150" s="730">
        <f>G150</f>
        <v>0</v>
      </c>
      <c r="J150" s="1147" t="s">
        <v>616</v>
      </c>
    </row>
    <row r="151" spans="1:10" ht="18">
      <c r="A151" s="139" t="s">
        <v>76</v>
      </c>
      <c r="B151" s="1156"/>
      <c r="C151" s="1156"/>
      <c r="D151" s="1156"/>
      <c r="E151" s="1156"/>
      <c r="F151" s="116"/>
      <c r="G151" s="116"/>
      <c r="H151" s="1147"/>
      <c r="I151" s="1159"/>
      <c r="J151" s="1147"/>
    </row>
    <row r="152" spans="1:10" ht="18.75" thickBot="1">
      <c r="A152" s="1138" t="s">
        <v>77</v>
      </c>
      <c r="B152" s="130"/>
      <c r="C152" s="130"/>
      <c r="D152" s="130"/>
      <c r="E152" s="130"/>
      <c r="F152" s="130"/>
      <c r="G152" s="130"/>
      <c r="H152" s="1147"/>
      <c r="I152" s="1160">
        <f>MAX('T1 GEN-2-3-4'!I20,'T1 GEN-1'!U34:X34)</f>
        <v>0</v>
      </c>
      <c r="J152" s="1148">
        <v>4</v>
      </c>
    </row>
    <row r="153" spans="1:10" ht="18">
      <c r="A153" s="1138" t="s">
        <v>78</v>
      </c>
      <c r="B153" s="131"/>
      <c r="C153" s="131"/>
      <c r="D153" s="131"/>
      <c r="E153" s="131"/>
      <c r="F153" s="131"/>
      <c r="G153" s="131"/>
      <c r="H153" s="1147"/>
      <c r="I153" s="831">
        <f>I150-I152</f>
        <v>0</v>
      </c>
      <c r="J153" s="1148">
        <v>5</v>
      </c>
    </row>
    <row r="154" spans="1:10" ht="18.75" thickBot="1">
      <c r="A154" s="1138" t="s">
        <v>1556</v>
      </c>
      <c r="B154" s="131"/>
      <c r="C154" s="131"/>
      <c r="D154" s="131"/>
      <c r="E154" s="131"/>
      <c r="F154" s="131"/>
      <c r="G154" s="131"/>
      <c r="H154" s="116"/>
      <c r="I154" s="789">
        <v>22140</v>
      </c>
      <c r="J154" s="1148">
        <v>6</v>
      </c>
    </row>
    <row r="155" spans="1:10" ht="18">
      <c r="A155" s="1138" t="s">
        <v>79</v>
      </c>
      <c r="B155" s="131"/>
      <c r="C155" s="131"/>
      <c r="D155" s="131"/>
      <c r="E155" s="131"/>
      <c r="F155" s="131"/>
      <c r="G155" s="131"/>
      <c r="H155" s="116"/>
      <c r="I155" s="412">
        <f>MAXA(0,(I153-I154))</f>
        <v>0</v>
      </c>
      <c r="J155" s="1148">
        <v>7</v>
      </c>
    </row>
    <row r="156" spans="1:10" ht="18">
      <c r="A156" s="852"/>
      <c r="B156" s="116"/>
      <c r="C156" s="116"/>
      <c r="D156" s="116"/>
      <c r="E156" s="116"/>
      <c r="F156" s="116"/>
      <c r="G156" s="116"/>
      <c r="H156" s="116"/>
      <c r="I156" s="125"/>
      <c r="J156" s="125"/>
    </row>
    <row r="157" spans="1:10" ht="18">
      <c r="A157" s="883" t="s">
        <v>1103</v>
      </c>
      <c r="B157" s="130"/>
      <c r="C157" s="130"/>
      <c r="D157" s="130"/>
      <c r="E157" s="130"/>
      <c r="F157" s="130"/>
      <c r="G157" s="130"/>
      <c r="H157" s="116"/>
      <c r="I157" s="412">
        <f>MINA(1000,0.25*('T1 GEN-2-3-4'!I69+Sch1!H51))</f>
        <v>0</v>
      </c>
      <c r="J157" s="1148">
        <v>8</v>
      </c>
    </row>
    <row r="158" spans="1:10" ht="18.75" thickBot="1">
      <c r="A158" s="1138" t="s">
        <v>80</v>
      </c>
      <c r="B158" s="131"/>
      <c r="C158" s="131"/>
      <c r="D158" s="131"/>
      <c r="E158" s="131"/>
      <c r="F158" s="131"/>
      <c r="G158" s="131"/>
      <c r="H158" s="116"/>
      <c r="I158" s="730">
        <f>0.05*I155</f>
        <v>0</v>
      </c>
      <c r="J158" s="1148">
        <v>9</v>
      </c>
    </row>
    <row r="159" spans="1:10" ht="18">
      <c r="A159" s="1138" t="s">
        <v>81</v>
      </c>
      <c r="B159" s="131"/>
      <c r="C159" s="131"/>
      <c r="D159" s="131"/>
      <c r="E159" s="131"/>
      <c r="F159" s="131"/>
      <c r="G159" s="131"/>
      <c r="H159" s="116"/>
      <c r="I159" s="412">
        <f>MAXA(0,(I157-I158))</f>
        <v>0</v>
      </c>
      <c r="J159" s="1148">
        <v>10</v>
      </c>
    </row>
    <row r="160" spans="1:10" ht="18">
      <c r="A160" s="138"/>
      <c r="B160" s="116"/>
      <c r="C160" s="116"/>
      <c r="D160" s="116"/>
      <c r="E160" s="116"/>
      <c r="F160" s="116"/>
      <c r="G160" s="116"/>
      <c r="H160" s="116"/>
      <c r="I160" s="125"/>
      <c r="J160" s="125"/>
    </row>
    <row r="161" spans="1:10" ht="18">
      <c r="A161" s="1153" t="s">
        <v>1018</v>
      </c>
      <c r="B161" s="116"/>
      <c r="C161" s="116"/>
      <c r="D161" s="116"/>
      <c r="E161" s="116"/>
      <c r="F161" s="116"/>
      <c r="G161" s="116"/>
      <c r="H161" s="116"/>
      <c r="I161" s="116"/>
      <c r="J161" s="129"/>
    </row>
    <row r="162" spans="1:10" ht="18">
      <c r="A162" s="1154" t="s">
        <v>1019</v>
      </c>
      <c r="B162" s="116"/>
      <c r="C162" s="116"/>
      <c r="D162" s="116"/>
      <c r="E162" s="116"/>
      <c r="F162" s="116"/>
      <c r="G162" s="116"/>
      <c r="H162" s="116"/>
      <c r="I162" s="412">
        <f>'T1 GEN-2-3-4'!I13+'T1 GEN-2-3-4'!I15</f>
        <v>0</v>
      </c>
      <c r="J162" s="129" t="s">
        <v>1020</v>
      </c>
    </row>
    <row r="163" spans="1:10" ht="18">
      <c r="A163" s="1154" t="s">
        <v>1021</v>
      </c>
      <c r="B163" s="116"/>
      <c r="C163" s="116"/>
      <c r="D163" s="116"/>
      <c r="E163" s="116"/>
      <c r="F163" s="116"/>
      <c r="G163" s="116"/>
      <c r="H163" s="116"/>
      <c r="I163" s="135">
        <v>0</v>
      </c>
      <c r="J163" s="129" t="s">
        <v>1022</v>
      </c>
    </row>
    <row r="164" spans="1:10" ht="18">
      <c r="A164" s="138" t="s">
        <v>1023</v>
      </c>
      <c r="B164" s="116"/>
      <c r="C164" s="116"/>
      <c r="D164" s="116"/>
      <c r="E164" s="116"/>
      <c r="F164" s="116"/>
      <c r="G164" s="116"/>
      <c r="H164" s="116"/>
      <c r="I164" s="412">
        <f>'T1 GEN-2-3-4'!I63+'T1 GEN-2-3-4'!I67+'T1 GEN-2-3-4'!I79+'T1 GEN-2-3-4'!I80</f>
        <v>0</v>
      </c>
      <c r="J164" s="125" t="s">
        <v>1024</v>
      </c>
    </row>
    <row r="165" spans="1:10" ht="18.75" thickBot="1">
      <c r="A165" s="138" t="s">
        <v>84</v>
      </c>
      <c r="B165" s="116"/>
      <c r="C165" s="116"/>
      <c r="D165" s="116"/>
      <c r="E165" s="116"/>
      <c r="F165" s="116"/>
      <c r="G165" s="116"/>
      <c r="H165" s="116"/>
      <c r="I165" s="789">
        <f>MAX(0,'T1 GEN-2-3-4'!I32)+MAX(0,'T1 GEN-2-3-4'!I33)+MAX(0,'T1 GEN-2-3-4'!I34)+MAX(0,'T1 GEN-2-3-4'!I35)+MAX(0,'T1 GEN-2-3-4'!I36)</f>
        <v>0</v>
      </c>
      <c r="J165" s="125" t="s">
        <v>1924</v>
      </c>
    </row>
    <row r="166" spans="1:10" ht="18">
      <c r="A166" s="138" t="s">
        <v>1328</v>
      </c>
      <c r="B166" s="116"/>
      <c r="C166" s="116"/>
      <c r="D166" s="116"/>
      <c r="E166" s="116"/>
      <c r="F166" s="116"/>
      <c r="G166" s="116"/>
      <c r="H166" s="116"/>
      <c r="I166" s="412">
        <f>MAX(0,I162-I163-I164)+I165</f>
        <v>0</v>
      </c>
      <c r="J166" s="125"/>
    </row>
    <row r="167" spans="1:10" ht="15">
      <c r="A167" s="125"/>
      <c r="B167" s="116"/>
      <c r="C167" s="116"/>
      <c r="D167" s="116"/>
      <c r="E167" s="116"/>
      <c r="F167" s="116"/>
      <c r="G167" s="116"/>
      <c r="H167" s="116"/>
      <c r="I167" s="628"/>
      <c r="J167" s="628"/>
    </row>
    <row r="168" spans="1:10" ht="18">
      <c r="A168" s="1155" t="s">
        <v>267</v>
      </c>
      <c r="B168" s="1149"/>
      <c r="C168" s="1149"/>
      <c r="D168" s="1149"/>
      <c r="E168" s="1149"/>
      <c r="F168" s="116"/>
      <c r="G168" s="116"/>
      <c r="H168" s="116"/>
      <c r="I168" s="125"/>
      <c r="J168" s="125"/>
    </row>
    <row r="169" spans="1:10" ht="18">
      <c r="A169" s="1155" t="s">
        <v>83</v>
      </c>
      <c r="B169" s="1149"/>
      <c r="C169" s="1149"/>
      <c r="D169" s="1149"/>
      <c r="E169" s="1149"/>
      <c r="F169" s="116"/>
      <c r="G169" s="116"/>
      <c r="H169" s="116"/>
      <c r="I169" s="125"/>
      <c r="J169" s="142"/>
    </row>
    <row r="170" spans="1:10" ht="18">
      <c r="A170" s="1155" t="str">
        <f>"If not resident in Canada throughout "&amp;yeartext&amp;", set QUAL sheet radio button."</f>
        <v>If not resident in Canada throughout 2006, set QUAL sheet radio button.</v>
      </c>
      <c r="B170" s="1149"/>
      <c r="C170" s="1149"/>
      <c r="D170" s="1149"/>
      <c r="E170" s="1149"/>
      <c r="F170" s="116"/>
      <c r="G170" s="116"/>
      <c r="H170" s="116"/>
      <c r="I170" s="125"/>
      <c r="J170" s="125"/>
    </row>
    <row r="171" ht="15">
      <c r="A171" s="1146"/>
    </row>
    <row r="172" ht="15">
      <c r="A172" s="1146"/>
    </row>
    <row r="173" ht="15">
      <c r="A173" s="1146" t="s">
        <v>171</v>
      </c>
    </row>
    <row r="174" ht="15">
      <c r="A174" s="1146"/>
    </row>
    <row r="175" ht="15">
      <c r="A175" s="1146"/>
    </row>
    <row r="176" ht="15">
      <c r="A176" s="1146"/>
    </row>
    <row r="177" ht="15">
      <c r="A177" s="1146"/>
    </row>
    <row r="178" ht="15">
      <c r="A178" s="1146"/>
    </row>
    <row r="179" ht="15">
      <c r="A179" s="1146"/>
    </row>
    <row r="180" ht="15">
      <c r="A180" s="1146"/>
    </row>
    <row r="181" ht="15">
      <c r="A181" s="1146"/>
    </row>
    <row r="182" ht="15">
      <c r="A182" s="1146"/>
    </row>
    <row r="183" ht="15">
      <c r="A183" s="1146"/>
    </row>
    <row r="184" ht="15">
      <c r="A184" s="1146"/>
    </row>
    <row r="185" ht="15">
      <c r="A185" s="1146"/>
    </row>
    <row r="186" ht="15">
      <c r="A186" s="1146"/>
    </row>
    <row r="187" ht="15">
      <c r="A187" s="1146"/>
    </row>
    <row r="188" ht="15">
      <c r="A188" s="1146"/>
    </row>
    <row r="189" ht="15">
      <c r="A189" s="1146"/>
    </row>
    <row r="190" ht="15">
      <c r="A190" s="1146"/>
    </row>
    <row r="191" ht="15">
      <c r="A191" s="1146"/>
    </row>
    <row r="192" ht="15">
      <c r="A192" s="1146"/>
    </row>
    <row r="193" ht="15">
      <c r="A193" s="1146"/>
    </row>
    <row r="194" ht="15">
      <c r="A194" s="1146"/>
    </row>
    <row r="195" ht="15">
      <c r="A195" s="1146"/>
    </row>
    <row r="196" ht="15">
      <c r="A196" s="1146"/>
    </row>
    <row r="197" ht="15">
      <c r="A197" s="1146"/>
    </row>
    <row r="198" ht="15">
      <c r="A198" s="1146"/>
    </row>
    <row r="199" ht="15">
      <c r="A199" s="1146"/>
    </row>
    <row r="200" ht="15">
      <c r="A200" s="1146"/>
    </row>
    <row r="201" ht="15">
      <c r="A201" s="1146"/>
    </row>
    <row r="202" ht="15">
      <c r="A202" s="1146"/>
    </row>
    <row r="203" ht="15">
      <c r="A203" s="1146"/>
    </row>
    <row r="204" ht="15">
      <c r="A204" s="1146"/>
    </row>
    <row r="205" ht="15">
      <c r="A205" s="1146"/>
    </row>
    <row r="206" ht="15">
      <c r="A206" s="1146"/>
    </row>
    <row r="207" ht="15">
      <c r="A207" s="1146"/>
    </row>
    <row r="208" ht="15">
      <c r="A208" s="1146"/>
    </row>
    <row r="209" ht="15">
      <c r="A209" s="1146"/>
    </row>
    <row r="210" ht="15">
      <c r="A210" s="1146"/>
    </row>
    <row r="211" ht="15">
      <c r="A211" s="1146"/>
    </row>
    <row r="212" ht="15">
      <c r="A212" s="1146"/>
    </row>
    <row r="213" ht="15">
      <c r="A213" s="1146"/>
    </row>
    <row r="214" ht="15">
      <c r="A214" s="1146"/>
    </row>
    <row r="215" ht="15">
      <c r="A215" s="1146"/>
    </row>
    <row r="216" ht="15">
      <c r="A216" s="1146"/>
    </row>
    <row r="217" ht="15">
      <c r="A217" s="1146"/>
    </row>
    <row r="218" ht="15">
      <c r="A218" s="1146"/>
    </row>
    <row r="219" ht="15">
      <c r="A219" s="1146"/>
    </row>
    <row r="220" ht="15">
      <c r="A220" s="1146"/>
    </row>
    <row r="221" ht="15">
      <c r="A221" s="1146"/>
    </row>
    <row r="222" ht="15">
      <c r="A222" s="1146"/>
    </row>
    <row r="223" ht="15">
      <c r="A223" s="1146"/>
    </row>
    <row r="224" ht="15">
      <c r="A224" s="1146"/>
    </row>
    <row r="225" ht="15">
      <c r="A225" s="1146"/>
    </row>
    <row r="226" ht="15">
      <c r="A226" s="1146"/>
    </row>
    <row r="227" ht="15">
      <c r="A227" s="1146"/>
    </row>
    <row r="228" ht="15">
      <c r="A228" s="1146"/>
    </row>
    <row r="229" ht="15">
      <c r="A229" s="1146"/>
    </row>
    <row r="230" ht="15">
      <c r="A230" s="1146"/>
    </row>
    <row r="231" ht="15">
      <c r="A231" s="1146"/>
    </row>
    <row r="232" ht="15">
      <c r="A232" s="1146"/>
    </row>
    <row r="233" ht="15">
      <c r="A233" s="1146"/>
    </row>
    <row r="234" ht="15">
      <c r="A234" s="1146"/>
    </row>
    <row r="235" ht="15">
      <c r="A235" s="1146"/>
    </row>
    <row r="236" ht="15">
      <c r="A236" s="1146"/>
    </row>
    <row r="237" ht="15">
      <c r="A237" s="1146"/>
    </row>
    <row r="238" ht="15">
      <c r="A238" s="1146"/>
    </row>
    <row r="239" ht="15">
      <c r="A239" s="1146"/>
    </row>
    <row r="240" ht="15">
      <c r="A240" s="1146"/>
    </row>
    <row r="241" ht="15">
      <c r="A241" s="294"/>
    </row>
    <row r="242" ht="15">
      <c r="A242" s="294"/>
    </row>
    <row r="243" ht="15">
      <c r="A243" s="294"/>
    </row>
    <row r="244" ht="15">
      <c r="A244" s="294"/>
    </row>
    <row r="245" ht="15">
      <c r="A245" s="294"/>
    </row>
    <row r="246" ht="15">
      <c r="A246" s="294"/>
    </row>
    <row r="247" ht="15">
      <c r="A247" s="294"/>
    </row>
    <row r="248" ht="15">
      <c r="A248" s="294"/>
    </row>
    <row r="249" ht="15">
      <c r="A249" s="294"/>
    </row>
    <row r="250" ht="15">
      <c r="A250" s="294"/>
    </row>
    <row r="251" ht="15">
      <c r="A251" s="294"/>
    </row>
    <row r="252" ht="15">
      <c r="A252" s="294"/>
    </row>
    <row r="253" ht="15">
      <c r="A253" s="294"/>
    </row>
    <row r="254" ht="15">
      <c r="A254" s="294"/>
    </row>
    <row r="255" ht="15">
      <c r="A255" s="294"/>
    </row>
    <row r="256" ht="15">
      <c r="A256" s="294"/>
    </row>
    <row r="257" ht="15">
      <c r="A257" s="294"/>
    </row>
    <row r="258" ht="15">
      <c r="A258" s="294"/>
    </row>
    <row r="259" ht="15">
      <c r="A259" s="294"/>
    </row>
    <row r="260" ht="15">
      <c r="A260" s="294"/>
    </row>
    <row r="261" ht="15">
      <c r="A261" s="294"/>
    </row>
    <row r="262" ht="15">
      <c r="A262" s="294"/>
    </row>
    <row r="263" ht="15">
      <c r="A263" s="294"/>
    </row>
    <row r="264" ht="15">
      <c r="A264" s="294"/>
    </row>
    <row r="265" ht="15">
      <c r="A265" s="294"/>
    </row>
    <row r="266" ht="15">
      <c r="A266" s="294"/>
    </row>
    <row r="267" ht="15">
      <c r="A267" s="294"/>
    </row>
    <row r="268" ht="15">
      <c r="A268" s="294"/>
    </row>
    <row r="269" ht="15">
      <c r="A269" s="294"/>
    </row>
    <row r="270" ht="15">
      <c r="A270" s="294"/>
    </row>
    <row r="271" ht="15">
      <c r="A271" s="294"/>
    </row>
    <row r="272" ht="15">
      <c r="A272" s="294"/>
    </row>
    <row r="273" ht="15">
      <c r="A273" s="294"/>
    </row>
    <row r="274" ht="15">
      <c r="A274" s="294"/>
    </row>
    <row r="275" ht="15">
      <c r="A275" s="294"/>
    </row>
    <row r="276" ht="15">
      <c r="A276" s="294"/>
    </row>
    <row r="277" ht="15">
      <c r="A277" s="294"/>
    </row>
    <row r="278" ht="15">
      <c r="A278" s="294"/>
    </row>
    <row r="279" ht="15">
      <c r="A279" s="294"/>
    </row>
    <row r="280" ht="15">
      <c r="A280" s="294"/>
    </row>
    <row r="281" ht="15">
      <c r="A281" s="294"/>
    </row>
    <row r="282" ht="15">
      <c r="A282" s="294"/>
    </row>
    <row r="283" ht="15">
      <c r="A283" s="294"/>
    </row>
    <row r="284" ht="15">
      <c r="A284" s="294"/>
    </row>
    <row r="285" ht="15">
      <c r="A285" s="294"/>
    </row>
    <row r="286" ht="15">
      <c r="A286" s="294"/>
    </row>
    <row r="287" ht="15">
      <c r="A287" s="294"/>
    </row>
    <row r="288" ht="15">
      <c r="A288" s="294"/>
    </row>
    <row r="289" ht="15">
      <c r="A289" s="294"/>
    </row>
    <row r="290" ht="15">
      <c r="A290" s="294"/>
    </row>
    <row r="291" ht="15">
      <c r="A291" s="294"/>
    </row>
    <row r="292" ht="15">
      <c r="A292" s="294"/>
    </row>
    <row r="293" ht="15">
      <c r="A293" s="294"/>
    </row>
    <row r="294" ht="15">
      <c r="A294" s="294"/>
    </row>
    <row r="295" ht="15">
      <c r="A295" s="294"/>
    </row>
    <row r="296" ht="15">
      <c r="A296" s="294"/>
    </row>
    <row r="297" ht="15">
      <c r="A297" s="294"/>
    </row>
    <row r="298" ht="15">
      <c r="A298" s="294"/>
    </row>
    <row r="299" ht="15">
      <c r="A299" s="294"/>
    </row>
    <row r="300" ht="15">
      <c r="A300" s="294"/>
    </row>
    <row r="301" ht="15">
      <c r="A301" s="294"/>
    </row>
    <row r="302" ht="15">
      <c r="A302" s="294"/>
    </row>
    <row r="303" ht="15">
      <c r="A303" s="294"/>
    </row>
    <row r="304" ht="15">
      <c r="A304" s="294"/>
    </row>
    <row r="305" ht="15">
      <c r="A305" s="294"/>
    </row>
    <row r="306" ht="15">
      <c r="A306" s="294"/>
    </row>
    <row r="307" ht="15">
      <c r="A307" s="294"/>
    </row>
    <row r="308" ht="15">
      <c r="A308" s="294"/>
    </row>
    <row r="309" ht="15">
      <c r="A309" s="294"/>
    </row>
    <row r="310" ht="15">
      <c r="A310" s="294"/>
    </row>
    <row r="311" ht="15">
      <c r="A311" s="294"/>
    </row>
    <row r="312" ht="15">
      <c r="A312" s="294"/>
    </row>
    <row r="313" ht="15">
      <c r="A313" s="294"/>
    </row>
    <row r="314" ht="15">
      <c r="A314" s="294"/>
    </row>
    <row r="315" ht="15">
      <c r="A315" s="294"/>
    </row>
    <row r="316" ht="15">
      <c r="A316" s="294"/>
    </row>
    <row r="317" ht="15">
      <c r="A317" s="294"/>
    </row>
    <row r="318" ht="15">
      <c r="A318" s="294"/>
    </row>
    <row r="319" ht="15">
      <c r="A319" s="294"/>
    </row>
    <row r="320" ht="15">
      <c r="A320" s="294"/>
    </row>
    <row r="321" ht="15">
      <c r="A321" s="294"/>
    </row>
    <row r="322" ht="15">
      <c r="A322" s="294"/>
    </row>
    <row r="323" ht="15">
      <c r="A323" s="294"/>
    </row>
    <row r="324" ht="15">
      <c r="A324" s="294"/>
    </row>
    <row r="325" ht="15">
      <c r="A325" s="294"/>
    </row>
    <row r="326" ht="15">
      <c r="A326" s="294"/>
    </row>
    <row r="327" ht="15">
      <c r="A327" s="294"/>
    </row>
    <row r="328" ht="15">
      <c r="A328" s="294"/>
    </row>
    <row r="329" ht="15">
      <c r="A329" s="294"/>
    </row>
    <row r="330" ht="15">
      <c r="A330" s="294"/>
    </row>
    <row r="331" ht="15">
      <c r="A331" s="294"/>
    </row>
    <row r="332" ht="15">
      <c r="A332" s="294"/>
    </row>
    <row r="333" ht="15">
      <c r="A333" s="294"/>
    </row>
    <row r="334" ht="15">
      <c r="A334" s="294"/>
    </row>
    <row r="335" ht="15">
      <c r="A335" s="294"/>
    </row>
    <row r="336" ht="15">
      <c r="A336" s="294"/>
    </row>
    <row r="337" ht="15">
      <c r="A337" s="294"/>
    </row>
    <row r="338" ht="15">
      <c r="A338" s="294"/>
    </row>
    <row r="339" ht="15">
      <c r="A339" s="294"/>
    </row>
    <row r="340" ht="15">
      <c r="A340" s="294"/>
    </row>
    <row r="341" ht="15">
      <c r="A341" s="294"/>
    </row>
    <row r="342" ht="15">
      <c r="A342" s="294"/>
    </row>
    <row r="343" ht="15">
      <c r="A343" s="294"/>
    </row>
    <row r="344" ht="15">
      <c r="A344" s="294"/>
    </row>
    <row r="345" ht="15">
      <c r="A345" s="294"/>
    </row>
    <row r="346" ht="15">
      <c r="A346" s="294"/>
    </row>
    <row r="347" ht="15">
      <c r="A347" s="294"/>
    </row>
    <row r="348" ht="15">
      <c r="A348" s="294"/>
    </row>
    <row r="349" ht="15">
      <c r="A349" s="294"/>
    </row>
    <row r="350" ht="15">
      <c r="A350" s="294"/>
    </row>
    <row r="351" ht="15">
      <c r="A351" s="294"/>
    </row>
    <row r="352" ht="15">
      <c r="A352" s="294"/>
    </row>
    <row r="353" ht="15">
      <c r="A353" s="294"/>
    </row>
    <row r="354" ht="15">
      <c r="A354" s="294"/>
    </row>
    <row r="355" ht="15">
      <c r="A355" s="294"/>
    </row>
    <row r="356" ht="15">
      <c r="A356" s="294"/>
    </row>
    <row r="357" ht="15">
      <c r="A357" s="294"/>
    </row>
    <row r="358" ht="15">
      <c r="A358" s="294"/>
    </row>
    <row r="359" ht="15">
      <c r="A359" s="294"/>
    </row>
    <row r="360" ht="15">
      <c r="A360" s="294"/>
    </row>
    <row r="361" ht="15">
      <c r="A361" s="294"/>
    </row>
    <row r="362" ht="15">
      <c r="A362" s="294"/>
    </row>
    <row r="363" ht="15">
      <c r="A363" s="294"/>
    </row>
    <row r="364" ht="15">
      <c r="A364" s="294"/>
    </row>
    <row r="365" ht="15">
      <c r="A365" s="294"/>
    </row>
  </sheetData>
  <sheetProtection password="EC35" sheet="1" objects="1" scenarios="1"/>
  <mergeCells count="1">
    <mergeCell ref="L1:L122"/>
  </mergeCells>
  <dataValidations count="4">
    <dataValidation allowBlank="1" showInputMessage="1" showErrorMessage="1" promptTitle="DEFAULT FORMULA" prompt="You will have to replace this formula with the total amount for all dependants, if you have more than 1 dependants." sqref="I71"/>
    <dataValidation allowBlank="1" showInputMessage="1" showErrorMessage="1" promptTitle="DEFAULT FORMULA" prompt="If you have more than one dependant, calculate the values one at a time using the above and when finished, enter the total amount here." sqref="I102"/>
    <dataValidation allowBlank="1" showInputMessage="1" showErrorMessage="1" promptTitle="DEFAULT FORMULA" prompt="If you have more than one eligible dependant amount to transfer, then enter the total of all the amounts on this line." sqref="I132"/>
    <dataValidation allowBlank="1" showErrorMessage="1" sqref="I133:I136"/>
  </dataValidations>
  <hyperlinks>
    <hyperlink ref="L1:L122" location="'GO TO'!B9" display=" "/>
  </hyperlinks>
  <printOptions horizontalCentered="1"/>
  <pageMargins left="0" right="0" top="0" bottom="0" header="0.5118110236220472" footer="0.5118110236220472"/>
  <pageSetup fitToHeight="0" fitToWidth="1" horizontalDpi="600" verticalDpi="600" orientation="portrait" scale="72" r:id="rId3"/>
  <rowBreaks count="2" manualBreakCount="2">
    <brk id="62" max="10" man="1"/>
    <brk id="121" max="10" man="1"/>
  </rowBreaks>
  <legacyDrawing r:id="rId2"/>
</worksheet>
</file>

<file path=xl/worksheets/sheet9.xml><?xml version="1.0" encoding="utf-8"?>
<worksheet xmlns="http://schemas.openxmlformats.org/spreadsheetml/2006/main" xmlns:r="http://schemas.openxmlformats.org/officeDocument/2006/relationships">
  <sheetPr codeName="Sheet1613" transitionEvaluation="1">
    <pageSetUpPr fitToPage="1"/>
  </sheetPr>
  <dimension ref="A1:K100"/>
  <sheetViews>
    <sheetView showGridLines="0" zoomScale="75" zoomScaleNormal="75" workbookViewId="0" topLeftCell="A1">
      <selection activeCell="A3" sqref="A3"/>
    </sheetView>
  </sheetViews>
  <sheetFormatPr defaultColWidth="9.77734375" defaultRowHeight="15"/>
  <cols>
    <col min="1" max="1" width="37.6640625" style="0" customWidth="1"/>
    <col min="2" max="2" width="5.77734375" style="0" customWidth="1"/>
    <col min="3" max="3" width="12.77734375" style="0" customWidth="1"/>
    <col min="4" max="4" width="5.77734375" style="0" customWidth="1"/>
    <col min="5" max="5" width="12.77734375" style="0" customWidth="1"/>
    <col min="6" max="6" width="4.88671875" style="0" customWidth="1"/>
    <col min="7" max="7" width="12.77734375" style="0" customWidth="1"/>
    <col min="8" max="8" width="4.3359375" style="0" customWidth="1"/>
    <col min="9" max="9" width="12.77734375" style="0" customWidth="1"/>
    <col min="10" max="10" width="3.5546875" style="0" customWidth="1"/>
  </cols>
  <sheetData>
    <row r="1" spans="1:11" ht="24.75" customHeight="1">
      <c r="A1" s="231"/>
      <c r="B1" s="231"/>
      <c r="C1" s="252"/>
      <c r="D1" s="253" t="s">
        <v>1183</v>
      </c>
      <c r="E1" s="231"/>
      <c r="F1" s="231"/>
      <c r="G1" s="231"/>
      <c r="H1" s="231"/>
      <c r="I1" s="254" t="str">
        <f>yeartext</f>
        <v>2006</v>
      </c>
      <c r="J1" s="231"/>
      <c r="K1" s="1270" t="s">
        <v>1793</v>
      </c>
    </row>
    <row r="2" spans="1:11" ht="15" customHeight="1">
      <c r="A2" s="231"/>
      <c r="B2" s="231"/>
      <c r="C2" s="231"/>
      <c r="D2" s="253"/>
      <c r="E2" s="231"/>
      <c r="F2" s="231"/>
      <c r="G2" s="231"/>
      <c r="H2" s="231"/>
      <c r="I2" s="239" t="s">
        <v>1184</v>
      </c>
      <c r="J2" s="231"/>
      <c r="K2" s="1270"/>
    </row>
    <row r="3" spans="1:11" ht="30" customHeight="1">
      <c r="A3" s="231" t="s">
        <v>1695</v>
      </c>
      <c r="B3" s="231"/>
      <c r="C3" s="231"/>
      <c r="D3" s="253"/>
      <c r="E3" s="231"/>
      <c r="F3" s="231"/>
      <c r="G3" s="231"/>
      <c r="H3" s="231"/>
      <c r="I3" s="239"/>
      <c r="J3" s="239"/>
      <c r="K3" s="1270"/>
    </row>
    <row r="4" spans="1:11" ht="15.75" customHeight="1">
      <c r="A4" s="231" t="s">
        <v>1696</v>
      </c>
      <c r="B4" s="231"/>
      <c r="C4" s="231"/>
      <c r="D4" s="253"/>
      <c r="E4" s="231"/>
      <c r="F4" s="231"/>
      <c r="G4" s="231"/>
      <c r="H4" s="231"/>
      <c r="I4" s="239"/>
      <c r="J4" s="239"/>
      <c r="K4" s="1270"/>
    </row>
    <row r="5" spans="1:11" ht="24.75" customHeight="1">
      <c r="A5" s="231" t="s">
        <v>2204</v>
      </c>
      <c r="B5" s="231"/>
      <c r="C5" s="231"/>
      <c r="D5" s="253"/>
      <c r="E5" s="231"/>
      <c r="F5" s="231"/>
      <c r="G5" s="231"/>
      <c r="H5" s="231"/>
      <c r="I5" s="239"/>
      <c r="J5" s="239"/>
      <c r="K5" s="1270"/>
    </row>
    <row r="6" spans="1:11" ht="51.75" customHeight="1">
      <c r="A6" s="306" t="s">
        <v>971</v>
      </c>
      <c r="B6" s="231"/>
      <c r="C6" s="231"/>
      <c r="D6" s="253"/>
      <c r="E6" s="231"/>
      <c r="F6" s="231"/>
      <c r="G6" s="231"/>
      <c r="H6" s="231"/>
      <c r="I6" s="239"/>
      <c r="J6" s="239"/>
      <c r="K6" s="1270"/>
    </row>
    <row r="7" spans="1:11" ht="25.5" customHeight="1">
      <c r="A7" s="301" t="s">
        <v>97</v>
      </c>
      <c r="B7" s="234"/>
      <c r="C7" s="234"/>
      <c r="D7" s="302"/>
      <c r="E7" s="234"/>
      <c r="F7" s="234"/>
      <c r="G7" s="301"/>
      <c r="H7" s="305"/>
      <c r="I7" s="653">
        <f>IF(age&gt;64,3531*fract,0)</f>
        <v>0</v>
      </c>
      <c r="J7" s="299" t="s">
        <v>925</v>
      </c>
      <c r="K7" s="1270"/>
    </row>
    <row r="8" spans="1:11" ht="15.75" customHeight="1">
      <c r="A8" s="303" t="s">
        <v>485</v>
      </c>
      <c r="B8" s="237"/>
      <c r="C8" s="237"/>
      <c r="D8" s="304"/>
      <c r="E8" s="237"/>
      <c r="F8" s="231"/>
      <c r="G8" s="654">
        <f>'T1 GEN-2-3-4'!$K$87</f>
        <v>0</v>
      </c>
      <c r="H8" s="299" t="s">
        <v>615</v>
      </c>
      <c r="I8" s="300"/>
      <c r="J8" s="300"/>
      <c r="K8" s="1270"/>
    </row>
    <row r="9" spans="1:11" ht="15.75" customHeight="1" thickBot="1">
      <c r="A9" s="303" t="s">
        <v>1202</v>
      </c>
      <c r="B9" s="237"/>
      <c r="C9" s="237"/>
      <c r="D9" s="304"/>
      <c r="E9" s="237"/>
      <c r="F9" s="231"/>
      <c r="G9" s="979">
        <f>26284*fract</f>
        <v>26284</v>
      </c>
      <c r="H9" s="299" t="s">
        <v>616</v>
      </c>
      <c r="I9" s="300"/>
      <c r="J9" s="300"/>
      <c r="K9" s="1270"/>
    </row>
    <row r="10" spans="1:11" ht="15.75" customHeight="1">
      <c r="A10" s="303" t="s">
        <v>1620</v>
      </c>
      <c r="B10" s="237"/>
      <c r="C10" s="237"/>
      <c r="D10" s="304"/>
      <c r="E10" s="237"/>
      <c r="F10" s="231"/>
      <c r="G10" s="508">
        <f>MAXA(0,G8-G9)</f>
        <v>0</v>
      </c>
      <c r="H10" s="299" t="s">
        <v>617</v>
      </c>
      <c r="I10" s="300"/>
      <c r="J10" s="300"/>
      <c r="K10" s="1270"/>
    </row>
    <row r="11" spans="1:11" ht="15.75" customHeight="1" thickBot="1">
      <c r="A11" s="303" t="s">
        <v>1621</v>
      </c>
      <c r="B11" s="237"/>
      <c r="C11" s="237"/>
      <c r="D11" s="304"/>
      <c r="E11" s="237"/>
      <c r="F11" s="231"/>
      <c r="G11" s="980">
        <v>0.15</v>
      </c>
      <c r="H11" s="299" t="s">
        <v>618</v>
      </c>
      <c r="I11" s="300"/>
      <c r="J11" s="300"/>
      <c r="K11" s="1270"/>
    </row>
    <row r="12" spans="1:11" ht="15.75" customHeight="1">
      <c r="A12" s="303" t="s">
        <v>317</v>
      </c>
      <c r="B12" s="237"/>
      <c r="C12" s="237"/>
      <c r="D12" s="304"/>
      <c r="E12" s="237"/>
      <c r="F12" s="231"/>
      <c r="G12" s="508">
        <f>0.15*G10</f>
        <v>0</v>
      </c>
      <c r="H12" s="299"/>
      <c r="I12" s="508">
        <f>G12</f>
        <v>0</v>
      </c>
      <c r="J12" s="299" t="s">
        <v>619</v>
      </c>
      <c r="K12" s="1270"/>
    </row>
    <row r="13" spans="1:11" ht="15.75" customHeight="1">
      <c r="A13" s="303" t="s">
        <v>757</v>
      </c>
      <c r="B13" s="237"/>
      <c r="C13" s="237"/>
      <c r="D13" s="304"/>
      <c r="E13" s="237"/>
      <c r="F13" s="234"/>
      <c r="G13" s="301"/>
      <c r="H13" s="305"/>
      <c r="I13" s="747">
        <f>MAXA(0,I7-I12)</f>
        <v>0</v>
      </c>
      <c r="J13" s="299" t="s">
        <v>1560</v>
      </c>
      <c r="K13" s="1270"/>
    </row>
    <row r="14" spans="1:11" ht="64.5" customHeight="1">
      <c r="A14" s="306" t="s">
        <v>386</v>
      </c>
      <c r="B14" s="231"/>
      <c r="C14" s="231"/>
      <c r="D14" s="253"/>
      <c r="E14" s="231"/>
      <c r="F14" s="231"/>
      <c r="G14" s="305"/>
      <c r="H14" s="305"/>
      <c r="I14" s="300"/>
      <c r="J14" s="300"/>
      <c r="K14" s="1270"/>
    </row>
    <row r="15" spans="1:11" ht="24.75" customHeight="1">
      <c r="A15" s="301" t="s">
        <v>1556</v>
      </c>
      <c r="B15" s="234"/>
      <c r="C15" s="234"/>
      <c r="D15" s="302"/>
      <c r="E15" s="234"/>
      <c r="F15" s="234"/>
      <c r="G15" s="301"/>
      <c r="H15" s="305"/>
      <c r="I15" s="508">
        <f>fract*6754</f>
        <v>6754</v>
      </c>
      <c r="J15" s="299" t="s">
        <v>925</v>
      </c>
      <c r="K15" s="1270"/>
    </row>
    <row r="16" spans="1:11" ht="15.75" customHeight="1">
      <c r="A16" s="303" t="s">
        <v>387</v>
      </c>
      <c r="B16" s="237"/>
      <c r="C16" s="237"/>
      <c r="D16" s="304"/>
      <c r="E16" s="237"/>
      <c r="F16" s="237"/>
      <c r="G16" s="303"/>
      <c r="H16" s="305"/>
      <c r="I16" s="160"/>
      <c r="J16" s="299" t="s">
        <v>615</v>
      </c>
      <c r="K16" s="1270"/>
    </row>
    <row r="17" spans="1:11" ht="15.75" customHeight="1">
      <c r="A17" s="307" t="s">
        <v>406</v>
      </c>
      <c r="B17" s="248"/>
      <c r="C17" s="248"/>
      <c r="D17" s="308"/>
      <c r="E17" s="248"/>
      <c r="F17" s="248"/>
      <c r="G17" s="307"/>
      <c r="H17" s="305"/>
      <c r="I17" s="300"/>
      <c r="J17" s="300"/>
      <c r="K17" s="1270"/>
    </row>
    <row r="18" spans="1:11" ht="15.75" customHeight="1">
      <c r="A18" s="301" t="s">
        <v>1054</v>
      </c>
      <c r="B18" s="234"/>
      <c r="C18" s="234"/>
      <c r="D18" s="302"/>
      <c r="E18" s="234"/>
      <c r="F18" s="234"/>
      <c r="G18" s="301"/>
      <c r="H18" s="305"/>
      <c r="I18" s="747">
        <f>MAXA(0,I15-I16)</f>
        <v>6754</v>
      </c>
      <c r="J18" s="299" t="s">
        <v>616</v>
      </c>
      <c r="K18" s="1270"/>
    </row>
    <row r="19" spans="1:11" ht="15.75" customHeight="1">
      <c r="A19" s="505" t="s">
        <v>1163</v>
      </c>
      <c r="B19" s="73"/>
      <c r="C19" s="73"/>
      <c r="D19" s="73"/>
      <c r="E19" s="73"/>
      <c r="F19" s="231"/>
      <c r="G19" s="305"/>
      <c r="H19" s="305"/>
      <c r="I19" s="300"/>
      <c r="J19" s="300"/>
      <c r="K19" s="1270"/>
    </row>
    <row r="20" spans="1:11" ht="42.75" customHeight="1">
      <c r="A20" s="1246" t="s">
        <v>1789</v>
      </c>
      <c r="B20" s="231"/>
      <c r="C20" s="231"/>
      <c r="D20" s="253"/>
      <c r="E20" s="231"/>
      <c r="F20" s="231"/>
      <c r="G20" s="305"/>
      <c r="H20" s="305"/>
      <c r="I20" s="300"/>
      <c r="J20" s="300"/>
      <c r="K20" s="1270"/>
    </row>
    <row r="21" spans="1:11" ht="30" customHeight="1">
      <c r="A21" s="470" t="s">
        <v>392</v>
      </c>
      <c r="B21" s="231"/>
      <c r="C21" s="231"/>
      <c r="D21" s="253"/>
      <c r="E21" s="231"/>
      <c r="F21" s="231"/>
      <c r="G21" s="305"/>
      <c r="H21" s="305"/>
      <c r="I21" s="300"/>
      <c r="J21" s="300"/>
      <c r="K21" s="1270"/>
    </row>
    <row r="22" spans="1:11" ht="15.75" customHeight="1">
      <c r="A22" s="301" t="s">
        <v>1202</v>
      </c>
      <c r="B22" s="234"/>
      <c r="C22" s="234"/>
      <c r="D22" s="302"/>
      <c r="E22" s="234"/>
      <c r="F22" s="234"/>
      <c r="G22" s="301"/>
      <c r="H22" s="305"/>
      <c r="I22" s="508">
        <f>fract*7231</f>
        <v>7231</v>
      </c>
      <c r="J22" s="299" t="s">
        <v>925</v>
      </c>
      <c r="K22" s="1270"/>
    </row>
    <row r="23" spans="1:11" ht="15.75" customHeight="1" thickBot="1">
      <c r="A23" s="303" t="s">
        <v>1790</v>
      </c>
      <c r="B23" s="237"/>
      <c r="C23" s="237"/>
      <c r="D23" s="304"/>
      <c r="E23" s="237"/>
      <c r="F23" s="237"/>
      <c r="G23" s="303"/>
      <c r="H23" s="305"/>
      <c r="I23" s="748"/>
      <c r="J23" s="299" t="s">
        <v>615</v>
      </c>
      <c r="K23" s="1270"/>
    </row>
    <row r="24" spans="1:11" ht="15.75" customHeight="1">
      <c r="A24" s="303" t="s">
        <v>176</v>
      </c>
      <c r="B24" s="237"/>
      <c r="C24" s="237"/>
      <c r="D24" s="304"/>
      <c r="E24" s="237"/>
      <c r="F24" s="237"/>
      <c r="G24" s="303"/>
      <c r="H24" s="305"/>
      <c r="I24" s="508">
        <f>IF((I22-I23)&gt;2386,2386,MAXA(0,I22-I23))</f>
        <v>2386</v>
      </c>
      <c r="J24" s="299" t="s">
        <v>616</v>
      </c>
      <c r="K24" s="1270"/>
    </row>
    <row r="25" spans="1:11" ht="15.75" customHeight="1">
      <c r="A25" s="303" t="s">
        <v>499</v>
      </c>
      <c r="B25" s="237"/>
      <c r="C25" s="237"/>
      <c r="D25" s="304"/>
      <c r="E25" s="237"/>
      <c r="F25" s="237"/>
      <c r="G25" s="303"/>
      <c r="H25" s="305"/>
      <c r="I25" s="160"/>
      <c r="J25" s="299" t="s">
        <v>617</v>
      </c>
      <c r="K25" s="1270"/>
    </row>
    <row r="26" spans="1:11" ht="15.75" customHeight="1">
      <c r="A26" s="303" t="s">
        <v>1586</v>
      </c>
      <c r="B26" s="237"/>
      <c r="C26" s="237"/>
      <c r="D26" s="304"/>
      <c r="E26" s="237"/>
      <c r="F26" s="237"/>
      <c r="G26" s="303"/>
      <c r="H26" s="305"/>
      <c r="I26" s="747">
        <f>MAXA(0,I24-I25)</f>
        <v>2386</v>
      </c>
      <c r="J26" s="299" t="s">
        <v>618</v>
      </c>
      <c r="K26" s="1270"/>
    </row>
    <row r="27" spans="1:11" ht="15.75" customHeight="1">
      <c r="A27" s="309"/>
      <c r="B27" s="231"/>
      <c r="C27" s="231"/>
      <c r="D27" s="253"/>
      <c r="E27" s="231"/>
      <c r="F27" s="231"/>
      <c r="G27" s="305"/>
      <c r="H27" s="305"/>
      <c r="I27" s="300"/>
      <c r="J27" s="300"/>
      <c r="K27" s="1270"/>
    </row>
    <row r="28" spans="1:11" ht="15.75" customHeight="1">
      <c r="A28" s="305" t="s">
        <v>1424</v>
      </c>
      <c r="B28" s="231"/>
      <c r="C28" s="231"/>
      <c r="D28" s="253"/>
      <c r="E28" s="231"/>
      <c r="F28" s="231"/>
      <c r="G28" s="305"/>
      <c r="H28" s="305"/>
      <c r="I28" s="300"/>
      <c r="J28" s="300"/>
      <c r="K28" s="1270"/>
    </row>
    <row r="29" spans="1:11" ht="15.75" customHeight="1">
      <c r="A29" s="73" t="s">
        <v>1321</v>
      </c>
      <c r="B29" s="71"/>
      <c r="C29" s="71"/>
      <c r="D29" s="71"/>
      <c r="E29" s="71"/>
      <c r="F29" s="72" t="s">
        <v>1587</v>
      </c>
      <c r="G29" s="159">
        <f>I26</f>
        <v>2386</v>
      </c>
      <c r="H29" s="305"/>
      <c r="I29" s="300"/>
      <c r="J29" s="300"/>
      <c r="K29" s="1270"/>
    </row>
    <row r="30" spans="1:11" ht="36.75" customHeight="1">
      <c r="A30" s="1246" t="s">
        <v>821</v>
      </c>
      <c r="B30" s="231"/>
      <c r="C30" s="231"/>
      <c r="D30" s="253"/>
      <c r="E30" s="231"/>
      <c r="F30" s="231"/>
      <c r="G30" s="305"/>
      <c r="H30" s="305"/>
      <c r="I30" s="300"/>
      <c r="J30" s="300"/>
      <c r="K30" s="1270"/>
    </row>
    <row r="31" spans="1:11" ht="37.5" customHeight="1">
      <c r="A31" s="470" t="s">
        <v>392</v>
      </c>
      <c r="B31" s="231"/>
      <c r="C31" s="231"/>
      <c r="D31" s="253"/>
      <c r="E31" s="231"/>
      <c r="F31" s="231"/>
      <c r="G31" s="305"/>
      <c r="H31" s="305"/>
      <c r="I31" s="300"/>
      <c r="J31" s="300"/>
      <c r="K31" s="1270"/>
    </row>
    <row r="32" spans="1:11" ht="15.75" customHeight="1">
      <c r="A32" s="301" t="s">
        <v>1202</v>
      </c>
      <c r="B32" s="234"/>
      <c r="C32" s="234"/>
      <c r="D32" s="302"/>
      <c r="E32" s="234"/>
      <c r="F32" s="234"/>
      <c r="G32" s="301"/>
      <c r="H32" s="305"/>
      <c r="I32" s="508">
        <f>fract*15837</f>
        <v>15837</v>
      </c>
      <c r="J32" s="299" t="s">
        <v>925</v>
      </c>
      <c r="K32" s="1270"/>
    </row>
    <row r="33" spans="1:11" ht="15.75" customHeight="1" thickBot="1">
      <c r="A33" s="303" t="s">
        <v>1412</v>
      </c>
      <c r="B33" s="237"/>
      <c r="C33" s="237"/>
      <c r="D33" s="304"/>
      <c r="E33" s="237"/>
      <c r="F33" s="237"/>
      <c r="G33" s="303"/>
      <c r="H33" s="305"/>
      <c r="I33" s="748"/>
      <c r="J33" s="299" t="s">
        <v>615</v>
      </c>
      <c r="K33" s="1270"/>
    </row>
    <row r="34" spans="1:11" ht="15.75" customHeight="1">
      <c r="A34" s="303" t="s">
        <v>1425</v>
      </c>
      <c r="B34" s="237"/>
      <c r="C34" s="237"/>
      <c r="D34" s="304"/>
      <c r="E34" s="237"/>
      <c r="F34" s="237"/>
      <c r="G34" s="303"/>
      <c r="H34" s="305"/>
      <c r="I34" s="508">
        <f>IF((I32-I33)&gt;4176,4176,MAXA(0,I32-I33))</f>
        <v>4176</v>
      </c>
      <c r="J34" s="299" t="s">
        <v>616</v>
      </c>
      <c r="K34" s="1270"/>
    </row>
    <row r="35" spans="1:11" ht="15.75" customHeight="1">
      <c r="A35" s="303" t="s">
        <v>499</v>
      </c>
      <c r="B35" s="237"/>
      <c r="C35" s="237"/>
      <c r="D35" s="304"/>
      <c r="E35" s="237"/>
      <c r="F35" s="237"/>
      <c r="G35" s="303"/>
      <c r="H35" s="305"/>
      <c r="I35" s="160" t="b">
        <f>IF(QUAL!E13="YES",MIN(6140,I18))</f>
        <v>0</v>
      </c>
      <c r="J35" s="299" t="s">
        <v>617</v>
      </c>
      <c r="K35" s="1270"/>
    </row>
    <row r="36" spans="1:11" ht="15.75" customHeight="1">
      <c r="A36" s="303" t="s">
        <v>1586</v>
      </c>
      <c r="B36" s="237"/>
      <c r="C36" s="237"/>
      <c r="D36" s="304"/>
      <c r="E36" s="237"/>
      <c r="F36" s="237"/>
      <c r="G36" s="303"/>
      <c r="H36" s="305"/>
      <c r="I36" s="747">
        <f>MAXA(0,I34-I35)</f>
        <v>4176</v>
      </c>
      <c r="J36" s="299" t="s">
        <v>618</v>
      </c>
      <c r="K36" s="1270"/>
    </row>
    <row r="37" spans="1:11" ht="15.75" customHeight="1">
      <c r="A37" s="309"/>
      <c r="B37" s="231"/>
      <c r="C37" s="231"/>
      <c r="D37" s="253"/>
      <c r="E37" s="231"/>
      <c r="F37" s="231"/>
      <c r="G37" s="305"/>
      <c r="H37" s="305"/>
      <c r="I37" s="300"/>
      <c r="J37" s="300"/>
      <c r="K37" s="1270"/>
    </row>
    <row r="38" spans="1:11" ht="20.25" customHeight="1">
      <c r="A38" s="603" t="s">
        <v>1426</v>
      </c>
      <c r="B38" s="231"/>
      <c r="C38" s="231"/>
      <c r="D38" s="253"/>
      <c r="E38" s="231"/>
      <c r="F38" s="231"/>
      <c r="G38" s="305"/>
      <c r="H38" s="305"/>
      <c r="I38" s="300"/>
      <c r="J38" s="300"/>
      <c r="K38" s="1270"/>
    </row>
    <row r="39" spans="1:11" ht="15.75" customHeight="1">
      <c r="A39" s="73" t="s">
        <v>1546</v>
      </c>
      <c r="B39" s="71"/>
      <c r="C39" s="71"/>
      <c r="D39" s="71"/>
      <c r="E39" s="71"/>
      <c r="F39" s="72" t="s">
        <v>1587</v>
      </c>
      <c r="G39" s="159">
        <f>I36</f>
        <v>4176</v>
      </c>
      <c r="H39" s="305"/>
      <c r="I39" s="300"/>
      <c r="J39" s="300"/>
      <c r="K39" s="1270"/>
    </row>
    <row r="40" spans="1:11" ht="63" customHeight="1">
      <c r="A40" s="305"/>
      <c r="B40" s="231"/>
      <c r="C40" s="231"/>
      <c r="D40" s="310" t="s">
        <v>1207</v>
      </c>
      <c r="E40" s="231"/>
      <c r="F40" s="231"/>
      <c r="G40" s="305"/>
      <c r="H40" s="305"/>
      <c r="I40" s="300"/>
      <c r="J40" s="300"/>
      <c r="K40" s="1270"/>
    </row>
    <row r="41" spans="1:11" ht="23.25" customHeight="1">
      <c r="A41" s="1246" t="s">
        <v>1427</v>
      </c>
      <c r="B41" s="305"/>
      <c r="C41" s="305"/>
      <c r="D41" s="310"/>
      <c r="E41" s="305"/>
      <c r="F41" s="796" t="str">
        <f>"December 31, "&amp;yeartext&amp;")"</f>
        <v>December 31, 2006)</v>
      </c>
      <c r="G41" s="305"/>
      <c r="H41" s="305"/>
      <c r="I41" s="300"/>
      <c r="J41" s="300"/>
      <c r="K41" s="1270"/>
    </row>
    <row r="42" spans="1:11" ht="23.25">
      <c r="A42" s="603" t="s">
        <v>1697</v>
      </c>
      <c r="B42" s="305"/>
      <c r="C42" s="305"/>
      <c r="D42" s="310"/>
      <c r="E42" s="305"/>
      <c r="F42" s="305"/>
      <c r="G42" s="305"/>
      <c r="H42" s="305"/>
      <c r="I42" s="300"/>
      <c r="J42" s="300"/>
      <c r="K42" s="1270"/>
    </row>
    <row r="43" spans="1:11" ht="15.75" customHeight="1">
      <c r="A43" s="301" t="s">
        <v>876</v>
      </c>
      <c r="B43" s="301"/>
      <c r="C43" s="301"/>
      <c r="D43" s="311"/>
      <c r="E43" s="301"/>
      <c r="F43" s="301"/>
      <c r="G43" s="301"/>
      <c r="H43" s="305"/>
      <c r="I43" s="508">
        <v>2941</v>
      </c>
      <c r="J43" s="299" t="s">
        <v>925</v>
      </c>
      <c r="K43" s="1270"/>
    </row>
    <row r="44" spans="1:11" ht="27.75" customHeight="1">
      <c r="A44" s="830" t="s">
        <v>1208</v>
      </c>
      <c r="B44" s="303"/>
      <c r="C44" s="303"/>
      <c r="D44" s="312"/>
      <c r="E44" s="303"/>
      <c r="F44" s="305"/>
      <c r="G44" s="160"/>
      <c r="H44" s="299" t="s">
        <v>615</v>
      </c>
      <c r="I44" s="300"/>
      <c r="J44" s="300"/>
      <c r="K44" s="1270"/>
    </row>
    <row r="45" spans="1:11" ht="15.75" customHeight="1" thickBot="1">
      <c r="A45" s="303" t="s">
        <v>1556</v>
      </c>
      <c r="B45" s="303"/>
      <c r="C45" s="303"/>
      <c r="D45" s="312"/>
      <c r="E45" s="303"/>
      <c r="F45" s="305"/>
      <c r="G45" s="750">
        <v>2000</v>
      </c>
      <c r="H45" s="299" t="s">
        <v>616</v>
      </c>
      <c r="I45" s="300"/>
      <c r="J45" s="300"/>
      <c r="K45" s="1270"/>
    </row>
    <row r="46" spans="1:11" ht="15.75" customHeight="1">
      <c r="A46" s="303" t="s">
        <v>1620</v>
      </c>
      <c r="B46" s="303"/>
      <c r="C46" s="303"/>
      <c r="D46" s="312"/>
      <c r="E46" s="303"/>
      <c r="F46" s="305"/>
      <c r="G46" s="508">
        <f>MAXA(0,G44-G45)</f>
        <v>0</v>
      </c>
      <c r="H46" s="299"/>
      <c r="I46" s="508">
        <f>G46</f>
        <v>0</v>
      </c>
      <c r="J46" s="299" t="s">
        <v>617</v>
      </c>
      <c r="K46" s="1270"/>
    </row>
    <row r="47" spans="1:11" ht="15.75" customHeight="1">
      <c r="A47" s="303" t="s">
        <v>1618</v>
      </c>
      <c r="B47" s="303"/>
      <c r="C47" s="303"/>
      <c r="D47" s="312"/>
      <c r="E47" s="303"/>
      <c r="F47" s="305"/>
      <c r="G47" s="305"/>
      <c r="H47" s="305"/>
      <c r="I47" s="747">
        <f>MAXA(0,I43-I46)</f>
        <v>2941</v>
      </c>
      <c r="J47" s="299" t="s">
        <v>618</v>
      </c>
      <c r="K47" s="1270"/>
    </row>
    <row r="48" spans="1:11" ht="24" customHeight="1">
      <c r="A48" s="796" t="s">
        <v>1700</v>
      </c>
      <c r="B48" s="305"/>
      <c r="C48" s="305"/>
      <c r="D48" s="479"/>
      <c r="E48" s="305"/>
      <c r="F48" s="305"/>
      <c r="G48" s="305"/>
      <c r="H48" s="305"/>
      <c r="I48" s="300"/>
      <c r="J48" s="300"/>
      <c r="K48" s="1270"/>
    </row>
    <row r="49" spans="1:11" ht="15.75" customHeight="1">
      <c r="A49" s="305" t="s">
        <v>175</v>
      </c>
      <c r="B49" s="305"/>
      <c r="C49" s="305"/>
      <c r="D49" s="310"/>
      <c r="E49" s="305"/>
      <c r="F49" s="305"/>
      <c r="G49" s="305"/>
      <c r="H49" s="315" t="s">
        <v>1800</v>
      </c>
      <c r="I49" s="508">
        <f>4293+IF(age&gt;=18,0,I47)</f>
        <v>4293</v>
      </c>
      <c r="J49" s="300"/>
      <c r="K49" s="1270"/>
    </row>
    <row r="50" spans="1:11" ht="15.75" customHeight="1">
      <c r="A50" s="505" t="s">
        <v>623</v>
      </c>
      <c r="B50" s="73"/>
      <c r="C50" s="73"/>
      <c r="D50" s="73"/>
      <c r="E50" s="73"/>
      <c r="F50" s="305"/>
      <c r="G50" s="305"/>
      <c r="H50" s="305"/>
      <c r="I50" s="300"/>
      <c r="J50" s="300"/>
      <c r="K50" s="1270"/>
    </row>
    <row r="51" spans="1:11" ht="15.75" customHeight="1">
      <c r="A51" s="305"/>
      <c r="B51" s="305"/>
      <c r="C51" s="305"/>
      <c r="D51" s="310"/>
      <c r="E51" s="305"/>
      <c r="F51" s="305"/>
      <c r="G51" s="305"/>
      <c r="H51" s="305"/>
      <c r="I51" s="300"/>
      <c r="J51" s="300"/>
      <c r="K51" s="1270"/>
    </row>
    <row r="52" spans="1:11" ht="15.75" customHeight="1">
      <c r="A52" s="305"/>
      <c r="B52" s="305"/>
      <c r="C52" s="305"/>
      <c r="D52" s="310"/>
      <c r="E52" s="305"/>
      <c r="F52" s="305"/>
      <c r="G52" s="305"/>
      <c r="H52" s="305"/>
      <c r="I52" s="300"/>
      <c r="J52" s="300"/>
      <c r="K52" s="1270"/>
    </row>
    <row r="53" spans="1:11" ht="23.25">
      <c r="A53" s="305"/>
      <c r="B53" s="305"/>
      <c r="C53" s="305"/>
      <c r="D53" s="310"/>
      <c r="E53" s="305"/>
      <c r="F53" s="305"/>
      <c r="G53" s="305"/>
      <c r="H53" s="305"/>
      <c r="I53" s="300"/>
      <c r="J53" s="300"/>
      <c r="K53" s="1270"/>
    </row>
    <row r="54" spans="1:11" ht="30.75" customHeight="1">
      <c r="A54" s="306" t="s">
        <v>1383</v>
      </c>
      <c r="B54" s="305"/>
      <c r="C54" s="305"/>
      <c r="D54" s="310"/>
      <c r="E54" s="305"/>
      <c r="F54" s="305"/>
      <c r="G54" s="305"/>
      <c r="H54" s="305"/>
      <c r="I54" s="300"/>
      <c r="J54" s="300"/>
      <c r="K54" s="1270"/>
    </row>
    <row r="55" spans="1:11" ht="19.5" customHeight="1">
      <c r="A55" s="470" t="s">
        <v>392</v>
      </c>
      <c r="B55" s="305"/>
      <c r="C55" s="305"/>
      <c r="D55" s="310"/>
      <c r="E55" s="305"/>
      <c r="F55" s="305"/>
      <c r="G55" s="305"/>
      <c r="H55" s="305"/>
      <c r="I55" s="300"/>
      <c r="J55" s="300"/>
      <c r="K55" s="1270"/>
    </row>
    <row r="56" spans="1:11" ht="15.75" customHeight="1">
      <c r="A56" s="301" t="s">
        <v>1556</v>
      </c>
      <c r="B56" s="301"/>
      <c r="C56" s="301"/>
      <c r="D56" s="311"/>
      <c r="E56" s="301"/>
      <c r="F56" s="301"/>
      <c r="G56" s="301"/>
      <c r="H56" s="305"/>
      <c r="I56" s="508">
        <f>fract*4293</f>
        <v>4293</v>
      </c>
      <c r="J56" s="299" t="s">
        <v>925</v>
      </c>
      <c r="K56" s="1270"/>
    </row>
    <row r="57" spans="1:11" ht="15.75" customHeight="1">
      <c r="A57" s="307" t="str">
        <f>"If the dependant was under age 18 on December 31, "&amp;yeartext&amp;", enter the amount from line 5 of the chart for line 5844"</f>
        <v>If the dependant was under age 18 on December 31, 2006, enter the amount from line 5 of the chart for line 5844</v>
      </c>
      <c r="B57" s="307"/>
      <c r="C57" s="307"/>
      <c r="D57" s="313"/>
      <c r="E57" s="307"/>
      <c r="F57" s="307"/>
      <c r="G57" s="307"/>
      <c r="H57" s="305"/>
      <c r="I57" s="315"/>
      <c r="J57" s="300"/>
      <c r="K57" s="1270"/>
    </row>
    <row r="58" spans="1:11" ht="15.75" customHeight="1" thickBot="1">
      <c r="A58" s="301" t="s">
        <v>991</v>
      </c>
      <c r="B58" s="301"/>
      <c r="C58" s="301"/>
      <c r="D58" s="311"/>
      <c r="E58" s="301"/>
      <c r="F58" s="301"/>
      <c r="G58" s="301"/>
      <c r="H58" s="305"/>
      <c r="I58" s="749"/>
      <c r="J58" s="299" t="s">
        <v>615</v>
      </c>
      <c r="K58" s="1270"/>
    </row>
    <row r="59" spans="1:11" ht="15.75" customHeight="1">
      <c r="A59" s="303" t="s">
        <v>680</v>
      </c>
      <c r="B59" s="303"/>
      <c r="C59" s="303"/>
      <c r="D59" s="312"/>
      <c r="E59" s="303"/>
      <c r="F59" s="303"/>
      <c r="G59" s="303"/>
      <c r="H59" s="305"/>
      <c r="I59" s="508">
        <f>I56+I58</f>
        <v>4293</v>
      </c>
      <c r="J59" s="299" t="s">
        <v>616</v>
      </c>
      <c r="K59" s="1270"/>
    </row>
    <row r="60" spans="1:11" ht="15.75" customHeight="1" thickBot="1">
      <c r="A60" s="303" t="s">
        <v>177</v>
      </c>
      <c r="B60" s="303"/>
      <c r="C60" s="303"/>
      <c r="D60" s="312"/>
      <c r="E60" s="303"/>
      <c r="F60" s="303"/>
      <c r="G60" s="303"/>
      <c r="H60" s="305"/>
      <c r="I60" s="748"/>
      <c r="J60" s="299" t="s">
        <v>617</v>
      </c>
      <c r="K60" s="1270"/>
    </row>
    <row r="61" spans="1:11" ht="15.75" customHeight="1">
      <c r="A61" s="303" t="s">
        <v>110</v>
      </c>
      <c r="B61" s="303"/>
      <c r="C61" s="303"/>
      <c r="D61" s="312"/>
      <c r="E61" s="303"/>
      <c r="F61" s="303"/>
      <c r="G61" s="303"/>
      <c r="H61" s="305"/>
      <c r="I61" s="508">
        <f>I59+I60</f>
        <v>4293</v>
      </c>
      <c r="J61" s="299" t="s">
        <v>618</v>
      </c>
      <c r="K61" s="1270"/>
    </row>
    <row r="62" spans="1:11" ht="15.75" customHeight="1">
      <c r="A62" s="303" t="s">
        <v>2256</v>
      </c>
      <c r="B62" s="303"/>
      <c r="C62" s="303"/>
      <c r="D62" s="312"/>
      <c r="E62" s="303"/>
      <c r="F62" s="303"/>
      <c r="G62" s="303"/>
      <c r="H62" s="305"/>
      <c r="I62" s="160"/>
      <c r="J62" s="299" t="s">
        <v>619</v>
      </c>
      <c r="K62" s="1270"/>
    </row>
    <row r="63" spans="1:11" ht="15.75" customHeight="1">
      <c r="A63" s="307" t="s">
        <v>2257</v>
      </c>
      <c r="B63" s="307"/>
      <c r="C63" s="307"/>
      <c r="D63" s="313"/>
      <c r="E63" s="307"/>
      <c r="F63" s="307"/>
      <c r="G63" s="307"/>
      <c r="H63" s="305"/>
      <c r="I63" s="315"/>
      <c r="J63" s="300"/>
      <c r="K63" s="1270"/>
    </row>
    <row r="64" spans="1:11" ht="15.75" customHeight="1">
      <c r="A64" s="301" t="s">
        <v>178</v>
      </c>
      <c r="B64" s="301"/>
      <c r="C64" s="301"/>
      <c r="D64" s="311"/>
      <c r="E64" s="301"/>
      <c r="F64" s="301"/>
      <c r="G64" s="301"/>
      <c r="H64" s="305"/>
      <c r="I64" s="747">
        <f>MAXA(0,I61-I62)</f>
        <v>4293</v>
      </c>
      <c r="J64" s="299" t="s">
        <v>1560</v>
      </c>
      <c r="K64" s="1270"/>
    </row>
    <row r="65" spans="1:11" ht="15.75" customHeight="1">
      <c r="A65" s="305"/>
      <c r="B65" s="305"/>
      <c r="C65" s="305"/>
      <c r="D65" s="310"/>
      <c r="E65" s="305"/>
      <c r="F65" s="315" t="s">
        <v>916</v>
      </c>
      <c r="G65" s="654">
        <f>MINA(I59,I64)</f>
        <v>4293</v>
      </c>
      <c r="H65" s="305"/>
      <c r="I65" s="315"/>
      <c r="J65" s="300"/>
      <c r="K65" s="1270"/>
    </row>
    <row r="66" spans="1:11" ht="15.75" customHeight="1">
      <c r="A66" s="305"/>
      <c r="B66" s="305"/>
      <c r="C66" s="305"/>
      <c r="D66" s="310"/>
      <c r="E66" s="305"/>
      <c r="F66" s="305"/>
      <c r="G66" s="305"/>
      <c r="H66" s="305"/>
      <c r="I66" s="315"/>
      <c r="J66" s="300"/>
      <c r="K66" s="1270"/>
    </row>
    <row r="67" spans="1:11" ht="15.75" customHeight="1">
      <c r="A67" s="305" t="s">
        <v>915</v>
      </c>
      <c r="B67" s="305"/>
      <c r="C67" s="305"/>
      <c r="D67" s="310"/>
      <c r="E67" s="71"/>
      <c r="F67" s="72" t="s">
        <v>1587</v>
      </c>
      <c r="G67" s="159">
        <f>G65</f>
        <v>4293</v>
      </c>
      <c r="H67" s="305"/>
      <c r="I67" s="315"/>
      <c r="J67" s="300"/>
      <c r="K67" s="1270"/>
    </row>
    <row r="68" spans="1:11" ht="15.75" customHeight="1">
      <c r="A68" s="305" t="s">
        <v>1320</v>
      </c>
      <c r="B68" s="305"/>
      <c r="C68" s="305"/>
      <c r="D68" s="310"/>
      <c r="E68" s="305"/>
      <c r="F68" s="305"/>
      <c r="G68" s="305"/>
      <c r="H68" s="305"/>
      <c r="I68" s="300"/>
      <c r="J68" s="300"/>
      <c r="K68" s="1270"/>
    </row>
    <row r="69" spans="1:11" ht="15.75" customHeight="1">
      <c r="A69" s="305" t="s">
        <v>1670</v>
      </c>
      <c r="B69" s="305"/>
      <c r="C69" s="305"/>
      <c r="D69" s="310"/>
      <c r="E69" s="305"/>
      <c r="F69" s="305"/>
      <c r="G69" s="305"/>
      <c r="H69" s="305"/>
      <c r="I69" s="300"/>
      <c r="J69" s="300"/>
      <c r="K69" s="1270"/>
    </row>
    <row r="70" spans="1:11" ht="51.75" customHeight="1">
      <c r="A70" s="1246" t="s">
        <v>884</v>
      </c>
      <c r="B70" s="305"/>
      <c r="C70" s="305"/>
      <c r="D70" s="310"/>
      <c r="E70" s="305"/>
      <c r="F70" s="305"/>
      <c r="G70" s="305"/>
      <c r="H70" s="305"/>
      <c r="I70" s="300"/>
      <c r="J70" s="300"/>
      <c r="K70" s="1270"/>
    </row>
    <row r="71" spans="1:11" ht="39" customHeight="1">
      <c r="A71" s="309" t="s">
        <v>305</v>
      </c>
      <c r="B71" s="305"/>
      <c r="C71" s="305"/>
      <c r="D71" s="310"/>
      <c r="E71" s="305"/>
      <c r="F71" s="305"/>
      <c r="G71" s="305"/>
      <c r="H71" s="305"/>
      <c r="I71" s="300"/>
      <c r="J71" s="300"/>
      <c r="K71" s="1270"/>
    </row>
    <row r="72" spans="1:11" ht="15.75" customHeight="1">
      <c r="A72" s="301" t="s">
        <v>1326</v>
      </c>
      <c r="B72" s="301"/>
      <c r="C72" s="301"/>
      <c r="D72" s="311"/>
      <c r="E72" s="301"/>
      <c r="F72" s="301"/>
      <c r="G72" s="301"/>
      <c r="H72" s="305"/>
      <c r="I72" s="159"/>
      <c r="J72" s="299" t="s">
        <v>925</v>
      </c>
      <c r="K72" s="1270"/>
    </row>
    <row r="73" spans="1:11" ht="15.75" customHeight="1">
      <c r="A73" s="303" t="s">
        <v>1327</v>
      </c>
      <c r="B73" s="303"/>
      <c r="C73" s="303"/>
      <c r="D73" s="312"/>
      <c r="E73" s="303"/>
      <c r="F73" s="303"/>
      <c r="G73" s="303"/>
      <c r="H73" s="305"/>
      <c r="I73" s="159"/>
      <c r="J73" s="299"/>
      <c r="K73" s="1270"/>
    </row>
    <row r="74" spans="1:11" ht="15.75" customHeight="1">
      <c r="A74" s="303" t="s">
        <v>1698</v>
      </c>
      <c r="B74" s="303"/>
      <c r="C74" s="303"/>
      <c r="D74" s="312"/>
      <c r="E74" s="303"/>
      <c r="F74" s="303"/>
      <c r="G74" s="303"/>
      <c r="H74" s="305"/>
      <c r="I74" s="654">
        <f>MIN(1637,0.03*I73)</f>
        <v>0</v>
      </c>
      <c r="J74" s="299" t="s">
        <v>615</v>
      </c>
      <c r="K74" s="1270"/>
    </row>
    <row r="75" spans="1:11" ht="15.75" customHeight="1">
      <c r="A75" s="303" t="s">
        <v>1554</v>
      </c>
      <c r="B75" s="303"/>
      <c r="C75" s="303"/>
      <c r="D75" s="312"/>
      <c r="E75" s="303"/>
      <c r="F75" s="303"/>
      <c r="G75" s="303"/>
      <c r="H75" s="305"/>
      <c r="I75" s="653">
        <f>MIN(10000,MAX(0,I72-I74))</f>
        <v>0</v>
      </c>
      <c r="J75" s="299" t="s">
        <v>616</v>
      </c>
      <c r="K75" s="1270"/>
    </row>
    <row r="76" spans="1:11" ht="15.75" customHeight="1">
      <c r="A76" s="305"/>
      <c r="B76" s="305"/>
      <c r="C76" s="305"/>
      <c r="D76" s="310"/>
      <c r="E76" s="305"/>
      <c r="F76" s="305"/>
      <c r="G76" s="305"/>
      <c r="H76" s="305"/>
      <c r="I76" s="300"/>
      <c r="J76" s="300"/>
      <c r="K76" s="1270"/>
    </row>
    <row r="77" spans="1:11" ht="15.75" customHeight="1">
      <c r="A77" s="314" t="s">
        <v>2203</v>
      </c>
      <c r="B77" s="305"/>
      <c r="C77" s="305"/>
      <c r="D77" s="310"/>
      <c r="E77" s="71"/>
      <c r="F77" s="72" t="s">
        <v>1587</v>
      </c>
      <c r="G77" s="159">
        <f>I75</f>
        <v>0</v>
      </c>
      <c r="H77" s="305"/>
      <c r="I77" s="300"/>
      <c r="J77" s="300"/>
      <c r="K77" s="1270"/>
    </row>
    <row r="78" spans="1:11" ht="15.75" customHeight="1" hidden="1">
      <c r="A78" s="305"/>
      <c r="B78" s="305"/>
      <c r="C78" s="305"/>
      <c r="D78" s="310"/>
      <c r="E78" s="305"/>
      <c r="F78" s="305"/>
      <c r="G78" s="305"/>
      <c r="H78" s="305"/>
      <c r="I78" s="300"/>
      <c r="J78" s="300"/>
      <c r="K78" s="1270"/>
    </row>
    <row r="79" spans="1:11" ht="61.5" customHeight="1">
      <c r="A79" s="305"/>
      <c r="B79" s="305"/>
      <c r="C79" s="305"/>
      <c r="D79" s="310" t="s">
        <v>1207</v>
      </c>
      <c r="E79" s="305"/>
      <c r="F79" s="305"/>
      <c r="G79" s="305"/>
      <c r="H79" s="305"/>
      <c r="I79" s="300"/>
      <c r="J79" s="300"/>
      <c r="K79" s="1270"/>
    </row>
    <row r="80" spans="1:11" ht="22.5" customHeight="1">
      <c r="A80" s="755" t="s">
        <v>1699</v>
      </c>
      <c r="B80" s="305"/>
      <c r="C80" s="305"/>
      <c r="D80" s="310"/>
      <c r="E80" s="305"/>
      <c r="F80" s="305"/>
      <c r="G80" s="305"/>
      <c r="H80" s="305"/>
      <c r="I80" s="300"/>
      <c r="J80" s="300"/>
      <c r="K80" s="1270"/>
    </row>
    <row r="81" spans="1:11" ht="25.5" customHeight="1">
      <c r="A81" s="305" t="s">
        <v>725</v>
      </c>
      <c r="B81" s="305"/>
      <c r="C81" s="305"/>
      <c r="D81" s="310"/>
      <c r="E81" s="305"/>
      <c r="F81" s="305"/>
      <c r="G81" s="305"/>
      <c r="H81" s="305"/>
      <c r="I81" s="300"/>
      <c r="J81" s="300"/>
      <c r="K81" s="1270"/>
    </row>
    <row r="82" spans="1:11" ht="30" customHeight="1">
      <c r="A82" s="1253" t="s">
        <v>730</v>
      </c>
      <c r="B82" s="305"/>
      <c r="C82" s="305"/>
      <c r="D82" s="310"/>
      <c r="E82" s="305"/>
      <c r="F82" s="305"/>
      <c r="G82" s="305"/>
      <c r="H82" s="305"/>
      <c r="I82" s="300"/>
      <c r="J82" s="300"/>
      <c r="K82" s="1270"/>
    </row>
    <row r="83" spans="1:11" ht="15.75" customHeight="1">
      <c r="A83" s="1227" t="s">
        <v>2212</v>
      </c>
      <c r="B83" s="301"/>
      <c r="C83" s="301"/>
      <c r="D83" s="310"/>
      <c r="E83" s="508">
        <f>IF('T1 GEN-2-3-4'!G23=0,'T1 GEN-2-3-4'!I22,0)</f>
        <v>0</v>
      </c>
      <c r="F83" s="305"/>
      <c r="G83" s="489" t="s">
        <v>727</v>
      </c>
      <c r="H83" s="305"/>
      <c r="I83" s="508">
        <f>E83*0.0885</f>
        <v>0</v>
      </c>
      <c r="J83" s="300"/>
      <c r="K83" s="1270"/>
    </row>
    <row r="84" spans="1:11" ht="15.75" customHeight="1">
      <c r="A84" s="305" t="s">
        <v>726</v>
      </c>
      <c r="B84" s="305"/>
      <c r="C84" s="305"/>
      <c r="D84" s="310"/>
      <c r="E84" s="305"/>
      <c r="F84" s="305"/>
      <c r="G84" s="305"/>
      <c r="H84" s="305"/>
      <c r="I84" s="300"/>
      <c r="J84" s="300"/>
      <c r="K84" s="1270"/>
    </row>
    <row r="85" spans="1:11" ht="15.75" customHeight="1">
      <c r="A85" s="305"/>
      <c r="B85" s="305"/>
      <c r="C85" s="305"/>
      <c r="D85" s="310"/>
      <c r="E85" s="305"/>
      <c r="F85" s="305"/>
      <c r="G85" s="305"/>
      <c r="H85" s="305"/>
      <c r="I85" s="300"/>
      <c r="J85" s="300"/>
      <c r="K85" s="1270"/>
    </row>
    <row r="86" spans="1:11" ht="15.75" customHeight="1">
      <c r="A86" s="1253" t="s">
        <v>731</v>
      </c>
      <c r="B86" s="305"/>
      <c r="C86" s="305"/>
      <c r="D86" s="310"/>
      <c r="E86" s="305"/>
      <c r="F86" s="305"/>
      <c r="G86" s="305"/>
      <c r="H86" s="305"/>
      <c r="I86" s="300"/>
      <c r="J86" s="300"/>
      <c r="K86" s="1270"/>
    </row>
    <row r="87" spans="1:11" ht="15.75" customHeight="1">
      <c r="A87" s="301" t="s">
        <v>2212</v>
      </c>
      <c r="B87" s="301"/>
      <c r="C87" s="301"/>
      <c r="D87" s="310"/>
      <c r="E87" s="508">
        <f>IF('T1 GEN-2-3-4'!G23&gt;0,'T1 GEN-2-3-4'!I22,0)</f>
        <v>0</v>
      </c>
      <c r="F87" s="992" t="s">
        <v>925</v>
      </c>
      <c r="G87" s="305"/>
      <c r="H87" s="305"/>
      <c r="I87" s="300"/>
      <c r="J87" s="300"/>
      <c r="K87" s="1270"/>
    </row>
    <row r="88" spans="1:11" ht="15.75" customHeight="1" thickBot="1">
      <c r="A88" s="303" t="s">
        <v>2213</v>
      </c>
      <c r="B88" s="303"/>
      <c r="C88" s="303"/>
      <c r="D88" s="310"/>
      <c r="E88" s="750">
        <f>'T1 GEN-2-3-4'!G23</f>
        <v>0</v>
      </c>
      <c r="F88" s="992" t="s">
        <v>615</v>
      </c>
      <c r="G88" s="489" t="s">
        <v>728</v>
      </c>
      <c r="H88" s="305"/>
      <c r="I88" s="508">
        <f>E88*0.077</f>
        <v>0</v>
      </c>
      <c r="J88" s="992" t="s">
        <v>617</v>
      </c>
      <c r="K88" s="1270"/>
    </row>
    <row r="89" spans="1:11" ht="15.75" customHeight="1">
      <c r="A89" s="303" t="s">
        <v>2214</v>
      </c>
      <c r="B89" s="303"/>
      <c r="C89" s="303"/>
      <c r="D89" s="310"/>
      <c r="E89" s="508">
        <f>MAX(0,(E87-E88))</f>
        <v>0</v>
      </c>
      <c r="F89" s="299" t="s">
        <v>616</v>
      </c>
      <c r="G89" s="477" t="s">
        <v>729</v>
      </c>
      <c r="H89" s="305"/>
      <c r="I89" s="508">
        <f>E89*0.0885</f>
        <v>0</v>
      </c>
      <c r="J89" s="992" t="s">
        <v>618</v>
      </c>
      <c r="K89" s="1270"/>
    </row>
    <row r="90" spans="1:11" ht="15.75" customHeight="1">
      <c r="A90" s="305" t="s">
        <v>2215</v>
      </c>
      <c r="B90" s="305"/>
      <c r="C90" s="305"/>
      <c r="D90" s="310"/>
      <c r="E90" s="305"/>
      <c r="F90" s="305"/>
      <c r="G90" s="305"/>
      <c r="H90" s="305"/>
      <c r="I90" s="300"/>
      <c r="J90" s="299"/>
      <c r="K90" s="1270"/>
    </row>
    <row r="91" spans="1:11" ht="15.75" customHeight="1">
      <c r="A91" s="301" t="s">
        <v>726</v>
      </c>
      <c r="B91" s="301"/>
      <c r="C91" s="301"/>
      <c r="D91" s="311"/>
      <c r="E91" s="301"/>
      <c r="F91" s="301"/>
      <c r="G91" s="301"/>
      <c r="H91" s="305"/>
      <c r="I91" s="747">
        <f>I88+I89</f>
        <v>0</v>
      </c>
      <c r="J91" s="299" t="s">
        <v>619</v>
      </c>
      <c r="K91" s="1270"/>
    </row>
    <row r="92" spans="1:11" ht="15.75" customHeight="1">
      <c r="A92" s="305"/>
      <c r="B92" s="305"/>
      <c r="C92" s="305"/>
      <c r="D92" s="310"/>
      <c r="E92" s="305"/>
      <c r="F92" s="305"/>
      <c r="G92" s="305"/>
      <c r="H92" s="305"/>
      <c r="I92" s="300"/>
      <c r="J92" s="300"/>
      <c r="K92" s="1270"/>
    </row>
    <row r="93" spans="1:11" ht="15.75" customHeight="1">
      <c r="A93" s="305"/>
      <c r="B93" s="305"/>
      <c r="C93" s="305"/>
      <c r="D93" s="310"/>
      <c r="E93" s="305"/>
      <c r="F93" s="305"/>
      <c r="G93" s="305"/>
      <c r="H93" s="305"/>
      <c r="I93" s="300"/>
      <c r="J93" s="300"/>
      <c r="K93" s="1270"/>
    </row>
    <row r="94" spans="1:11" ht="59.25" customHeight="1">
      <c r="A94" s="306" t="s">
        <v>1689</v>
      </c>
      <c r="B94" s="305"/>
      <c r="C94" s="305"/>
      <c r="D94" s="310"/>
      <c r="E94" s="305"/>
      <c r="F94" s="305"/>
      <c r="G94" s="305"/>
      <c r="H94" s="305"/>
      <c r="I94" s="300"/>
      <c r="J94" s="300"/>
      <c r="K94" s="1270"/>
    </row>
    <row r="95" spans="1:11" ht="15.75" customHeight="1">
      <c r="A95" s="305" t="s">
        <v>1690</v>
      </c>
      <c r="B95" s="305"/>
      <c r="C95" s="305"/>
      <c r="D95" s="310"/>
      <c r="E95" s="305"/>
      <c r="F95" s="305"/>
      <c r="G95" s="305"/>
      <c r="H95" s="305"/>
      <c r="I95" s="300"/>
      <c r="J95" s="300"/>
      <c r="K95" s="1270"/>
    </row>
    <row r="96" spans="1:11" ht="15.75" customHeight="1">
      <c r="A96" s="305"/>
      <c r="B96" s="305"/>
      <c r="C96" s="305"/>
      <c r="D96" s="310"/>
      <c r="E96" s="305"/>
      <c r="F96" s="305"/>
      <c r="G96" s="305"/>
      <c r="H96" s="305"/>
      <c r="I96" s="300"/>
      <c r="J96" s="300"/>
      <c r="K96" s="1270"/>
    </row>
    <row r="97" spans="1:11" ht="15.75" customHeight="1">
      <c r="A97" s="301" t="s">
        <v>924</v>
      </c>
      <c r="B97" s="301"/>
      <c r="C97" s="301"/>
      <c r="D97" s="311"/>
      <c r="E97" s="301"/>
      <c r="F97" s="301"/>
      <c r="G97" s="301"/>
      <c r="H97" s="305"/>
      <c r="I97" s="159">
        <f>'FED WRK'!I140</f>
        <v>0</v>
      </c>
      <c r="J97" s="299" t="s">
        <v>925</v>
      </c>
      <c r="K97" s="1270"/>
    </row>
    <row r="98" spans="1:11" ht="15.75" customHeight="1">
      <c r="A98" s="305"/>
      <c r="B98" s="305"/>
      <c r="C98" s="305"/>
      <c r="D98" s="310"/>
      <c r="E98" s="305"/>
      <c r="F98" s="305"/>
      <c r="G98" s="305"/>
      <c r="H98" s="305"/>
      <c r="I98" s="300"/>
      <c r="J98" s="300"/>
      <c r="K98" s="1270"/>
    </row>
    <row r="99" spans="1:11" ht="15.75" customHeight="1">
      <c r="A99" s="301" t="s">
        <v>1691</v>
      </c>
      <c r="B99" s="301"/>
      <c r="C99" s="301"/>
      <c r="D99" s="311"/>
      <c r="E99" s="301"/>
      <c r="F99" s="301"/>
      <c r="G99" s="301"/>
      <c r="H99" s="305"/>
      <c r="I99" s="751">
        <f>(3/12)*MINA(I97+0,100)+(2/12)*MINA(I97+0,550)+(4/12)*MINA(I97+0,1150)</f>
        <v>0</v>
      </c>
      <c r="J99" s="299" t="s">
        <v>1560</v>
      </c>
      <c r="K99" s="1270"/>
    </row>
    <row r="100" spans="1:11" ht="15.75" customHeight="1">
      <c r="A100" s="305"/>
      <c r="B100" s="305"/>
      <c r="C100" s="305"/>
      <c r="D100" s="310"/>
      <c r="E100" s="305"/>
      <c r="F100" s="305"/>
      <c r="G100" s="305"/>
      <c r="H100" s="305"/>
      <c r="I100" s="300"/>
      <c r="J100" s="300"/>
      <c r="K100" s="1270"/>
    </row>
  </sheetData>
  <sheetProtection password="EC35" sheet="1" objects="1" scenarios="1"/>
  <mergeCells count="1">
    <mergeCell ref="K1:K100"/>
  </mergeCells>
  <dataValidations count="3">
    <dataValidation allowBlank="1" showInputMessage="1" showErrorMessage="1" promptTitle="DEFAULT FORMULA" prompt="You will need to replace this formula with the total amount for all infirm dependants if you have more than one.&#10;" sqref="G29:G30"/>
    <dataValidation allowBlank="1" showInputMessage="1" showErrorMessage="1" promptTitle="DEFAULT FORMULA" prompt="You will need to replace this formula with the total amount for all dependants if you have more than one." sqref="G39"/>
    <dataValidation allowBlank="1" showInputMessage="1" showErrorMessage="1" promptTitle="DEFAULT FORMULA" prompt="You will have to replace this formula with the total amount for all &#10;dependants if you have more than one dependant that you are transferring amounts for." sqref="G67"/>
  </dataValidations>
  <hyperlinks>
    <hyperlink ref="K1:K100" location="'GO TO'!B20" display=" "/>
  </hyperlinks>
  <printOptions horizontalCentered="1"/>
  <pageMargins left="0.11811023622047245" right="0.11811023622047245" top="0.11811023622047245" bottom="0.31496062992125984" header="0.5118110236220472" footer="0.2362204724409449"/>
  <pageSetup fitToHeight="0" fitToWidth="1" horizontalDpi="600" verticalDpi="600" orientation="portrait" scale="75" r:id="rId4"/>
  <headerFooter alignWithMargins="0">
    <oddFooter>&amp;L5003-D</oddFooter>
  </headerFooter>
  <rowBreaks count="2" manualBreakCount="2">
    <brk id="39" max="9" man="1"/>
    <brk id="7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2006 Version 1.0 f</dc:title>
  <dc:subject>Live Version, April 21, 2007</dc:subject>
  <dc:creator>Egbert Verbrugge</dc:creator>
  <cp:keywords/>
  <dc:description>Master File - mytax 146.xls
Revision b: Corrects error in formula in sheet ON(s11), cell C22.
Revision c: Picks up Sch4-2 data for line 425.
Revision d: Typo in line 420 of page 4 of T1 Gen.
Revision d: Value for line 330 corrected.
Revision f: </dc:description>
  <cp:lastModifiedBy>Egbert Verbrugge</cp:lastModifiedBy>
  <cp:lastPrinted>2007-04-21T20:32:26Z</cp:lastPrinted>
  <dcterms:created xsi:type="dcterms:W3CDTF">1999-03-31T00:46:13Z</dcterms:created>
  <dcterms:modified xsi:type="dcterms:W3CDTF">2007-04-21T22:58:10Z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