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8.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comments32.xml" ContentType="application/vnd.openxmlformats-officedocument.spreadsheetml.comments+xml"/>
  <Override PartName="/xl/worksheets/sheet33.xml" ContentType="application/vnd.openxmlformats-officedocument.spreadsheetml.worksheet+xml"/>
  <Override PartName="/xl/comments33.xml" ContentType="application/vnd.openxmlformats-officedocument.spreadsheetml.comments+xml"/>
  <Override PartName="/xl/drawings/drawing9.xml" ContentType="application/vnd.openxmlformats-officedocument.drawing+xml"/>
  <Override PartName="/xl/worksheets/sheet34.xml" ContentType="application/vnd.openxmlformats-officedocument.spreadsheetml.worksheet+xml"/>
  <Override PartName="/xl/comments34.xml" ContentType="application/vnd.openxmlformats-officedocument.spreadsheetml.comments+xml"/>
  <Override PartName="/xl/drawings/drawing10.xml" ContentType="application/vnd.openxmlformats-officedocument.drawing+xml"/>
  <Override PartName="/xl/worksheets/sheet35.xml" ContentType="application/vnd.openxmlformats-officedocument.spreadsheetml.worksheet+xml"/>
  <Override PartName="/xl/drawings/drawing11.xml" ContentType="application/vnd.openxmlformats-officedocument.drawing+xml"/>
  <Override PartName="/xl/worksheets/sheet36.xml" ContentType="application/vnd.openxmlformats-officedocument.spreadsheetml.worksheet+xml"/>
  <Override PartName="/xl/comments36.xml" ContentType="application/vnd.openxmlformats-officedocument.spreadsheetml.comments+xml"/>
  <Override PartName="/xl/drawings/drawing12.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comments39.xml" ContentType="application/vnd.openxmlformats-officedocument.spreadsheetml.comments+xml"/>
  <Override PartName="/xl/drawings/drawing13.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comments4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5401" windowWidth="15315" windowHeight="8895" tabRatio="704" activeTab="0"/>
  </bookViews>
  <sheets>
    <sheet name="README" sheetId="1" r:id="rId1"/>
    <sheet name="What's New" sheetId="2" r:id="rId2"/>
    <sheet name="HELP" sheetId="3" r:id="rId3"/>
    <sheet name="GO TO" sheetId="4" r:id="rId4"/>
    <sheet name="QUAL" sheetId="5" r:id="rId5"/>
    <sheet name="T1 GEN-1" sheetId="6" r:id="rId6"/>
    <sheet name="T1 GEN-2-3-4" sheetId="7" r:id="rId7"/>
    <sheet name="FED WRK" sheetId="8" r:id="rId8"/>
    <sheet name="BC WRK" sheetId="9" r:id="rId9"/>
    <sheet name="BC428" sheetId="10" r:id="rId10"/>
    <sheet name="BC479" sheetId="11" r:id="rId11"/>
    <sheet name="BC(S2)" sheetId="12" r:id="rId12"/>
    <sheet name="BC(S11)" sheetId="13" r:id="rId13"/>
    <sheet name="Sch1" sheetId="14" r:id="rId14"/>
    <sheet name="Sch2" sheetId="15" r:id="rId15"/>
    <sheet name="Sch3" sheetId="16" r:id="rId16"/>
    <sheet name="Sch4" sheetId="17" r:id="rId17"/>
    <sheet name="Sch4-2" sheetId="18" r:id="rId18"/>
    <sheet name="Sch5" sheetId="19" r:id="rId19"/>
    <sheet name="Sch6" sheetId="20" r:id="rId20"/>
    <sheet name="Sch7" sheetId="21" r:id="rId21"/>
    <sheet name="Sch8" sheetId="22" r:id="rId22"/>
    <sheet name="Sch9" sheetId="23" r:id="rId23"/>
    <sheet name="Sch11" sheetId="24" r:id="rId24"/>
    <sheet name="T4" sheetId="25" r:id="rId25"/>
    <sheet name="T4A" sheetId="26" r:id="rId26"/>
    <sheet name="T4A(P)" sheetId="27" r:id="rId27"/>
    <sheet name="T4A(OAS)" sheetId="28" r:id="rId28"/>
    <sheet name="T4E" sheetId="29" r:id="rId29"/>
    <sheet name="T4PS" sheetId="30" r:id="rId30"/>
    <sheet name="T4RIF" sheetId="31" r:id="rId31"/>
    <sheet name="T4RSP" sheetId="32" r:id="rId32"/>
    <sheet name="T778" sheetId="33" r:id="rId33"/>
    <sheet name="T1032E" sheetId="34" r:id="rId34"/>
    <sheet name="T2204" sheetId="35" r:id="rId35"/>
    <sheet name="T2205" sheetId="36" r:id="rId36"/>
    <sheet name="T3" sheetId="37" state="hidden" r:id="rId37"/>
    <sheet name="T5" sheetId="38" state="hidden" r:id="rId38"/>
    <sheet name="T2209" sheetId="39" r:id="rId39"/>
    <sheet name="T5007" sheetId="40" r:id="rId40"/>
    <sheet name="MISC" sheetId="41" r:id="rId41"/>
  </sheets>
  <definedNames>
    <definedName name="age">'T1 GEN-1'!$AB$14</definedName>
    <definedName name="basicfedtax">'Sch1'!$K$71</definedName>
    <definedName name="daysinyear">'T1 GEN-1'!$AB$40</definedName>
    <definedName name="exemption">'T4A'!$J$46</definedName>
    <definedName name="fract">'T1 GEN-1'!$AB$42</definedName>
    <definedName name="fract1">'T1 GEN-1'!$AB$43</definedName>
    <definedName name="fract2">'T1 GEN-1'!$AB$44</definedName>
    <definedName name="givenname1">'T1 GEN-1'!$D$12</definedName>
    <definedName name="givenname2">'T1 GEN-1'!$S$28</definedName>
    <definedName name="lastyear">'T1 GEN-1'!$AB$16</definedName>
    <definedName name="lastyeartext">'T1 GEN-1'!$AB$17</definedName>
    <definedName name="line117">'T1 GEN-2-3-4'!$I$21</definedName>
    <definedName name="line213">'T1 GEN-2-3-4'!$I$69</definedName>
    <definedName name="line234">'T1 GEN-2-3-4'!$K$85</definedName>
    <definedName name="line244">'T1 GEN-2-3-4'!$I$92</definedName>
    <definedName name="line248">'T1 GEN-2-3-4'!$I$93</definedName>
    <definedName name="line249">'T1 GEN-2-3-4'!$I$94</definedName>
    <definedName name="line250">'T1 GEN-2-3-4'!$I$95</definedName>
    <definedName name="line253">'T1 GEN-2-3-4'!$I$98</definedName>
    <definedName name="line254">'T1 GEN-2-3-4'!$I$99</definedName>
    <definedName name="line256">'T1 GEN-2-3-4'!$I$101</definedName>
    <definedName name="line312">'Sch1'!$K$19</definedName>
    <definedName name="line313">'Sch1'!$K$23</definedName>
    <definedName name="line425">'Sch1'!$I$67</definedName>
    <definedName name="line426">'Sch1'!$I$68</definedName>
    <definedName name="netincome">'T1 GEN-2-3-4'!$K$89</definedName>
    <definedName name="nextyear">'T1 GEN-1'!$AB$18</definedName>
    <definedName name="nextyeartext">'T1 GEN-1'!$AB$19</definedName>
    <definedName name="numchildren">'T778'!$E$25</definedName>
    <definedName name="numchildren17andless">'T778'!$T$25</definedName>
    <definedName name="numchildren18andless">'T778'!$S$25</definedName>
    <definedName name="P65_887" localSheetId="1">'What''s New'!#REF!</definedName>
    <definedName name="_xlnm.Print_Area" localSheetId="8">'BC WRK'!$A$1:$J$119</definedName>
    <definedName name="_xlnm.Print_Area" localSheetId="12">'BC(S11)'!$A$1:$J$60</definedName>
    <definedName name="_xlnm.Print_Area" localSheetId="11">'BC(S2)'!$A$1:$K$33</definedName>
    <definedName name="_xlnm.Print_Area" localSheetId="9">'BC428'!$A$1:$K$118</definedName>
    <definedName name="_xlnm.Print_Area" localSheetId="10">'BC479'!$A$1:$J$52</definedName>
    <definedName name="_xlnm.Print_Area" localSheetId="7">'FED WRK'!$A$1:$K$165</definedName>
    <definedName name="_xlnm.Print_Area" localSheetId="3">'GO TO'!$A$1:$O$64</definedName>
    <definedName name="_xlnm.Print_Area" localSheetId="2">'HELP'!$A$6:$H$80</definedName>
    <definedName name="_xlnm.Print_Area" localSheetId="40">'MISC'!$A$1:$M$94</definedName>
    <definedName name="_xlnm.Print_Area" localSheetId="4">'QUAL'!$A$1:$F$30</definedName>
    <definedName name="_xlnm.Print_Area" localSheetId="0">'README'!$A$1:$H$80</definedName>
    <definedName name="_xlnm.Print_Area" localSheetId="13">'Sch1'!$B$1:$L$88</definedName>
    <definedName name="_xlnm.Print_Area" localSheetId="23">'Sch11'!$A$1:$L$61</definedName>
    <definedName name="_xlnm.Print_Area" localSheetId="14">'Sch2'!$A$1:$K$35</definedName>
    <definedName name="_xlnm.Print_Area" localSheetId="15">'Sch3'!$A$1:$M$81</definedName>
    <definedName name="_xlnm.Print_Area" localSheetId="16">'Sch4'!$A$1:$F$31</definedName>
    <definedName name="_xlnm.Print_Area" localSheetId="17">'Sch4-2'!$A$1:$F$84</definedName>
    <definedName name="_xlnm.Print_Area" localSheetId="18">'Sch5'!$A$1:$H$38</definedName>
    <definedName name="_xlnm.Print_Area" localSheetId="19">'Sch6'!$A$1:$N$121</definedName>
    <definedName name="_xlnm.Print_Area" localSheetId="20">'Sch7'!$A$1:$J$58</definedName>
    <definedName name="_xlnm.Print_Area" localSheetId="21">'Sch8'!$A$1:$J$32</definedName>
    <definedName name="_xlnm.Print_Area" localSheetId="22">'Sch9'!$A$1:$J$31</definedName>
    <definedName name="_xlnm.Print_Area" localSheetId="5">'T1 GEN-1'!$A$1:$Z$62</definedName>
    <definedName name="_xlnm.Print_Area" localSheetId="6">'T1 GEN-2-3-4'!$A$1:$L$172</definedName>
    <definedName name="_xlnm.Print_Area" localSheetId="33">'T1032E'!$A$1:$Q$142</definedName>
    <definedName name="_xlnm.Print_Area" localSheetId="34">'T2204'!$A$1:$K$61</definedName>
    <definedName name="_xlnm.Print_Area" localSheetId="35">'T2205'!$A$1:$I$55</definedName>
    <definedName name="_xlnm.Print_Area" localSheetId="38">'T2209'!$A$1:$J$120</definedName>
    <definedName name="_xlnm.Print_Area" localSheetId="24">'T4'!$A$1:$K$126</definedName>
    <definedName name="_xlnm.Print_Area" localSheetId="25">'T4A'!$A$1:$K$64</definedName>
    <definedName name="_xlnm.Print_Area" localSheetId="27">'T4A(OAS)'!$A$1:$K$39</definedName>
    <definedName name="_xlnm.Print_Area" localSheetId="26">'T4A(P)'!$A$1:$K$35</definedName>
    <definedName name="_xlnm.Print_Area" localSheetId="28">'T4E'!$A$1:$K$83</definedName>
    <definedName name="_xlnm.Print_Area" localSheetId="29">'T4PS'!$A$1:$K$61</definedName>
    <definedName name="_xlnm.Print_Area" localSheetId="32">'T778'!$A$1:$O$141</definedName>
    <definedName name="Sch8">'GO TO'!$B$18</definedName>
    <definedName name="sin">'T1 GEN-1'!$T$11</definedName>
    <definedName name="sin2">'T1 GEN-1'!$T$26</definedName>
    <definedName name="surname">'T1 GEN-1'!$D$14</definedName>
    <definedName name="taxinc">'T1 GEN-2-3-4'!$K$103</definedName>
    <definedName name="year">'T1 GEN-1'!$V$4</definedName>
    <definedName name="year16">'T778'!$Q$42</definedName>
    <definedName name="year16text">'T778'!$Q$43</definedName>
    <definedName name="year17">'T778'!$Q$44</definedName>
    <definedName name="year17text">'T778'!$Q$45</definedName>
    <definedName name="year18">'T2204'!$M$10</definedName>
    <definedName name="year18text">'T2204'!$M$11</definedName>
    <definedName name="year6">'T778'!$Q$37</definedName>
    <definedName name="year65">'T1 GEN-1'!$AB$20</definedName>
    <definedName name="year65text">'T1 GEN-1'!$AB$21</definedName>
    <definedName name="year6text">'T778'!$Q$38</definedName>
    <definedName name="year7">'T778'!$Q$39</definedName>
    <definedName name="year70">'T2204'!$M$13</definedName>
    <definedName name="year70text">'T2204'!$M$12</definedName>
    <definedName name="year7text">'T778'!$Q$40</definedName>
    <definedName name="yearminus2">'T1 GEN-1'!$AB$7</definedName>
    <definedName name="yearminus2text">'T1 GEN-1'!$AB$9</definedName>
    <definedName name="yearminus3">'T1 GEN-1'!$AB$10</definedName>
    <definedName name="yearminus3text">'T1 GEN-1'!$AB$11</definedName>
    <definedName name="yeartext">'T1 GEN-1'!$AB$12</definedName>
  </definedNames>
  <calcPr fullCalcOnLoad="1" fullPrecision="0"/>
</workbook>
</file>

<file path=xl/comments1.xml><?xml version="1.0" encoding="utf-8"?>
<comments xmlns="http://schemas.openxmlformats.org/spreadsheetml/2006/main">
  <authors>
    <author>Egbert Verbrugge</author>
  </authors>
  <commentList>
    <comment ref="A2" authorId="0">
      <text>
        <r>
          <rPr>
            <b/>
            <sz val="12"/>
            <rFont val="Tahoma"/>
            <family val="2"/>
          </rPr>
          <t xml:space="preserve">Revision History
-March 4, 2008 revision a Ontario released.
-March 5, 2008 revision b Ontario released.
-March 8, 2008 revision c Ontario released.
-March 17, 2008 revision c British Columbia released.
</t>
        </r>
      </text>
    </comment>
  </commentList>
</comments>
</file>

<file path=xl/comments10.xml><?xml version="1.0" encoding="utf-8"?>
<comments xmlns="http://schemas.openxmlformats.org/spreadsheetml/2006/main">
  <authors>
    <author>Egbert Verbrugge</author>
  </authors>
  <commentList>
    <comment ref="H103" authorId="0">
      <text>
        <r>
          <rPr>
            <b/>
            <sz val="8"/>
            <rFont val="Tahoma"/>
            <family val="0"/>
          </rPr>
          <t xml:space="preserve">from BC WRK line 53
</t>
        </r>
      </text>
    </comment>
    <comment ref="D12" authorId="0">
      <text>
        <r>
          <rPr>
            <b/>
            <sz val="12"/>
            <rFont val="Tahoma"/>
            <family val="2"/>
          </rPr>
          <t>Default Formula:  If resident in Canada a different number of days than you, you may need to change this amount.</t>
        </r>
      </text>
    </comment>
  </commentList>
</comments>
</file>

<file path=xl/comments11.xml><?xml version="1.0" encoding="utf-8"?>
<comments xmlns="http://schemas.openxmlformats.org/spreadsheetml/2006/main">
  <authors>
    <author>Egbert Verbrugge</author>
  </authors>
  <commentList>
    <comment ref="I28" authorId="0">
      <text>
        <r>
          <rPr>
            <sz val="12"/>
            <rFont val="Tahoma"/>
            <family val="2"/>
          </rPr>
          <t>Default Formula:
Only one can claim if married or common-law.</t>
        </r>
        <r>
          <rPr>
            <sz val="8"/>
            <rFont val="Tahoma"/>
            <family val="0"/>
          </rPr>
          <t xml:space="preserve">
</t>
        </r>
      </text>
    </comment>
    <comment ref="I29" authorId="0">
      <text>
        <r>
          <rPr>
            <sz val="12"/>
            <rFont val="Tahoma"/>
            <family val="2"/>
          </rPr>
          <t>Default Formula:
Only one can claim if married or common-law</t>
        </r>
        <r>
          <rPr>
            <sz val="8"/>
            <rFont val="Tahoma"/>
            <family val="0"/>
          </rPr>
          <t xml:space="preserve">
</t>
        </r>
      </text>
    </comment>
  </commentList>
</comments>
</file>

<file path=xl/comments13.xml><?xml version="1.0" encoding="utf-8"?>
<comments xmlns="http://schemas.openxmlformats.org/spreadsheetml/2006/main">
  <authors>
    <author>Egbert Verbrugge</author>
  </authors>
  <commentList>
    <comment ref="I53" authorId="0">
      <text>
        <r>
          <rPr>
            <b/>
            <sz val="12"/>
            <rFont val="Tahoma"/>
            <family val="2"/>
          </rPr>
          <t>Default
Formula
Change 
as you
Wish</t>
        </r>
      </text>
    </comment>
  </commentList>
</comments>
</file>

<file path=xl/comments14.xml><?xml version="1.0" encoding="utf-8"?>
<comments xmlns="http://schemas.openxmlformats.org/spreadsheetml/2006/main">
  <authors>
    <author>Egbert Verbrugge</author>
  </authors>
  <commentList>
    <comment ref="K15" authorId="0">
      <text>
        <r>
          <rPr>
            <b/>
            <sz val="8"/>
            <rFont val="Tahoma"/>
            <family val="0"/>
          </rPr>
          <t>From Federal Worksheet</t>
        </r>
        <r>
          <rPr>
            <sz val="8"/>
            <rFont val="Tahoma"/>
            <family val="0"/>
          </rPr>
          <t xml:space="preserve">
</t>
        </r>
      </text>
    </comment>
    <comment ref="K25" authorId="0">
      <text>
        <r>
          <rPr>
            <b/>
            <sz val="10"/>
            <rFont val="Tahoma"/>
            <family val="2"/>
          </rPr>
          <t>From Federal Worksheet if option set on QUAL sheet</t>
        </r>
        <r>
          <rPr>
            <sz val="8"/>
            <rFont val="Tahoma"/>
            <family val="0"/>
          </rPr>
          <t xml:space="preserve">
</t>
        </r>
      </text>
    </comment>
    <comment ref="K28" authorId="0">
      <text>
        <r>
          <rPr>
            <b/>
            <sz val="10"/>
            <rFont val="Tahoma"/>
            <family val="2"/>
          </rPr>
          <t>From Federal Worksheet.  Option must be set to YES on line 318 of QUAL sheet.</t>
        </r>
      </text>
    </comment>
    <comment ref="K8" authorId="0">
      <text>
        <r>
          <rPr>
            <b/>
            <sz val="8"/>
            <rFont val="Tahoma"/>
            <family val="0"/>
          </rPr>
          <t>Enter date of birth on the T1 GEN-1 sheet and this amount here will be picked up automatically if you qualify.</t>
        </r>
      </text>
    </comment>
    <comment ref="K17" authorId="0">
      <text>
        <r>
          <rPr>
            <b/>
            <sz val="10"/>
            <rFont val="Tahoma"/>
            <family val="2"/>
          </rPr>
          <t>From T2204 if it applies</t>
        </r>
      </text>
    </comment>
    <comment ref="K12" authorId="0">
      <text>
        <r>
          <rPr>
            <b/>
            <sz val="10"/>
            <rFont val="Tahoma"/>
            <family val="2"/>
          </rPr>
          <t>If option set on QUAL sheet</t>
        </r>
      </text>
    </comment>
    <comment ref="K26" authorId="0">
      <text>
        <r>
          <rPr>
            <b/>
            <sz val="10"/>
            <rFont val="Tahoma"/>
            <family val="2"/>
          </rPr>
          <t>From FED WRK if option set on QUAL sheet</t>
        </r>
      </text>
    </comment>
    <comment ref="I34" authorId="0">
      <text>
        <r>
          <rPr>
            <b/>
            <sz val="12"/>
            <rFont val="Tahoma"/>
            <family val="2"/>
          </rPr>
          <t>Guide RC4064 gives detailed information about allowable medical expenses.</t>
        </r>
        <r>
          <rPr>
            <sz val="12"/>
            <rFont val="Tahoma"/>
            <family val="2"/>
          </rPr>
          <t xml:space="preserve">
</t>
        </r>
      </text>
    </comment>
    <comment ref="K10" authorId="0">
      <text>
        <r>
          <rPr>
            <b/>
            <sz val="10"/>
            <rFont val="Tahoma"/>
            <family val="2"/>
          </rPr>
          <t>If Qual option set on Qual Sheet.</t>
        </r>
      </text>
    </comment>
    <comment ref="G13" authorId="0">
      <text>
        <r>
          <rPr>
            <b/>
            <sz val="10"/>
            <rFont val="Tahoma"/>
            <family val="2"/>
          </rPr>
          <t>Default formula.
See guide for conditions for either parent to claim this.</t>
        </r>
      </text>
    </comment>
    <comment ref="K20" authorId="0">
      <text>
        <r>
          <rPr>
            <b/>
            <sz val="12"/>
            <rFont val="Tahoma"/>
            <family val="2"/>
          </rPr>
          <t>Default Formulae</t>
        </r>
      </text>
    </comment>
  </commentList>
</comments>
</file>

<file path=xl/comments16.xml><?xml version="1.0" encoding="utf-8"?>
<comments xmlns="http://schemas.openxmlformats.org/spreadsheetml/2006/main">
  <authors>
    <author>Egbert Verbrugge</author>
  </authors>
  <commentList>
    <comment ref="L79" authorId="0">
      <text>
        <r>
          <rPr>
            <b/>
            <sz val="12"/>
            <rFont val="Tahoma"/>
            <family val="2"/>
          </rPr>
          <t>If this is negative you will need to change what is automatically posted on line 127</t>
        </r>
        <r>
          <rPr>
            <sz val="8"/>
            <rFont val="Tahoma"/>
            <family val="0"/>
          </rPr>
          <t xml:space="preserve">
</t>
        </r>
      </text>
    </comment>
  </commentList>
</comments>
</file>

<file path=xl/comments17.xml><?xml version="1.0" encoding="utf-8"?>
<comments xmlns="http://schemas.openxmlformats.org/spreadsheetml/2006/main">
  <authors>
    <author>Egbert Verbrugge</author>
  </authors>
  <commentList>
    <comment ref="B12" authorId="0">
      <text>
        <r>
          <rPr>
            <b/>
            <sz val="10"/>
            <rFont val="Tahoma"/>
            <family val="2"/>
          </rPr>
          <t>Enter you detailed data for here on Sch4-2</t>
        </r>
      </text>
    </comment>
    <comment ref="B17" authorId="0">
      <text>
        <r>
          <rPr>
            <b/>
            <sz val="10"/>
            <rFont val="Tahoma"/>
            <family val="2"/>
          </rPr>
          <t>Enter the detailed data for here on Sch4-2</t>
        </r>
      </text>
    </comment>
    <comment ref="B22" authorId="0">
      <text>
        <r>
          <rPr>
            <b/>
            <sz val="10"/>
            <rFont val="Tahoma"/>
            <family val="2"/>
          </rPr>
          <t>Enter the detailed data for here on Sch4-2</t>
        </r>
      </text>
    </comment>
    <comment ref="B8" authorId="0">
      <text>
        <r>
          <rPr>
            <b/>
            <sz val="10"/>
            <rFont val="Tahoma"/>
            <family val="2"/>
          </rPr>
          <t xml:space="preserve">Enter your detailed data for here on Sch4-2
</t>
        </r>
      </text>
    </comment>
  </commentList>
</comments>
</file>

<file path=xl/comments20.xml><?xml version="1.0" encoding="utf-8"?>
<comments xmlns="http://schemas.openxmlformats.org/spreadsheetml/2006/main">
  <authors>
    <author>Egbert Verbrugge</author>
  </authors>
  <commentList>
    <comment ref="E22" authorId="0">
      <text>
        <r>
          <rPr>
            <b/>
            <sz val="10"/>
            <rFont val="Tahoma"/>
            <family val="2"/>
          </rPr>
          <t>See the guide at line 453 for the definition</t>
        </r>
      </text>
    </comment>
    <comment ref="E24" authorId="0">
      <text>
        <r>
          <rPr>
            <b/>
            <sz val="10"/>
            <rFont val="Tahoma"/>
            <family val="2"/>
          </rPr>
          <t>See the guide at line 453 for the definition.</t>
        </r>
      </text>
    </comment>
  </commentList>
</comments>
</file>

<file path=xl/comments21.xml><?xml version="1.0" encoding="utf-8"?>
<comments xmlns="http://schemas.openxmlformats.org/spreadsheetml/2006/main">
  <authors>
    <author>Egbert Verbrugge</author>
  </authors>
  <commentList>
    <comment ref="G38" authorId="0">
      <text>
        <r>
          <rPr>
            <b/>
            <sz val="12"/>
            <rFont val="Tahoma"/>
            <family val="2"/>
          </rPr>
          <t>This amount is picked up from line 9 above.  You may have to change this amount depending on your last year's Notice of Assessment</t>
        </r>
        <r>
          <rPr>
            <b/>
            <sz val="10"/>
            <rFont val="Tahoma"/>
            <family val="2"/>
          </rPr>
          <t xml:space="preserve">
</t>
        </r>
      </text>
    </comment>
  </commentList>
</comments>
</file>

<file path=xl/comments23.xml><?xml version="1.0" encoding="utf-8"?>
<comments xmlns="http://schemas.openxmlformats.org/spreadsheetml/2006/main">
  <authors>
    <author>Egbert Verbrugge</author>
  </authors>
  <commentList>
    <comment ref="I6" authorId="0">
      <text>
        <r>
          <rPr>
            <b/>
            <sz val="12"/>
            <rFont val="Tahoma"/>
            <family val="2"/>
          </rPr>
          <t>Enter your donation data on the MISC sheet.  Go to the line labeled Sch9 Line 1.</t>
        </r>
      </text>
    </comment>
  </commentList>
</comments>
</file>

<file path=xl/comments24.xml><?xml version="1.0" encoding="utf-8"?>
<comments xmlns="http://schemas.openxmlformats.org/spreadsheetml/2006/main">
  <authors>
    <author>Egbert Verbrugge</author>
  </authors>
  <commentList>
    <comment ref="K57" authorId="0">
      <text>
        <r>
          <rPr>
            <b/>
            <sz val="10"/>
            <rFont val="Tahoma"/>
            <family val="2"/>
          </rPr>
          <t>Default
Formula.
You can
change it.</t>
        </r>
      </text>
    </comment>
  </commentList>
</comments>
</file>

<file path=xl/comments25.xml><?xml version="1.0" encoding="utf-8"?>
<comments xmlns="http://schemas.openxmlformats.org/spreadsheetml/2006/main">
  <authors>
    <author>Egbert Verbrugge</author>
  </authors>
  <commentList>
    <comment ref="J26" authorId="0">
      <text>
        <r>
          <rPr>
            <b/>
            <sz val="12"/>
            <rFont val="Tahoma"/>
            <family val="2"/>
          </rPr>
          <t>If Items 74 or 75 are non-zero, this value is set to zero.
The calculation Form in T4040 guide must be completed for that case.</t>
        </r>
        <r>
          <rPr>
            <sz val="8"/>
            <rFont val="Tahoma"/>
            <family val="0"/>
          </rPr>
          <t xml:space="preserve">
</t>
        </r>
      </text>
    </comment>
  </commentList>
</comments>
</file>

<file path=xl/comments26.xml><?xml version="1.0" encoding="utf-8"?>
<comments xmlns="http://schemas.openxmlformats.org/spreadsheetml/2006/main">
  <authors>
    <author>Egbert Verbrugge</author>
  </authors>
  <commentList>
    <comment ref="J20" authorId="0">
      <text>
        <r>
          <rPr>
            <b/>
            <sz val="12"/>
            <rFont val="Tahoma"/>
            <family val="2"/>
          </rPr>
          <t>Default Formula.  You must calculate these amounts.  They are not on your T4A slip. Use form T2124C.</t>
        </r>
        <r>
          <rPr>
            <b/>
            <sz val="10"/>
            <rFont val="Tahoma"/>
            <family val="2"/>
          </rPr>
          <t xml:space="preserve">
</t>
        </r>
      </text>
    </comment>
    <comment ref="C20" authorId="0">
      <text>
        <r>
          <rPr>
            <b/>
            <sz val="12"/>
            <rFont val="Tahoma"/>
            <family val="2"/>
          </rPr>
          <t>Default Formula. You must calculate these amounts.  They are not on your T4A slip. Use form T2124C.</t>
        </r>
      </text>
    </comment>
    <comment ref="C45" authorId="0">
      <text>
        <r>
          <rPr>
            <b/>
            <sz val="12"/>
            <rFont val="Tahoma"/>
            <family val="2"/>
          </rPr>
          <t xml:space="preserve">Please enter the codes if they exist on your paper T4A's.These codes (where they exist) tell MyTAX to send the data to where it properly belongs.  </t>
        </r>
      </text>
    </comment>
  </commentList>
</comments>
</file>

<file path=xl/comments29.xml><?xml version="1.0" encoding="utf-8"?>
<comments xmlns="http://schemas.openxmlformats.org/spreadsheetml/2006/main">
  <authors>
    <author>Egbert Verbrugge</author>
  </authors>
  <commentList>
    <comment ref="C27" authorId="0">
      <text>
        <r>
          <rPr>
            <b/>
            <sz val="12"/>
            <rFont val="Tahoma"/>
            <family val="2"/>
          </rPr>
          <t>This amount will end up on line 323 of Schedule 1 through the T2202 or T2202A data you enter in Schedule 11</t>
        </r>
      </text>
    </comment>
  </commentList>
</comments>
</file>

<file path=xl/comments30.xml><?xml version="1.0" encoding="utf-8"?>
<comments xmlns="http://schemas.openxmlformats.org/spreadsheetml/2006/main">
  <authors>
    <author>Egbert Verbrugge</author>
  </authors>
  <commentList>
    <comment ref="C17" authorId="0">
      <text>
        <r>
          <rPr>
            <b/>
            <sz val="10"/>
            <rFont val="Tahoma"/>
            <family val="2"/>
          </rPr>
          <t xml:space="preserve">From bottom right corner of T4PS form
</t>
        </r>
      </text>
    </comment>
  </commentList>
</comments>
</file>

<file path=xl/comments31.xml><?xml version="1.0" encoding="utf-8"?>
<comments xmlns="http://schemas.openxmlformats.org/spreadsheetml/2006/main">
  <authors>
    <author>Egbert Verbrugge</author>
  </authors>
  <commentList>
    <comment ref="J35" authorId="0">
      <text>
        <r>
          <rPr>
            <b/>
            <sz val="12"/>
            <rFont val="Tahoma"/>
            <family val="2"/>
          </rPr>
          <t>If this amount is non-zero, refer to CRA info sheet RC4178.</t>
        </r>
      </text>
    </comment>
    <comment ref="J62" authorId="0">
      <text>
        <r>
          <rPr>
            <b/>
            <sz val="12"/>
            <rFont val="Tahoma"/>
            <family val="2"/>
          </rPr>
          <t>If this amount is non-zero, then refer to CRA info sheet RC4178.</t>
        </r>
        <r>
          <rPr>
            <sz val="8"/>
            <rFont val="Tahoma"/>
            <family val="0"/>
          </rPr>
          <t xml:space="preserve">
</t>
        </r>
      </text>
    </comment>
  </commentList>
</comments>
</file>

<file path=xl/comments32.xml><?xml version="1.0" encoding="utf-8"?>
<comments xmlns="http://schemas.openxmlformats.org/spreadsheetml/2006/main">
  <authors>
    <author>Egbert Verbrugge</author>
  </authors>
  <commentList>
    <comment ref="J54" authorId="0">
      <text>
        <r>
          <rPr>
            <b/>
            <sz val="12"/>
            <rFont val="Tahoma"/>
            <family val="2"/>
          </rPr>
          <t>Enter date of birth on the T1 GEN-1 sheet and this amount here will be picked up automatically if you qualify.</t>
        </r>
      </text>
    </comment>
    <comment ref="J73" authorId="0">
      <text>
        <r>
          <rPr>
            <b/>
            <sz val="12"/>
            <rFont val="Tahoma"/>
            <family val="2"/>
          </rPr>
          <t>If this is non-zero, you need to go to form T2205 and complete it</t>
        </r>
      </text>
    </comment>
    <comment ref="C22" authorId="0">
      <text>
        <r>
          <rPr>
            <b/>
            <sz val="11"/>
            <rFont val="Tahoma"/>
            <family val="2"/>
          </rPr>
          <t>In order to answer Yes, you must 
meet the conditions on the back of form T3012A</t>
        </r>
      </text>
    </comment>
    <comment ref="J76" authorId="0">
      <text>
        <r>
          <rPr>
            <b/>
            <sz val="12"/>
            <rFont val="Tahoma"/>
            <family val="2"/>
          </rPr>
          <t>If this amount is non-zero, you must refer to the CRA Guide T4040 and transfer this value as directed therein.</t>
        </r>
      </text>
    </comment>
  </commentList>
</comments>
</file>

<file path=xl/comments33.xml><?xml version="1.0" encoding="utf-8"?>
<comments xmlns="http://schemas.openxmlformats.org/spreadsheetml/2006/main">
  <authors>
    <author>Egbert Verbrugge</author>
  </authors>
  <commentList>
    <comment ref="K56" authorId="0">
      <text>
        <r>
          <rPr>
            <b/>
            <sz val="10"/>
            <rFont val="Tahoma"/>
            <family val="2"/>
          </rPr>
          <t>Refer to the Child Care Expenses Deduction Information Sheet for the definition of earned income</t>
        </r>
        <r>
          <rPr>
            <b/>
            <sz val="8"/>
            <rFont val="Tahoma"/>
            <family val="0"/>
          </rPr>
          <t xml:space="preserve">
</t>
        </r>
      </text>
    </comment>
    <comment ref="N65" authorId="0">
      <text>
        <r>
          <rPr>
            <b/>
            <sz val="10"/>
            <rFont val="Tahoma"/>
            <family val="2"/>
          </rPr>
          <t>if &amp; when you enter a name of a supporting person in part C below, this will change to zero</t>
        </r>
      </text>
    </comment>
    <comment ref="N63" authorId="0">
      <text>
        <r>
          <rPr>
            <b/>
            <sz val="10"/>
            <rFont val="Tahoma"/>
            <family val="2"/>
          </rPr>
          <t xml:space="preserve">if you put in an amount here, then you are the supporting person with the lower net income
</t>
        </r>
      </text>
    </comment>
    <comment ref="B79" authorId="0">
      <text>
        <r>
          <rPr>
            <sz val="10"/>
            <rFont val="Tahoma"/>
            <family val="2"/>
          </rPr>
          <t xml:space="preserve">leave this blank if you are the supporting person with the lower income
</t>
        </r>
      </text>
    </comment>
    <comment ref="K134" authorId="0">
      <text>
        <r>
          <rPr>
            <b/>
            <sz val="10"/>
            <rFont val="Tahoma"/>
            <family val="2"/>
          </rPr>
          <t xml:space="preserve">Special: Same as line 236 without line 214 &amp; line 235
</t>
        </r>
      </text>
    </comment>
    <comment ref="K48" authorId="0">
      <text>
        <r>
          <rPr>
            <sz val="12"/>
            <rFont val="Tahoma"/>
            <family val="2"/>
          </rPr>
          <t xml:space="preserve">Default Formula
You can change
as necessary
</t>
        </r>
        <r>
          <rPr>
            <sz val="8"/>
            <rFont val="Tahoma"/>
            <family val="0"/>
          </rPr>
          <t xml:space="preserve">
</t>
        </r>
      </text>
    </comment>
    <comment ref="K51" authorId="0">
      <text>
        <r>
          <rPr>
            <b/>
            <sz val="12"/>
            <rFont val="Tahoma"/>
            <family val="2"/>
          </rPr>
          <t>Default formula. You can change as needed</t>
        </r>
      </text>
    </comment>
  </commentList>
</comments>
</file>

<file path=xl/comments34.xml><?xml version="1.0" encoding="utf-8"?>
<comments xmlns="http://schemas.openxmlformats.org/spreadsheetml/2006/main">
  <authors>
    <author>Egbert Verbrugge</author>
  </authors>
  <commentList>
    <comment ref="N75" authorId="0">
      <text>
        <r>
          <rPr>
            <b/>
            <sz val="10"/>
            <rFont val="Tahoma"/>
            <family val="2"/>
          </rPr>
          <t>Default Formulae.
Enter manually calculated value if note applies.</t>
        </r>
      </text>
    </comment>
    <comment ref="N57" authorId="0">
      <text>
        <r>
          <rPr>
            <b/>
            <sz val="10"/>
            <rFont val="Tahoma"/>
            <family val="2"/>
          </rPr>
          <t>Complete Step 7 (bottom) on Form T1032E in the Pensioner Transferee's MyTAX workbork.
DON'T complete Step 7 on the Pensioner's MyTAX workbook.</t>
        </r>
      </text>
    </comment>
  </commentList>
</comments>
</file>

<file path=xl/comments36.xml><?xml version="1.0" encoding="utf-8"?>
<comments xmlns="http://schemas.openxmlformats.org/spreadsheetml/2006/main">
  <authors>
    <author>Egbert Verbrugge</author>
  </authors>
  <commentList>
    <comment ref="G51" authorId="0">
      <text>
        <r>
          <rPr>
            <b/>
            <sz val="10"/>
            <rFont val="Tahoma"/>
            <family val="2"/>
          </rPr>
          <t>If this is for the same year as this income tax return is being prepared, it will be transferred automatically to line 115 or line 130</t>
        </r>
      </text>
    </comment>
    <comment ref="G47" authorId="0">
      <text>
        <r>
          <rPr>
            <b/>
            <sz val="10"/>
            <rFont val="Tahoma"/>
            <family val="2"/>
          </rPr>
          <t>From summary section of T4RIF input form</t>
        </r>
      </text>
    </comment>
    <comment ref="C33" authorId="0">
      <text>
        <r>
          <rPr>
            <b/>
            <sz val="10"/>
            <rFont val="Tahoma"/>
            <family val="2"/>
          </rPr>
          <t>From summary section of T4RIF input form</t>
        </r>
      </text>
    </comment>
    <comment ref="E30" authorId="0">
      <text>
        <r>
          <rPr>
            <sz val="10"/>
            <rFont val="Tahoma"/>
            <family val="2"/>
          </rPr>
          <t>From summary section of T4RIF input form</t>
        </r>
        <r>
          <rPr>
            <sz val="8"/>
            <rFont val="Tahoma"/>
            <family val="0"/>
          </rPr>
          <t xml:space="preserve">
</t>
        </r>
      </text>
    </comment>
  </commentList>
</comments>
</file>

<file path=xl/comments39.xml><?xml version="1.0" encoding="utf-8"?>
<comments xmlns="http://schemas.openxmlformats.org/spreadsheetml/2006/main">
  <authors>
    <author>Egbert Verbrugge</author>
  </authors>
  <commentList>
    <comment ref="I28" authorId="0">
      <text>
        <r>
          <rPr>
            <b/>
            <sz val="10"/>
            <rFont val="Tahoma"/>
            <family val="2"/>
          </rPr>
          <t>Default Formula</t>
        </r>
      </text>
    </comment>
    <comment ref="E15" authorId="0">
      <text>
        <r>
          <rPr>
            <b/>
            <sz val="10"/>
            <rFont val="Tahoma"/>
            <family val="2"/>
          </rPr>
          <t>Default
Formula</t>
        </r>
      </text>
    </comment>
    <comment ref="E24" authorId="0">
      <text>
        <r>
          <rPr>
            <b/>
            <sz val="10"/>
            <rFont val="Tahoma"/>
            <family val="2"/>
          </rPr>
          <t>Default
Formula</t>
        </r>
      </text>
    </comment>
    <comment ref="G14" authorId="0">
      <text>
        <r>
          <rPr>
            <b/>
            <sz val="10"/>
            <rFont val="Tahoma"/>
            <family val="2"/>
          </rPr>
          <t>Default
Formula</t>
        </r>
      </text>
    </comment>
    <comment ref="E14" authorId="0">
      <text>
        <r>
          <rPr>
            <b/>
            <sz val="10"/>
            <rFont val="Tahoma"/>
            <family val="2"/>
          </rPr>
          <t>Default
Formula</t>
        </r>
      </text>
    </comment>
    <comment ref="I12" authorId="0">
      <text>
        <r>
          <rPr>
            <b/>
            <sz val="10"/>
            <rFont val="Tahoma"/>
            <family val="2"/>
          </rPr>
          <t>Default
Formula</t>
        </r>
      </text>
    </comment>
  </commentList>
</comments>
</file>

<file path=xl/comments41.xml><?xml version="1.0" encoding="utf-8"?>
<comments xmlns="http://schemas.openxmlformats.org/spreadsheetml/2006/main">
  <authors>
    <author>Egbert Verbrugge</author>
  </authors>
  <commentList>
    <comment ref="D50" authorId="0">
      <text>
        <r>
          <rPr>
            <b/>
            <sz val="12"/>
            <rFont val="Tahoma"/>
            <family val="2"/>
          </rPr>
          <t>If you are not allowed to transfer full amount from line 147, then put in  -ve amount on one of the cells in this row</t>
        </r>
      </text>
    </comment>
    <comment ref="D53" authorId="0">
      <text>
        <r>
          <rPr>
            <b/>
            <sz val="12"/>
            <rFont val="Tahoma"/>
            <family val="2"/>
          </rPr>
          <t>Data from box 16 of your T4RSP slip only if you were age 65 or older on Dec 31</t>
        </r>
      </text>
    </comment>
    <comment ref="J55" authorId="0">
      <text>
        <r>
          <rPr>
            <b/>
            <sz val="10"/>
            <rFont val="Tahoma"/>
            <family val="2"/>
          </rPr>
          <t>From T2204 if it applies</t>
        </r>
      </text>
    </comment>
    <comment ref="D56" authorId="0">
      <text>
        <r>
          <rPr>
            <sz val="12"/>
            <rFont val="Tahoma"/>
            <family val="2"/>
          </rPr>
          <t>Guide RC4064 gives detailed information about what medical expenses are allowed.</t>
        </r>
      </text>
    </comment>
  </commentList>
</comments>
</file>

<file path=xl/comments7.xml><?xml version="1.0" encoding="utf-8"?>
<comments xmlns="http://schemas.openxmlformats.org/spreadsheetml/2006/main">
  <authors>
    <author>Egbert Verbrugge</author>
  </authors>
  <commentList>
    <comment ref="I13" authorId="0">
      <text>
        <r>
          <rPr>
            <sz val="12"/>
            <rFont val="Tahoma"/>
            <family val="2"/>
          </rPr>
          <t>from MISC sheet</t>
        </r>
        <r>
          <rPr>
            <sz val="8"/>
            <rFont val="Tahoma"/>
            <family val="0"/>
          </rPr>
          <t xml:space="preserve">
</t>
        </r>
      </text>
    </comment>
    <comment ref="I28" authorId="0">
      <text>
        <r>
          <rPr>
            <b/>
            <sz val="12"/>
            <rFont val="Tahoma"/>
            <family val="2"/>
          </rPr>
          <t xml:space="preserve">from Schedule 3:
</t>
        </r>
      </text>
    </comment>
    <comment ref="G14" authorId="0">
      <text>
        <r>
          <rPr>
            <b/>
            <sz val="12"/>
            <rFont val="Tahoma"/>
            <family val="2"/>
          </rPr>
          <t>from MISC sheet</t>
        </r>
      </text>
    </comment>
    <comment ref="I19" authorId="0">
      <text>
        <r>
          <rPr>
            <b/>
            <sz val="10"/>
            <rFont val="Tahoma"/>
            <family val="2"/>
          </rPr>
          <t xml:space="preserve">from MISC.
This amount may qualify for the pension income amount. See line 314 in the guide.
See also FED WRK
</t>
        </r>
      </text>
    </comment>
    <comment ref="I31" authorId="0">
      <text>
        <r>
          <rPr>
            <b/>
            <sz val="10"/>
            <rFont val="Tahoma"/>
            <family val="2"/>
          </rPr>
          <t>from MISC</t>
        </r>
        <r>
          <rPr>
            <sz val="8"/>
            <rFont val="Tahoma"/>
            <family val="0"/>
          </rPr>
          <t xml:space="preserve">
</t>
        </r>
      </text>
    </comment>
    <comment ref="I35" authorId="0">
      <text>
        <r>
          <rPr>
            <sz val="10"/>
            <rFont val="Tahoma"/>
            <family val="2"/>
          </rPr>
          <t>from MISC</t>
        </r>
        <r>
          <rPr>
            <sz val="8"/>
            <rFont val="Tahoma"/>
            <family val="0"/>
          </rPr>
          <t xml:space="preserve">
</t>
        </r>
      </text>
    </comment>
    <comment ref="G39" authorId="0">
      <text>
        <r>
          <rPr>
            <sz val="10"/>
            <rFont val="Tahoma"/>
            <family val="2"/>
          </rPr>
          <t>from MISC</t>
        </r>
        <r>
          <rPr>
            <sz val="8"/>
            <rFont val="Tahoma"/>
            <family val="0"/>
          </rPr>
          <t xml:space="preserve">
</t>
        </r>
      </text>
    </comment>
    <comment ref="G40" authorId="0">
      <text>
        <r>
          <rPr>
            <sz val="10"/>
            <rFont val="Tahoma"/>
            <family val="2"/>
          </rPr>
          <t>from MISC</t>
        </r>
        <r>
          <rPr>
            <sz val="8"/>
            <rFont val="Tahoma"/>
            <family val="0"/>
          </rPr>
          <t xml:space="preserve">
</t>
        </r>
      </text>
    </comment>
    <comment ref="G41" authorId="0">
      <text>
        <r>
          <rPr>
            <sz val="10"/>
            <rFont val="Tahoma"/>
            <family val="2"/>
          </rPr>
          <t>from MISC</t>
        </r>
        <r>
          <rPr>
            <sz val="8"/>
            <rFont val="Tahoma"/>
            <family val="0"/>
          </rPr>
          <t xml:space="preserve">
</t>
        </r>
      </text>
    </comment>
    <comment ref="I120" authorId="0">
      <text>
        <r>
          <rPr>
            <b/>
            <sz val="10"/>
            <rFont val="Tahoma"/>
            <family val="2"/>
          </rPr>
          <t>From T2204</t>
        </r>
      </text>
    </comment>
    <comment ref="I122" authorId="0">
      <text>
        <r>
          <rPr>
            <b/>
            <sz val="10"/>
            <rFont val="Tahoma"/>
            <family val="2"/>
          </rPr>
          <t>from Federal Worksheet</t>
        </r>
      </text>
    </comment>
    <comment ref="I80" authorId="0">
      <text>
        <r>
          <rPr>
            <b/>
            <sz val="12"/>
            <rFont val="Tahoma"/>
            <family val="2"/>
          </rPr>
          <t>Enter from your paper sheet into MISC sheet.  There is a Line labelled 224 in MISC.</t>
        </r>
      </text>
    </comment>
    <comment ref="I21" authorId="0">
      <text>
        <r>
          <rPr>
            <b/>
            <sz val="10"/>
            <rFont val="Tahoma"/>
            <family val="2"/>
          </rPr>
          <t>If you had a spouse or common-law partner on Dec 31, the one with the lower net income must report the UCCB.  Otherwise you have to report the UCCB you received.</t>
        </r>
        <r>
          <rPr>
            <sz val="8"/>
            <rFont val="Tahoma"/>
            <family val="0"/>
          </rPr>
          <t xml:space="preserve">
</t>
        </r>
      </text>
    </comment>
    <comment ref="E33" authorId="0">
      <text>
        <r>
          <rPr>
            <sz val="12"/>
            <rFont val="Tahoma"/>
            <family val="2"/>
          </rPr>
          <t>Use paper form T2124 for calculations.</t>
        </r>
        <r>
          <rPr>
            <b/>
            <sz val="12"/>
            <rFont val="Tahoma"/>
            <family val="2"/>
          </rPr>
          <t xml:space="preserve">
</t>
        </r>
        <r>
          <rPr>
            <sz val="8"/>
            <rFont val="Tahoma"/>
            <family val="0"/>
          </rPr>
          <t xml:space="preserve">
</t>
        </r>
      </text>
    </comment>
    <comment ref="E34" authorId="0">
      <text>
        <r>
          <rPr>
            <sz val="12"/>
            <rFont val="Tahoma"/>
            <family val="2"/>
          </rPr>
          <t>Use paper form T2032 for calculations</t>
        </r>
        <r>
          <rPr>
            <b/>
            <sz val="8"/>
            <rFont val="Tahoma"/>
            <family val="0"/>
          </rPr>
          <t xml:space="preserve">
</t>
        </r>
      </text>
    </comment>
    <comment ref="E36" authorId="0">
      <text>
        <r>
          <rPr>
            <sz val="12"/>
            <rFont val="Tahoma"/>
            <family val="2"/>
          </rPr>
          <t>Use paper form T2042 for calculations.</t>
        </r>
      </text>
    </comment>
    <comment ref="E37" authorId="0">
      <text>
        <r>
          <rPr>
            <sz val="12"/>
            <rFont val="Tahoma"/>
            <family val="2"/>
          </rPr>
          <t>Use paper form T2121 for calculations.</t>
        </r>
      </text>
    </comment>
  </commentList>
</comments>
</file>

<file path=xl/comments8.xml><?xml version="1.0" encoding="utf-8"?>
<comments xmlns="http://schemas.openxmlformats.org/spreadsheetml/2006/main">
  <authors>
    <author>Egbert Verbrugge</author>
  </authors>
  <commentList>
    <comment ref="I77" authorId="0">
      <text>
        <r>
          <rPr>
            <b/>
            <sz val="10"/>
            <rFont val="Tahoma"/>
            <family val="2"/>
          </rPr>
          <t>DEFAULT FORMULA: 
THIS AMOUNT COMES FROM THE MISC SHEET</t>
        </r>
      </text>
    </comment>
    <comment ref="I160" authorId="0">
      <text>
        <r>
          <rPr>
            <b/>
            <sz val="12"/>
            <rFont val="Tahoma"/>
            <family val="2"/>
          </rPr>
          <t>This amount must be more than $2,984 
to claim</t>
        </r>
        <r>
          <rPr>
            <sz val="8"/>
            <rFont val="Tahoma"/>
            <family val="0"/>
          </rPr>
          <t xml:space="preserve">
</t>
        </r>
      </text>
    </comment>
  </commentList>
</comments>
</file>

<file path=xl/comments9.xml><?xml version="1.0" encoding="utf-8"?>
<comments xmlns="http://schemas.openxmlformats.org/spreadsheetml/2006/main">
  <authors>
    <author>Egbert Verbrugge</author>
  </authors>
  <commentList>
    <comment ref="G71" authorId="0">
      <text>
        <r>
          <rPr>
            <b/>
            <sz val="10"/>
            <rFont val="Tahoma"/>
            <family val="2"/>
          </rPr>
          <t>You must set the option for line 5848 to YES on the QUAL sheet for this amount to be transferred to line 5848</t>
        </r>
      </text>
    </comment>
  </commentList>
</comments>
</file>

<file path=xl/sharedStrings.xml><?xml version="1.0" encoding="utf-8"?>
<sst xmlns="http://schemas.openxmlformats.org/spreadsheetml/2006/main" count="4157" uniqueCount="2731">
  <si>
    <t xml:space="preserve">  Line 18 minus line 19 (if negative, enter "0")</t>
  </si>
  <si>
    <t>Add lines 20 and 21</t>
  </si>
  <si>
    <t>Add lines 1 through 17, and line 22</t>
  </si>
  <si>
    <t>Multiply line 23 by line 24</t>
  </si>
  <si>
    <t>Add lines 26 and 27</t>
  </si>
  <si>
    <t>Enter this amount on line 41</t>
  </si>
  <si>
    <t>Multiply line 33 by line 34</t>
  </si>
  <si>
    <t>Enter the amount from line 60 on the previous page</t>
  </si>
  <si>
    <t>Taxable amount of dividends other than eligible dividends,
included on line 120, from taxable Canadian corporations</t>
  </si>
  <si>
    <r>
      <t xml:space="preserve">Taxable amount of dividends (eligible and other than eligible) from taxable
Canadian corporations (see the guide and </t>
    </r>
    <r>
      <rPr>
        <b/>
        <sz val="12"/>
        <color indexed="8"/>
        <rFont val="Arial"/>
        <family val="2"/>
      </rPr>
      <t>attach</t>
    </r>
    <r>
      <rPr>
        <sz val="12"/>
        <color indexed="8"/>
        <rFont val="Arial"/>
        <family val="2"/>
      </rPr>
      <t xml:space="preserve"> Schedule 4)</t>
    </r>
  </si>
  <si>
    <r>
      <t xml:space="preserve">Net partnership income: limited on non-active partners only  </t>
    </r>
    <r>
      <rPr>
        <b/>
        <sz val="12"/>
        <color indexed="8"/>
        <rFont val="Arial"/>
        <family val="2"/>
      </rPr>
      <t>(attach</t>
    </r>
    <r>
      <rPr>
        <sz val="12"/>
        <color indexed="8"/>
        <rFont val="Arial"/>
        <family val="2"/>
      </rPr>
      <t xml:space="preserve"> Schedule 4)</t>
    </r>
  </si>
  <si>
    <t>Add lines 144, 145, and 146
 (see line 250 in the guide).</t>
  </si>
  <si>
    <t>Add lines 101, 104 to 143, and 147.</t>
  </si>
  <si>
    <r>
      <t xml:space="preserve">RRSP deduction (see Schedule 7 and </t>
    </r>
    <r>
      <rPr>
        <b/>
        <sz val="12"/>
        <color indexed="8"/>
        <rFont val="Arial"/>
        <family val="2"/>
      </rPr>
      <t>attach</t>
    </r>
    <r>
      <rPr>
        <sz val="12"/>
        <color indexed="8"/>
        <rFont val="Arial"/>
        <family val="2"/>
      </rPr>
      <t xml:space="preserve"> receipts)</t>
    </r>
  </si>
  <si>
    <t>T2222</t>
  </si>
  <si>
    <t>WHAT'S NEW</t>
  </si>
  <si>
    <t>T1229</t>
  </si>
  <si>
    <t>Privacy Act Personal Information Bank number CRA/P-PU-005</t>
  </si>
  <si>
    <r>
      <t>Balance owing</t>
    </r>
    <r>
      <rPr>
        <sz val="11"/>
        <color indexed="8"/>
        <rFont val="Arial"/>
        <family val="2"/>
      </rPr>
      <t xml:space="preserve"> (see line 485 in the guide)</t>
    </r>
  </si>
  <si>
    <t>Generally, we do not charge or refund a difference of $2 or less.</t>
  </si>
  <si>
    <r>
      <t>Direct deposit - Start or change</t>
    </r>
    <r>
      <rPr>
        <b/>
        <sz val="12"/>
        <color indexed="8"/>
        <rFont val="Arial"/>
        <family val="2"/>
      </rPr>
      <t xml:space="preserve"> (see line 484 in the guide)</t>
    </r>
  </si>
  <si>
    <r>
      <t>Notes:</t>
    </r>
    <r>
      <rPr>
        <sz val="12"/>
        <color indexed="8"/>
        <rFont val="Arial"/>
        <family val="2"/>
      </rPr>
      <t xml:space="preserve"> To deposit your </t>
    </r>
    <r>
      <rPr>
        <b/>
        <sz val="12"/>
        <color indexed="8"/>
        <rFont val="Arial"/>
        <family val="2"/>
      </rPr>
      <t>CCTB</t>
    </r>
    <r>
      <rPr>
        <sz val="12"/>
        <color indexed="8"/>
        <rFont val="Arial"/>
        <family val="2"/>
      </rPr>
      <t xml:space="preserve"> payments (including certain related provincial or</t>
    </r>
  </si>
  <si>
    <r>
      <t xml:space="preserve">territorial payments) into the </t>
    </r>
    <r>
      <rPr>
        <b/>
        <sz val="12"/>
        <color indexed="8"/>
        <rFont val="Arial"/>
        <family val="2"/>
      </rPr>
      <t>same</t>
    </r>
    <r>
      <rPr>
        <sz val="12"/>
        <color indexed="8"/>
        <rFont val="Arial"/>
        <family val="2"/>
      </rPr>
      <t xml:space="preserve"> account, also check box 463.</t>
    </r>
  </si>
  <si>
    <r>
      <t xml:space="preserve">To deposit your </t>
    </r>
    <r>
      <rPr>
        <b/>
        <sz val="12"/>
        <color indexed="8"/>
        <rFont val="Arial"/>
        <family val="2"/>
      </rPr>
      <t>UCCB</t>
    </r>
    <r>
      <rPr>
        <sz val="12"/>
        <color indexed="8"/>
        <rFont val="Arial"/>
        <family val="2"/>
      </rPr>
      <t xml:space="preserve"> payments into the </t>
    </r>
    <r>
      <rPr>
        <b/>
        <sz val="12"/>
        <color indexed="8"/>
        <rFont val="Arial"/>
        <family val="2"/>
      </rPr>
      <t>same</t>
    </r>
    <r>
      <rPr>
        <sz val="12"/>
        <color indexed="8"/>
        <rFont val="Arial"/>
        <family val="2"/>
      </rPr>
      <t xml:space="preserve"> account, also check box 491.</t>
    </r>
  </si>
  <si>
    <t>UCCB</t>
  </si>
  <si>
    <t>Note: If the amount on line 1 is less than the amount on line 2, enter the amount from line 1 on line 340 below and continue</t>
  </si>
  <si>
    <t xml:space="preserve">  Do not use</t>
  </si>
  <si>
    <t xml:space="preserve">   this area</t>
  </si>
  <si>
    <t>Add lines 7 and 8</t>
  </si>
  <si>
    <t>Universal Child Care Benefit repayment (line 213 of your return)</t>
  </si>
  <si>
    <t>Line 12 minus line13 (if negative, enter  "0")</t>
  </si>
  <si>
    <t>Multiply the amount on line 14 by 15%</t>
  </si>
  <si>
    <r>
      <t xml:space="preserve">Enter the amount from line 5 or line 15, whichever is </t>
    </r>
    <r>
      <rPr>
        <b/>
        <sz val="14"/>
        <color indexed="8"/>
        <rFont val="Arial"/>
        <family val="2"/>
      </rPr>
      <t>less</t>
    </r>
  </si>
  <si>
    <t>Add lines 16 and 17.  Enter this amount on lines 235 and 422 of your  return.</t>
  </si>
  <si>
    <r>
      <t>Amount for an eligible dependent (</t>
    </r>
    <r>
      <rPr>
        <b/>
        <sz val="12"/>
        <color indexed="8"/>
        <rFont val="Arial"/>
        <family val="2"/>
      </rPr>
      <t>attach</t>
    </r>
    <r>
      <rPr>
        <sz val="12"/>
        <color indexed="8"/>
        <rFont val="Arial"/>
        <family val="2"/>
      </rPr>
      <t xml:space="preserve"> Schedule 5)  (if negative, enter "0")</t>
    </r>
  </si>
  <si>
    <t>his or her net income)</t>
  </si>
  <si>
    <r>
      <t>REVISED</t>
    </r>
    <r>
      <rPr>
        <b/>
        <sz val="18"/>
        <color indexed="48"/>
        <rFont val="Arial"/>
        <family val="2"/>
      </rPr>
      <t xml:space="preserve"> </t>
    </r>
    <r>
      <rPr>
        <b/>
        <sz val="18"/>
        <color indexed="57"/>
        <rFont val="Arial"/>
        <family val="2"/>
      </rPr>
      <t>Schedule 1</t>
    </r>
  </si>
  <si>
    <r>
      <t>$9,600</t>
    </r>
    <r>
      <rPr>
        <sz val="12"/>
        <color indexed="8"/>
        <rFont val="Arial"/>
        <family val="2"/>
      </rPr>
      <t xml:space="preserve"> minus (</t>
    </r>
  </si>
  <si>
    <t>Employee home relocation loan deduction (box 37 on all T4 Slips)</t>
  </si>
  <si>
    <t>territorial tax on Form 428</t>
  </si>
  <si>
    <t>Use your taxable income to calculate your federal tax on Schedule 1 and your provincial or</t>
  </si>
  <si>
    <r>
      <t xml:space="preserve">MyTAX does </t>
    </r>
    <r>
      <rPr>
        <b/>
        <sz val="14"/>
        <color indexed="8"/>
        <rFont val="Arial"/>
        <family val="2"/>
      </rPr>
      <t>NOT</t>
    </r>
    <r>
      <rPr>
        <sz val="14"/>
        <color indexed="8"/>
        <rFont val="Arial"/>
        <family val="2"/>
      </rPr>
      <t xml:space="preserve"> allow you to enter T4A data directly to other sheets and forms and schedules</t>
    </r>
  </si>
  <si>
    <t>where they are needed.  If you have more than one T4RIF slip, then enter the amounts from each T4RIF.</t>
  </si>
  <si>
    <t>The total 23958.89 will show in the box.  The cell status line will still show the individual amounts in the formula you entered.</t>
  </si>
  <si>
    <t>Field #</t>
  </si>
  <si>
    <t>5920</t>
  </si>
  <si>
    <t>235</t>
  </si>
  <si>
    <t>422</t>
  </si>
  <si>
    <t>Allowable charitable donations and government gifts</t>
  </si>
  <si>
    <t xml:space="preserve">Add lines 340 and 342 </t>
  </si>
  <si>
    <t>Your guide contains valuable information to help you complete your return.</t>
  </si>
  <si>
    <t>complete. Then, enter the amount</t>
  </si>
  <si>
    <t>British Columbia overseas employment tax credit:</t>
  </si>
  <si>
    <t>British Columbia minimum tax carry-over;</t>
  </si>
  <si>
    <t>British Columbia political contribution tax credit</t>
  </si>
  <si>
    <t>(maximum $500)</t>
  </si>
  <si>
    <r>
      <t xml:space="preserve">Only the student </t>
    </r>
    <r>
      <rPr>
        <sz val="12"/>
        <color indexed="8"/>
        <rFont val="Arial"/>
        <family val="2"/>
      </rPr>
      <t>must</t>
    </r>
    <r>
      <rPr>
        <b/>
        <sz val="12"/>
        <color indexed="8"/>
        <rFont val="Arial"/>
        <family val="2"/>
      </rPr>
      <t xml:space="preserve"> c</t>
    </r>
    <r>
      <rPr>
        <sz val="12"/>
        <color indexed="8"/>
        <rFont val="Arial"/>
        <family val="2"/>
      </rPr>
      <t>omplete this schedule.  Use it to:</t>
    </r>
  </si>
  <si>
    <r>
      <t>Notice of Assessment</t>
    </r>
    <r>
      <rPr>
        <sz val="12"/>
        <rFont val="Arial MT"/>
        <family val="0"/>
      </rPr>
      <t xml:space="preserve"> or </t>
    </r>
    <r>
      <rPr>
        <i/>
        <sz val="12"/>
        <rFont val="Arial MT"/>
        <family val="0"/>
      </rPr>
      <t>Notice of Reassessment.</t>
    </r>
  </si>
  <si>
    <r>
      <t xml:space="preserve">20. Line 18 </t>
    </r>
    <r>
      <rPr>
        <b/>
        <sz val="9"/>
        <color indexed="8"/>
        <rFont val="Arial"/>
        <family val="2"/>
      </rPr>
      <t>minus</t>
    </r>
    <r>
      <rPr>
        <sz val="9"/>
        <color indexed="8"/>
        <rFont val="Arial"/>
        <family val="2"/>
      </rPr>
      <t xml:space="preserve"> line 19. If you were 65 or older at the end of the year you indicted in the title, report this income on line 115 of</t>
    </r>
  </si>
  <si>
    <t>Step 3 - British Columbia tax</t>
  </si>
  <si>
    <t>Base amount</t>
  </si>
  <si>
    <t>Line 2 minus line 3</t>
  </si>
  <si>
    <t>Do not</t>
  </si>
  <si>
    <t>use this area</t>
  </si>
  <si>
    <t>7</t>
  </si>
  <si>
    <t>Report code</t>
  </si>
  <si>
    <t>144,250</t>
  </si>
  <si>
    <t>145,250</t>
  </si>
  <si>
    <t>145</t>
  </si>
  <si>
    <t>TAKE IT FROM APPROPRIATE MISC CELL.</t>
  </si>
  <si>
    <t>THIS SUMMARY DATA IS PICKED UP</t>
  </si>
  <si>
    <t>BY THE MISC SHEET.</t>
  </si>
  <si>
    <t>completing the schedule from line 340.</t>
  </si>
  <si>
    <r>
      <t xml:space="preserve">(from Chart 1 in Pamphlet P113 </t>
    </r>
    <r>
      <rPr>
        <i/>
        <sz val="12"/>
        <color indexed="8"/>
        <rFont val="Arial"/>
        <family val="2"/>
      </rPr>
      <t>Gifts and Income Tax</t>
    </r>
    <r>
      <rPr>
        <sz val="12"/>
        <color indexed="8"/>
        <rFont val="Arial"/>
        <family val="2"/>
      </rPr>
      <t>)</t>
    </r>
  </si>
  <si>
    <t>even if you did not pay child care expenses for all of them.</t>
  </si>
  <si>
    <t xml:space="preserve"> or overnight camps</t>
  </si>
  <si>
    <t>boarding schools</t>
  </si>
  <si>
    <t xml:space="preserve">     been confined for a period of at least two weeks to a bed or wheelchair, or as a patient in a hospital, or other similar</t>
  </si>
  <si>
    <t xml:space="preserve">     institution. Attach a statement from the attending physician certifying this information.</t>
  </si>
  <si>
    <t>d) The other person was not capable of caring for children because of a mental or physical infirmity. This situation is likely</t>
  </si>
  <si>
    <t xml:space="preserve">     to continue for an indefinite period. Attach a statement from the attending physician certifying this information.</t>
  </si>
  <si>
    <t>section "Are you enrolled in an education program?" on the attached information sheet.</t>
  </si>
  <si>
    <r>
      <t>full-time</t>
    </r>
    <r>
      <rPr>
        <sz val="12"/>
        <rFont val="Arial MT"/>
        <family val="0"/>
      </rPr>
      <t xml:space="preserve"> education program.  If there was </t>
    </r>
    <r>
      <rPr>
        <b/>
        <sz val="12"/>
        <rFont val="Arial MT"/>
        <family val="0"/>
      </rPr>
      <t>another person</t>
    </r>
    <r>
      <rPr>
        <sz val="12"/>
        <rFont val="Arial MT"/>
        <family val="0"/>
      </rPr>
      <t xml:space="preserve"> (as described in the section "Who can</t>
    </r>
  </si>
  <si>
    <r>
      <t xml:space="preserve">there was no </t>
    </r>
    <r>
      <rPr>
        <b/>
        <sz val="12"/>
        <rFont val="Arial MT"/>
        <family val="0"/>
      </rPr>
      <t>other person</t>
    </r>
    <r>
      <rPr>
        <sz val="12"/>
        <rFont val="Arial MT"/>
        <family val="0"/>
      </rPr>
      <t xml:space="preserve"> (as described in the section "Who can claim child care expenses?")</t>
    </r>
  </si>
  <si>
    <r>
      <t>1.</t>
    </r>
    <r>
      <rPr>
        <sz val="14"/>
        <color indexed="8"/>
        <rFont val="Arial"/>
        <family val="2"/>
      </rPr>
      <t xml:space="preserve">  Forms and Schedules are available by scrolling the tab bar on the lower part of the screen </t>
    </r>
  </si>
  <si>
    <t>Maximum transferable</t>
  </si>
  <si>
    <t>Multiply the amount on line 4 by 15%</t>
  </si>
  <si>
    <t>NS479</t>
  </si>
  <si>
    <t>Canada Pension Plan or Quebec Pension Plan contributions:</t>
  </si>
  <si>
    <t>T2205</t>
  </si>
  <si>
    <t>T3012A</t>
  </si>
  <si>
    <t>Interest paid on your student loans</t>
  </si>
  <si>
    <r>
      <t>Otherwise</t>
    </r>
    <r>
      <rPr>
        <sz val="12"/>
        <color indexed="8"/>
        <rFont val="Arial"/>
        <family val="2"/>
      </rPr>
      <t>, enter the amount from line 16 on line 21.</t>
    </r>
  </si>
  <si>
    <t>Note:  If you have a spouse or common-law partner, special rules may apply; see line 5856 in the forms book.</t>
  </si>
  <si>
    <t>THE T1 &amp; SCH LINES THAT NEED THE DATA</t>
  </si>
  <si>
    <t>Data
T4PS #5</t>
  </si>
  <si>
    <t xml:space="preserve"> For example, if you have the following amounts in three box 35's:  21500.00, 1467.33, 991.56, </t>
  </si>
  <si>
    <t>If you have more than five T4RIF forms, you can add the data from the extra ones as a sum rather than a single #.</t>
  </si>
  <si>
    <t>Data
T4RIF #1</t>
  </si>
  <si>
    <r>
      <t xml:space="preserve">common-law partner: </t>
    </r>
    <r>
      <rPr>
        <sz val="14"/>
        <color indexed="8"/>
        <rFont val="Arial"/>
        <family val="2"/>
      </rPr>
      <t>(Yes or No)</t>
    </r>
  </si>
  <si>
    <r>
      <t xml:space="preserve">Only the student </t>
    </r>
    <r>
      <rPr>
        <sz val="13"/>
        <color indexed="8"/>
        <rFont val="Arial"/>
        <family val="2"/>
      </rPr>
      <t xml:space="preserve">can complete this federal schedule and </t>
    </r>
    <r>
      <rPr>
        <b/>
        <sz val="13"/>
        <color indexed="8"/>
        <rFont val="Arial"/>
        <family val="2"/>
      </rPr>
      <t>attach</t>
    </r>
    <r>
      <rPr>
        <sz val="13"/>
        <color indexed="8"/>
        <rFont val="Arial"/>
        <family val="2"/>
      </rPr>
      <t xml:space="preserve"> it to his or her return.  Use it to:</t>
    </r>
  </si>
  <si>
    <r>
      <t xml:space="preserve"> </t>
    </r>
    <r>
      <rPr>
        <sz val="13"/>
        <color indexed="8"/>
        <rFont val="Arial"/>
        <family val="0"/>
      </rPr>
      <t>●</t>
    </r>
    <r>
      <rPr>
        <sz val="13"/>
        <color indexed="8"/>
        <rFont val="Arial"/>
        <family val="2"/>
      </rPr>
      <t xml:space="preserve"> calculate your tuition, education, and textbook amounts;</t>
    </r>
  </si>
  <si>
    <r>
      <t xml:space="preserve"> </t>
    </r>
    <r>
      <rPr>
        <sz val="13"/>
        <color indexed="8"/>
        <rFont val="Arial"/>
        <family val="0"/>
      </rPr>
      <t>●</t>
    </r>
    <r>
      <rPr>
        <sz val="13"/>
        <color indexed="8"/>
        <rFont val="Arial"/>
        <family val="2"/>
      </rPr>
      <t xml:space="preserve"> determine the amount available to transfer to a designated individual; and</t>
    </r>
  </si>
  <si>
    <r>
      <t xml:space="preserve"> </t>
    </r>
    <r>
      <rPr>
        <sz val="13"/>
        <color indexed="8"/>
        <rFont val="Arial"/>
        <family val="0"/>
      </rPr>
      <t>●</t>
    </r>
    <r>
      <rPr>
        <sz val="13"/>
        <color indexed="8"/>
        <rFont val="Arial"/>
        <family val="2"/>
      </rPr>
      <t xml:space="preserve"> determine the unused amount, if any, available for you to carry forward to a future year.</t>
    </r>
  </si>
  <si>
    <t>Only one claim per month (maximum 12 months)</t>
  </si>
  <si>
    <r>
      <t>Calculating your part-time amount:</t>
    </r>
    <r>
      <rPr>
        <sz val="13"/>
        <color indexed="8"/>
        <rFont val="Arial"/>
        <family val="2"/>
      </rPr>
      <t xml:space="preserve"> use column B of Forms T2202, T2202A, TL11A,</t>
    </r>
  </si>
  <si>
    <t>Education amount:</t>
  </si>
  <si>
    <t>Textbook amount:</t>
  </si>
  <si>
    <t>X  $20</t>
  </si>
  <si>
    <t>Line 3 plus line 4</t>
  </si>
  <si>
    <t>and TL11C.</t>
  </si>
  <si>
    <r>
      <t>Calculating your full-time amount:</t>
    </r>
    <r>
      <rPr>
        <sz val="13"/>
        <color indexed="8"/>
        <rFont val="Arial"/>
        <family val="2"/>
      </rPr>
      <t xml:space="preserve"> use column C of Forms T2202, T2202A, TL11A,</t>
    </r>
  </si>
  <si>
    <t xml:space="preserve">number of months from column C </t>
  </si>
  <si>
    <t xml:space="preserve">number of months from column B </t>
  </si>
  <si>
    <r>
      <t xml:space="preserve">number of months from column </t>
    </r>
    <r>
      <rPr>
        <b/>
        <sz val="13"/>
        <color indexed="8"/>
        <rFont val="Arial"/>
        <family val="2"/>
      </rPr>
      <t>B</t>
    </r>
    <r>
      <rPr>
        <sz val="13"/>
        <color indexed="8"/>
        <rFont val="Arial"/>
        <family val="2"/>
      </rPr>
      <t xml:space="preserve"> </t>
    </r>
  </si>
  <si>
    <t>X  $65</t>
  </si>
  <si>
    <t xml:space="preserve">Total available tuition, education, and textbook amounts:  add lines 1 and 9. </t>
  </si>
  <si>
    <t>Line11 minus line 12 (if negative, enter "0")</t>
  </si>
  <si>
    <r>
      <t xml:space="preserve">Amount from line 1 or line 13, whichever is </t>
    </r>
    <r>
      <rPr>
        <b/>
        <sz val="13"/>
        <color indexed="8"/>
        <rFont val="Arial"/>
        <family val="2"/>
      </rPr>
      <t>less</t>
    </r>
    <r>
      <rPr>
        <sz val="13"/>
        <color indexed="8"/>
        <rFont val="Arial"/>
        <family val="2"/>
      </rPr>
      <t xml:space="preserve"> </t>
    </r>
  </si>
  <si>
    <r>
      <t xml:space="preserve">Amount from line 9 or line 15, whichever is </t>
    </r>
    <r>
      <rPr>
        <b/>
        <sz val="13"/>
        <color indexed="8"/>
        <rFont val="Arial"/>
        <family val="2"/>
      </rPr>
      <t>less</t>
    </r>
    <r>
      <rPr>
        <sz val="13"/>
        <color indexed="8"/>
        <rFont val="Arial"/>
        <family val="2"/>
      </rPr>
      <t xml:space="preserve"> </t>
    </r>
  </si>
  <si>
    <r>
      <t xml:space="preserve">and TL11C.  </t>
    </r>
    <r>
      <rPr>
        <b/>
        <sz val="13"/>
        <color indexed="8"/>
        <rFont val="Arial"/>
        <family val="2"/>
      </rPr>
      <t>Do not include any month that is also included in column C.</t>
    </r>
  </si>
  <si>
    <t>Line 13 minus line 14</t>
  </si>
  <si>
    <t>Deduction for CPP or QPP contributions on self-employment and other earnings</t>
  </si>
  <si>
    <t>Other employment expenses</t>
  </si>
  <si>
    <t>Sheet
Name</t>
  </si>
  <si>
    <r>
      <t xml:space="preserve">The </t>
    </r>
    <r>
      <rPr>
        <b/>
        <sz val="12"/>
        <rFont val="Arial MT"/>
        <family val="0"/>
      </rPr>
      <t>User Data</t>
    </r>
    <r>
      <rPr>
        <sz val="12"/>
        <rFont val="Arial MT"/>
        <family val="0"/>
      </rPr>
      <t xml:space="preserve"> field has a status of YES when the sheet has received data</t>
    </r>
  </si>
  <si>
    <t>Line 315 - Caregiver amount</t>
  </si>
  <si>
    <t xml:space="preserve">    </t>
  </si>
  <si>
    <t>We welcome your suggestions on ways to improve MyTAX.</t>
  </si>
  <si>
    <t xml:space="preserve">     </t>
  </si>
  <si>
    <t>MyTAX does NOT allow you to enter T3 data directly to other sheets and forms and schedules</t>
  </si>
  <si>
    <r>
      <t>Transfers</t>
    </r>
    <r>
      <rPr>
        <sz val="12"/>
        <color indexed="8"/>
        <rFont val="Arial"/>
        <family val="2"/>
      </rPr>
      <t xml:space="preserve"> (see "Line 11 -Transfers" at line 208 in the guide)</t>
    </r>
  </si>
  <si>
    <t>PART D - RRSP unused contributions available to carry forward</t>
  </si>
  <si>
    <t xml:space="preserve">Check this box if you want to designate your spouse or common-law partner as the </t>
  </si>
  <si>
    <t>If you have more than five T5 forms, you can add the data from the extra ones as a sum rather than a single #.</t>
  </si>
  <si>
    <t>Data
T5 #1</t>
  </si>
  <si>
    <t>S2</t>
  </si>
  <si>
    <t>S11</t>
  </si>
  <si>
    <t>S479</t>
  </si>
  <si>
    <t xml:space="preserve">Total amount forfeited </t>
  </si>
  <si>
    <t>due to withdrawal from plan</t>
  </si>
  <si>
    <r>
      <t xml:space="preserve">Capital gains or losses            </t>
    </r>
    <r>
      <rPr>
        <sz val="14"/>
        <color indexed="8"/>
        <rFont val="Arial"/>
        <family val="2"/>
      </rPr>
      <t xml:space="preserve"> Sch3</t>
    </r>
  </si>
  <si>
    <t>that sheet applies to your situation.  Then you have to fill out the remainder of Schedule 7</t>
  </si>
  <si>
    <r>
      <t>b) RRSP contribution data:</t>
    </r>
    <r>
      <rPr>
        <sz val="14"/>
        <color indexed="8"/>
        <rFont val="Arial"/>
        <family val="2"/>
      </rPr>
      <t xml:space="preserve">      First white cell at the top of Schedule 7 unless one of the conditions at the top of </t>
    </r>
  </si>
  <si>
    <t>Data
T3 #4</t>
  </si>
  <si>
    <t>At some time as you enter the data for the person, do a SAVE AS  to a file named after the person.</t>
  </si>
  <si>
    <t>From Box 20 for T1 GEN-3</t>
  </si>
  <si>
    <t>From Box 16 for FED WRK</t>
  </si>
  <si>
    <t>Amount from box 15 if the</t>
  </si>
  <si>
    <t>Multiply the amount on line 3 by 30%</t>
  </si>
  <si>
    <t>from box 30 (if negative, enter "0")</t>
  </si>
  <si>
    <t>Amount from box 15 minus the amount</t>
  </si>
  <si>
    <t>repayment rate in box 7 is 30%</t>
  </si>
  <si>
    <t>Maximum supplement</t>
  </si>
  <si>
    <t>Data
T5007 #1</t>
  </si>
  <si>
    <t>Data
T5007 #2</t>
  </si>
  <si>
    <t>Data
T5007 #3</t>
  </si>
  <si>
    <t>you would position the cursor to one of the data entry boxes for line 101 below, and then key in</t>
  </si>
  <si>
    <t>135</t>
  </si>
  <si>
    <t>146</t>
  </si>
  <si>
    <t>173</t>
  </si>
  <si>
    <t>176</t>
  </si>
  <si>
    <t>229</t>
  </si>
  <si>
    <t>232</t>
  </si>
  <si>
    <t>250</t>
  </si>
  <si>
    <t>Sch3</t>
  </si>
  <si>
    <t>425</t>
  </si>
  <si>
    <t>431</t>
  </si>
  <si>
    <t>433</t>
  </si>
  <si>
    <t>456</t>
  </si>
  <si>
    <t>107</t>
  </si>
  <si>
    <t>of claim</t>
  </si>
  <si>
    <t>Result: (a-b-c) or 0 if negative, +d</t>
  </si>
  <si>
    <t>Net Income</t>
  </si>
  <si>
    <t>5880</t>
  </si>
  <si>
    <t>Welcome to the data entry interface for your T5007 slips.</t>
  </si>
  <si>
    <t>MyTAX does NOT allow you to enter T5007 data directly to other sheets and forms and schedules</t>
  </si>
  <si>
    <t xml:space="preserve">Amounts transferred from your spouse or common-law partner: </t>
  </si>
  <si>
    <t>Attach a separate sheet of paper if you need more space.  Attach a copy of this schedule to your return.</t>
  </si>
  <si>
    <t>Line 5872 - Allowable amount of medical expenses for other dependants</t>
  </si>
  <si>
    <t>Medical expenses for other dependant</t>
  </si>
  <si>
    <t>Canada Revenue</t>
  </si>
  <si>
    <t>Agency</t>
  </si>
  <si>
    <t>Agence du revenu</t>
  </si>
  <si>
    <t>du Canada</t>
  </si>
  <si>
    <t>Complete all the sections that apply to you in order to benefit from amounts to which you are entitled</t>
  </si>
  <si>
    <t>Enter the amount of Universal Child Care Benefit included in his or</t>
  </si>
  <si>
    <t>her net income above (see the guide for details):</t>
  </si>
  <si>
    <t>address of the home you purchased under the HBP</t>
  </si>
  <si>
    <t>X 50%</t>
  </si>
  <si>
    <t>Data
T3 #5</t>
  </si>
  <si>
    <t>STATEMENT OF OLD AGE SECURITY</t>
  </si>
  <si>
    <t>Welcome to the data entry interface for your T4E slips.</t>
  </si>
  <si>
    <t>MyTAX does NOT allow you to enter T4E data directly to other sheets and forms and schedules</t>
  </si>
  <si>
    <t>Multiply the amount on line 197 by 50%.  Enter the total taxable capital gains on line 127 of your return.</t>
  </si>
  <si>
    <t>you would position the cursor the data entry line 104 below, and then key in</t>
  </si>
  <si>
    <t>Welcome to the data entry interface for your T4RSP slips.</t>
  </si>
  <si>
    <t>Attach your personal label here.  Correct any wrong information.</t>
  </si>
  <si>
    <t>Protected against change</t>
  </si>
  <si>
    <t>for whom the disability amount cannot be claimed</t>
  </si>
  <si>
    <r>
      <t xml:space="preserve">Born in </t>
    </r>
  </si>
  <si>
    <t>314-Line 2</t>
  </si>
  <si>
    <t>CPT20</t>
  </si>
  <si>
    <t>Provincial 428</t>
  </si>
  <si>
    <t>T2204</t>
  </si>
  <si>
    <t xml:space="preserve">        </t>
  </si>
  <si>
    <t>Actual amount of dividends</t>
  </si>
  <si>
    <t>Taxable amount of dividends</t>
  </si>
  <si>
    <t>Federal dividend tax credit</t>
  </si>
  <si>
    <t>Line 5848 - Disability amount transferred from a dependant</t>
  </si>
  <si>
    <t>MyTAX does NOT allow you to enter T4RSP data directly to other sheets and forms and schedules</t>
  </si>
  <si>
    <t>Business investment loss</t>
  </si>
  <si>
    <t>Moving expenses</t>
  </si>
  <si>
    <t>Support payments made                                                Total</t>
  </si>
  <si>
    <t xml:space="preserve">      </t>
  </si>
  <si>
    <t>Employment commissions</t>
  </si>
  <si>
    <t>you would position the cursor to one of the data entry boxes for item 14 below, and then key in</t>
  </si>
  <si>
    <t>Enter your province or territory of</t>
  </si>
  <si>
    <t xml:space="preserve">Line 344 minus line 345 </t>
  </si>
  <si>
    <t>X 29% =</t>
  </si>
  <si>
    <t xml:space="preserve">Donations and gifts: </t>
  </si>
  <si>
    <t xml:space="preserve"> Add lines 7 and 8</t>
  </si>
  <si>
    <t xml:space="preserve"> 5000-S9</t>
  </si>
  <si>
    <t>461</t>
  </si>
  <si>
    <t>460</t>
  </si>
  <si>
    <t>If your spouse or common-law partner's net income is $30,132 or less, enter $4,048.</t>
  </si>
  <si>
    <t>Enter the total of lines 5804, 5824, 5828, 5832, 5833, and 5856 of</t>
  </si>
  <si>
    <t>your spouse or common-law partner's Form BC428</t>
  </si>
  <si>
    <t>(maximum $1000)</t>
  </si>
  <si>
    <t>(column 2 minus</t>
  </si>
  <si>
    <t>Including a copy of your MyTAX workbook as an attachment to your email is very helpful in our support work.</t>
  </si>
  <si>
    <t>somewhere else.  For income data, many of the common "T" input sheets are included in MyTAX.</t>
  </si>
  <si>
    <r>
      <t>Q1</t>
    </r>
    <r>
      <rPr>
        <sz val="14"/>
        <color indexed="8"/>
        <rFont val="Arial"/>
        <family val="2"/>
      </rPr>
      <t>.  I am trying to enter data into a cell but it is protected and I am getting an error message.</t>
    </r>
  </si>
  <si>
    <t xml:space="preserve">Refundable Quebec abatement </t>
  </si>
  <si>
    <t>Non-refundable tax credit rate</t>
  </si>
  <si>
    <t>Donations and gifts:</t>
  </si>
  <si>
    <t>Data
T5 #5</t>
  </si>
  <si>
    <t>Feel free to email us with your question(s) on where to put other data items.</t>
  </si>
  <si>
    <t>left or right, followed by clicking on the tab of the sheet desired.</t>
  </si>
  <si>
    <t>Quick Start Instructions</t>
  </si>
  <si>
    <t>(Form T1212)</t>
  </si>
  <si>
    <t>IV -</t>
  </si>
  <si>
    <t>Labour-sponsored funds tax credit</t>
  </si>
  <si>
    <t>Data is used only if you select the YES option on line 5820 of the QUAL spreadsheet</t>
  </si>
  <si>
    <t>Note:  For this amount to be transferred to line 306</t>
  </si>
  <si>
    <t xml:space="preserve">Other income from Canadian </t>
  </si>
  <si>
    <t>Rate</t>
  </si>
  <si>
    <t>If you find MyTAX useful, I request a voluntary donation of $10. for making MyTAX available.</t>
  </si>
  <si>
    <t xml:space="preserve">Why?    Your friends will thank you.  </t>
  </si>
  <si>
    <t>© Peel Technologies</t>
  </si>
  <si>
    <t>PE</t>
  </si>
  <si>
    <t>PE479</t>
  </si>
  <si>
    <t>If, at the end of the year, your spouse or common-law partner was not a resident of British Columbia, special rules may apply.</t>
  </si>
  <si>
    <t>Enter the provincial amount designated in your name on his or her Form T2202, T2202A, TL11A, orTL11C</t>
  </si>
  <si>
    <t>(see line 349 in the guide)</t>
  </si>
  <si>
    <t>Amount from line 484 above</t>
  </si>
  <si>
    <t>WRK</t>
  </si>
  <si>
    <r>
      <t xml:space="preserve">a)  The other person attended school and was enrolled in a </t>
    </r>
    <r>
      <rPr>
        <b/>
        <sz val="12"/>
        <rFont val="Arial MT"/>
        <family val="0"/>
      </rPr>
      <t>part-time</t>
    </r>
    <r>
      <rPr>
        <sz val="12"/>
        <rFont val="Arial MT"/>
        <family val="0"/>
      </rPr>
      <t xml:space="preserve"> educational program as defined in the section called "Are</t>
    </r>
  </si>
  <si>
    <r>
      <t xml:space="preserve">b) The other person attended school and was enrolled in a </t>
    </r>
    <r>
      <rPr>
        <b/>
        <sz val="12"/>
        <rFont val="Arial MT"/>
        <family val="0"/>
      </rPr>
      <t>full-time</t>
    </r>
    <r>
      <rPr>
        <sz val="12"/>
        <rFont val="Arial MT"/>
        <family val="0"/>
      </rPr>
      <t xml:space="preserve"> educational program as defined in the section called "Are</t>
    </r>
  </si>
  <si>
    <t>e) The other person was confined to a prison or similar institution for a period of at least two weeks.</t>
  </si>
  <si>
    <t xml:space="preserve">Add lines 11 and 12 </t>
  </si>
  <si>
    <t xml:space="preserve">   Learning Plan (LLP).</t>
  </si>
  <si>
    <t>(If nonzero, this amount will be posted to line 208)</t>
  </si>
  <si>
    <t>See line 208 in the guide for more information.</t>
  </si>
  <si>
    <r>
      <t>claim on lines 305, 306, or 315, complete the applicable chart on the</t>
    </r>
    <r>
      <rPr>
        <i/>
        <sz val="12"/>
        <color indexed="8"/>
        <rFont val="Arial"/>
        <family val="2"/>
      </rPr>
      <t xml:space="preserve"> Federal Worksheet</t>
    </r>
    <r>
      <rPr>
        <sz val="12"/>
        <color indexed="8"/>
        <rFont val="Arial"/>
        <family val="2"/>
      </rPr>
      <t xml:space="preserve"> which you will find in the forms book.</t>
    </r>
  </si>
  <si>
    <t>mm-dd</t>
  </si>
  <si>
    <t>5872</t>
  </si>
  <si>
    <t>5876</t>
  </si>
  <si>
    <r>
      <t>REVISED</t>
    </r>
    <r>
      <rPr>
        <b/>
        <sz val="16"/>
        <color indexed="57"/>
        <rFont val="Arial MT"/>
        <family val="0"/>
      </rPr>
      <t xml:space="preserve"> Schedule 6</t>
    </r>
  </si>
  <si>
    <t>If you were single and did not have an eligible dependant, enter $785.</t>
  </si>
  <si>
    <t>If you had an eligible spouse or an eligible dependant, enter $1,395.</t>
  </si>
  <si>
    <t>If you had an eligible spouse or an eligible dependant, enter $13,000.</t>
  </si>
  <si>
    <r>
      <t xml:space="preserve">Enter the amount from line 33 or $340, whichever is </t>
    </r>
    <r>
      <rPr>
        <b/>
        <sz val="12"/>
        <rFont val="Arial MT"/>
        <family val="0"/>
      </rPr>
      <t>less.</t>
    </r>
  </si>
  <si>
    <t>If you were single and did not have an eligible dependant, enter $14,118..</t>
  </si>
  <si>
    <t>If you had an eligible spouse or an eligible dependant, enter $21,206.</t>
  </si>
  <si>
    <r>
      <t>Note:</t>
    </r>
    <r>
      <rPr>
        <sz val="12"/>
        <rFont val="Arial MT"/>
        <family val="0"/>
      </rPr>
      <t xml:space="preserve"> If you had an eligible spouse and he or she also qualifies for the disability amount, the rate at line 38 is 8.5%. In all other</t>
    </r>
  </si>
  <si>
    <t xml:space="preserve">          situations, the rate is 17%.</t>
  </si>
  <si>
    <t>5010-S6</t>
  </si>
  <si>
    <t>British Columbia</t>
  </si>
  <si>
    <t>British Columbia employee investment tax credits</t>
  </si>
  <si>
    <t>Plain white fields are for user entered data.  You can override the default values/formulae</t>
  </si>
  <si>
    <t>Part1,4</t>
  </si>
  <si>
    <t>1           No</t>
  </si>
  <si>
    <t xml:space="preserve">Yes  </t>
  </si>
  <si>
    <t>(read the "Foreign income" section in the guide for details) . . .. . . . . . . . . . . . . . . . . . . . . . . . .</t>
  </si>
  <si>
    <r>
      <t xml:space="preserve">Enter your </t>
    </r>
    <r>
      <rPr>
        <b/>
        <sz val="12"/>
        <color indexed="8"/>
        <rFont val="Arial"/>
        <family val="2"/>
      </rPr>
      <t>total income</t>
    </r>
    <r>
      <rPr>
        <sz val="12"/>
        <color indexed="8"/>
        <rFont val="Arial"/>
        <family val="2"/>
      </rPr>
      <t xml:space="preserve"> from line 150</t>
    </r>
  </si>
  <si>
    <t>Clergy residence deduction</t>
  </si>
  <si>
    <t xml:space="preserve">Add lines 207 to 224, 229, 231 and 232.   </t>
  </si>
  <si>
    <r>
      <t>●</t>
    </r>
    <r>
      <rPr>
        <b/>
        <sz val="12"/>
        <color indexed="8"/>
        <rFont val="Arial"/>
        <family val="2"/>
      </rPr>
      <t>65</t>
    </r>
  </si>
  <si>
    <r>
      <t>●</t>
    </r>
    <r>
      <rPr>
        <b/>
        <sz val="12"/>
        <color indexed="8"/>
        <rFont val="Arial"/>
        <family val="2"/>
      </rPr>
      <t>39</t>
    </r>
  </si>
  <si>
    <t>The updater utility can be downloaded from our website.  By running it you will ensure that your copy of MyTAX</t>
  </si>
  <si>
    <t>Add lines 46 and 47</t>
  </si>
  <si>
    <t>common-law partner</t>
  </si>
  <si>
    <t>(if you checked box 1 or 2 above)</t>
  </si>
  <si>
    <t>STATEMENT OF TRUST INCOME ALLOCATIONS AND DESIGNATIONS</t>
  </si>
  <si>
    <t>Welcome to the data entry interface for your T3 slips.</t>
  </si>
  <si>
    <t>If you have more than one data slip, then enter the amounts from each information slip into one set of columns.</t>
  </si>
  <si>
    <t>Cell Background Colour</t>
  </si>
  <si>
    <t>Provincial sheets background colour</t>
  </si>
  <si>
    <t>The tab key will move you to the next cell that can accept user data.</t>
  </si>
  <si>
    <t>T2124</t>
  </si>
  <si>
    <t>MISCELLANEOUS INCOME DATA ENTRY AND COLLECTOR</t>
  </si>
  <si>
    <r>
      <t xml:space="preserve">Line 1 minus line 2; if it is more than $4,019, </t>
    </r>
    <r>
      <rPr>
        <b/>
        <sz val="14"/>
        <color indexed="8"/>
        <rFont val="Arial"/>
        <family val="2"/>
      </rPr>
      <t>enter</t>
    </r>
    <r>
      <rPr>
        <sz val="14"/>
        <color indexed="8"/>
        <rFont val="Arial"/>
        <family val="2"/>
      </rPr>
      <t xml:space="preserve"> </t>
    </r>
    <r>
      <rPr>
        <b/>
        <sz val="14"/>
        <color indexed="8"/>
        <rFont val="Arial"/>
        <family val="2"/>
      </rPr>
      <t>$4,019.</t>
    </r>
  </si>
  <si>
    <r>
      <t xml:space="preserve">Enter on line 316 of Schedule 1, $6,890 </t>
    </r>
    <r>
      <rPr>
        <b/>
        <sz val="14"/>
        <color indexed="8"/>
        <rFont val="Arial"/>
        <family val="2"/>
      </rPr>
      <t>plus</t>
    </r>
    <r>
      <rPr>
        <sz val="14"/>
        <color indexed="8"/>
        <rFont val="Arial"/>
        <family val="2"/>
      </rPr>
      <t xml:space="preserve"> the amount on line 5 (maximum claim $10,909)</t>
    </r>
  </si>
  <si>
    <t>Information about you</t>
  </si>
  <si>
    <t>Line 5 minus line 6 (if negative, enter "0")</t>
  </si>
  <si>
    <t>Schedule 11</t>
  </si>
  <si>
    <t xml:space="preserve">Gifts of capital property </t>
  </si>
  <si>
    <t>For details, see page 6 in the forms book.</t>
  </si>
  <si>
    <t>Who should complete this form?</t>
  </si>
  <si>
    <t>Total of amounts on lines 448, 450, 457, and 476 of your return</t>
  </si>
  <si>
    <t>Overpayment of Old Age Security benefits recovered (box 20 of your T4A(OAS) slip)</t>
  </si>
  <si>
    <r>
      <t xml:space="preserve">Line 1 minus line 2; if the result is more than $4,019, </t>
    </r>
    <r>
      <rPr>
        <b/>
        <sz val="14"/>
        <color indexed="8"/>
        <rFont val="Arial"/>
        <family val="2"/>
      </rPr>
      <t>enter $4,019</t>
    </r>
  </si>
  <si>
    <t>Add lines 2,3, and 4.</t>
  </si>
  <si>
    <t>Line 1 minus line 5</t>
  </si>
  <si>
    <t>8P</t>
  </si>
  <si>
    <t>Step 1: Identification</t>
  </si>
  <si>
    <t>Complete this form if you and your spouse or common-law partner are electing to split eligible pension income received</t>
  </si>
  <si>
    <t>in the tax year and if all of the following conditions are met:</t>
  </si>
  <si>
    <t>JOINT ELECTION TO SPLIT PENSION INCOME</t>
  </si>
  <si>
    <r>
      <t xml:space="preserve">Only one joint election can be made for a tax year. This form is to be filed by your </t>
    </r>
    <r>
      <rPr>
        <b/>
        <sz val="12"/>
        <rFont val="Arial MT"/>
        <family val="0"/>
      </rPr>
      <t>filing due date</t>
    </r>
    <r>
      <rPr>
        <sz val="12"/>
        <rFont val="Arial MT"/>
        <family val="0"/>
      </rPr>
      <t xml:space="preserve"> for the year (see the guide for details).</t>
    </r>
  </si>
  <si>
    <t>Total of amounts your dependant can claim on lines 1 to 15 of his or her Schedule 1</t>
  </si>
  <si>
    <t>Add lines 1 and 2.</t>
  </si>
  <si>
    <t>Universal Child Care Benefit repayment (line 213 of your return) plus the UCCB repayment of your spouse or</t>
  </si>
  <si>
    <t>common-law partner from page 1 of your return</t>
  </si>
  <si>
    <r>
      <t>Read</t>
    </r>
    <r>
      <rPr>
        <sz val="14"/>
        <color indexed="8"/>
        <rFont val="Arial"/>
        <family val="2"/>
      </rPr>
      <t xml:space="preserve"> the </t>
    </r>
    <r>
      <rPr>
        <b/>
        <sz val="14"/>
        <color indexed="8"/>
        <rFont val="Arial"/>
        <family val="2"/>
      </rPr>
      <t>conditions</t>
    </r>
    <r>
      <rPr>
        <sz val="14"/>
        <color indexed="8"/>
        <rFont val="Arial"/>
        <family val="2"/>
      </rPr>
      <t xml:space="preserve"> for line 452 in your guide to determine if you can claim this credit.</t>
    </r>
  </si>
  <si>
    <t>Adjusted family net income: add lines 5 and 6.</t>
  </si>
  <si>
    <r>
      <t xml:space="preserve">Enter </t>
    </r>
    <r>
      <rPr>
        <b/>
        <sz val="13"/>
        <color indexed="8"/>
        <rFont val="Arial"/>
        <family val="2"/>
      </rPr>
      <t>$1022,</t>
    </r>
    <r>
      <rPr>
        <sz val="13"/>
        <color indexed="8"/>
        <rFont val="Arial"/>
        <family val="2"/>
      </rPr>
      <t xml:space="preserve"> or 25% of the total of line 215 (of your return) and line 332 (of Schedule 1), whichever is </t>
    </r>
    <r>
      <rPr>
        <b/>
        <sz val="13"/>
        <color indexed="8"/>
        <rFont val="Arial"/>
        <family val="2"/>
      </rPr>
      <t>less</t>
    </r>
  </si>
  <si>
    <r>
      <t xml:space="preserve">Multiply the amount on </t>
    </r>
    <r>
      <rPr>
        <b/>
        <sz val="14"/>
        <color indexed="8"/>
        <rFont val="Arial"/>
        <family val="2"/>
      </rPr>
      <t>line 9</t>
    </r>
    <r>
      <rPr>
        <sz val="14"/>
        <color indexed="8"/>
        <rFont val="Arial"/>
        <family val="2"/>
      </rPr>
      <t xml:space="preserve"> by 5%</t>
    </r>
  </si>
  <si>
    <t>Line 10 minus line 11 (if negative, enter "0").  Enter this amount on line 452 of your return.</t>
  </si>
  <si>
    <t>on line 12 will be transferred to line 452.  See page 49 in the guide.</t>
  </si>
  <si>
    <t>Elections Canada – A new citizenship question on page 1</t>
  </si>
  <si>
    <t>of the return lets you declare your Canadian citizenship</t>
  </si>
  <si>
    <t>status and be added directly to the National Register of</t>
  </si>
  <si>
    <t>Electors. Also, if the return is filed for a deceased person,</t>
  </si>
  <si>
    <t>the Canada Revenue Agency will notify Elections Canada</t>
  </si>
  <si>
    <t>to remove the person’s name from the National Register of</t>
  </si>
  <si>
    <t>Electors. See page 4 for details.</t>
  </si>
  <si>
    <t>Instalment payments – For 2008 and later years, the</t>
  </si>
  <si>
    <t>instalment threshold for individuals has increased. See</t>
  </si>
  <si>
    <t>page 12 for details.</t>
  </si>
  <si>
    <t>Pension income splitting (lines 115, 116, 129, and 210) – If</t>
  </si>
  <si>
    <t>you or your spouse or common-law partner received</t>
  </si>
  <si>
    <t>pension income that is eligible for the pension income</t>
  </si>
  <si>
    <t>amount, you may be eligible to split it for income tax</t>
  </si>
  <si>
    <t>purposes. See pages 17, 21, and 26 for details.</t>
  </si>
  <si>
    <t>Taxable capital gains (line 127) – See page 20 for details.</t>
  </si>
  <si>
    <t>Other income (line 130) – Elementary and secondary school</t>
  </si>
  <si>
    <t>scholarships and bursaries are no longer taxable.</t>
  </si>
  <si>
    <t>If you received an apprenticeship incentive grant, include</t>
  </si>
  <si>
    <t>this amount on line 130. See page 22 for details.</t>
  </si>
  <si>
    <t>Self-employment income (lines 135 to 143) – See page 22</t>
  </si>
  <si>
    <t>Registered retirement savings plan – The age limit for</t>
  </si>
  <si>
    <t>contributing to an RRSP is increased from 69 to 71. Also,</t>
  </si>
  <si>
    <t>after March 18, 2007, new investments have been added to</t>
  </si>
  <si>
    <t>the list of qualified investments. See Guide T4040, RRSPs</t>
  </si>
  <si>
    <t>and Other Registered Plans for Retirement, for details.</t>
  </si>
  <si>
    <t>Universal Child Care Benefit repayment (line 213) – See</t>
  </si>
  <si>
    <t>page 26 for details.</t>
  </si>
  <si>
    <t>Exploration and development expenses (line 224) – See</t>
  </si>
  <si>
    <t>page 29 for details.</t>
  </si>
  <si>
    <t>Other employment expenses (line 229) – See page 29 for</t>
  </si>
  <si>
    <t>Security options deductions (line 249) – See page 31 for</t>
  </si>
  <si>
    <t>Capital gains deduction (line 254) – See page 32 for details.</t>
  </si>
  <si>
    <t>GO TO'!A1</t>
  </si>
  <si>
    <t>Gain (or loss): line A plus line B</t>
  </si>
  <si>
    <t>Gain (or loss): line C plus line D</t>
  </si>
  <si>
    <t>Gain (or loss): line E plus line F</t>
  </si>
  <si>
    <t>3.  Publicly traded shares, mutual fund units, deferral of eligible small business corporation shares, and other shares</t>
  </si>
  <si>
    <t>Line J minus line K</t>
  </si>
  <si>
    <t>M</t>
  </si>
  <si>
    <t>Farming and fishing income eligible for the capital gains deduction from the</t>
  </si>
  <si>
    <t>(for details, see Form T657)</t>
  </si>
  <si>
    <t>N</t>
  </si>
  <si>
    <t>O</t>
  </si>
  <si>
    <t>Total farming and fishing income eligible for the capital gains deduction from the</t>
  </si>
  <si>
    <t>disposition of eligible capital property:</t>
  </si>
  <si>
    <r>
      <t xml:space="preserve">               Add lines M and N.  </t>
    </r>
    <r>
      <rPr>
        <b/>
        <sz val="12"/>
        <color indexed="8"/>
        <rFont val="Arial"/>
        <family val="2"/>
      </rPr>
      <t>173</t>
    </r>
  </si>
  <si>
    <t>P</t>
  </si>
  <si>
    <t>Q</t>
  </si>
  <si>
    <t>R</t>
  </si>
  <si>
    <t>S</t>
  </si>
  <si>
    <t>T</t>
  </si>
  <si>
    <t>U</t>
  </si>
  <si>
    <t>Add lines L, P, and Q.</t>
  </si>
  <si>
    <t>Name of issuer</t>
  </si>
  <si>
    <t>Name of fund/corp. &amp; class of shares</t>
  </si>
  <si>
    <t xml:space="preserve">          against LPP gains.</t>
  </si>
  <si>
    <r>
      <t>Total of all gains (or losses) before reserves:</t>
    </r>
    <r>
      <rPr>
        <sz val="12"/>
        <color indexed="8"/>
        <rFont val="Arial"/>
        <family val="2"/>
      </rPr>
      <t xml:space="preserve"> line R minus line S</t>
    </r>
  </si>
  <si>
    <r>
      <t xml:space="preserve">Total capital gains (or losses): </t>
    </r>
    <r>
      <rPr>
        <sz val="12"/>
        <color indexed="8"/>
        <rFont val="Arial"/>
        <family val="2"/>
      </rPr>
      <t>Add lines T and U.</t>
    </r>
  </si>
  <si>
    <t xml:space="preserve"> (report in 3 below, publicly traded shares, mutual fund units, deferral of</t>
  </si>
  <si>
    <r>
      <t>Total of gains (or losses) of other properties:</t>
    </r>
    <r>
      <rPr>
        <sz val="12"/>
        <color indexed="8"/>
        <rFont val="Arial"/>
        <family val="2"/>
      </rPr>
      <t xml:space="preserve"> add lines 132, 138, 153, 155, 158, and 159.</t>
    </r>
  </si>
  <si>
    <r>
      <t>Total gains (or losses) of qualified properties:</t>
    </r>
    <r>
      <rPr>
        <sz val="12"/>
        <rFont val="Arial MT"/>
        <family val="0"/>
      </rPr>
      <t xml:space="preserve"> add lines 107, 110, and 124.</t>
    </r>
  </si>
  <si>
    <r>
      <t>Total gains (or losses) of qualified properties and other properties:</t>
    </r>
    <r>
      <rPr>
        <sz val="12"/>
        <rFont val="Arial MT"/>
        <family val="0"/>
      </rPr>
      <t xml:space="preserve"> Add lines G and H from previous page.</t>
    </r>
  </si>
  <si>
    <r>
      <t xml:space="preserve">Capital gains deferral from qualifying dispositions of eligible small business corporation shares 
(included in </t>
    </r>
    <r>
      <rPr>
        <b/>
        <sz val="12"/>
        <color indexed="8"/>
        <rFont val="Arial"/>
        <family val="2"/>
      </rPr>
      <t>3</t>
    </r>
    <r>
      <rPr>
        <sz val="12"/>
        <color indexed="8"/>
        <rFont val="Arial"/>
        <family val="2"/>
      </rPr>
      <t xml:space="preserve"> on the previous page)</t>
    </r>
  </si>
  <si>
    <t>Amount eligible for resource</t>
  </si>
  <si>
    <t>allowance deduction</t>
  </si>
  <si>
    <t>Capital gains dividends - Period 1</t>
  </si>
  <si>
    <t>Capital gains dividends - Period 2</t>
  </si>
  <si>
    <t>Employee's QPP contributions</t>
  </si>
  <si>
    <t>Employee's EI premiums</t>
  </si>
  <si>
    <t>Union dues</t>
  </si>
  <si>
    <t>RPP contributions</t>
  </si>
  <si>
    <t>(maximum $2,000)</t>
  </si>
  <si>
    <t>Enter your date of birth:</t>
  </si>
  <si>
    <t>Total of amounts your dependant can claim on lines 5804 to 5840 of his or her Form BC428</t>
  </si>
  <si>
    <t>spouse or common-law partner's parent or grandparent.  To do this, you have to designate the individual on your</t>
  </si>
  <si>
    <t>EI benefits repayment from line 4 of the chart on the back of your T4E slip (if any)</t>
  </si>
  <si>
    <t>Universal Child Care Benefit (UCCB) (line 117 of your return)</t>
  </si>
  <si>
    <t>Line 6 minus line 9</t>
  </si>
  <si>
    <t>►</t>
  </si>
  <si>
    <r>
      <t xml:space="preserve">● </t>
    </r>
    <r>
      <rPr>
        <sz val="12"/>
        <color indexed="8"/>
        <rFont val="Arial"/>
        <family val="2"/>
      </rPr>
      <t>determine the provincial amount available to transfer to another designated individual; and</t>
    </r>
  </si>
  <si>
    <r>
      <t xml:space="preserve">● </t>
    </r>
    <r>
      <rPr>
        <sz val="12"/>
        <color indexed="8"/>
        <rFont val="Arial"/>
        <family val="2"/>
      </rPr>
      <t>determine the unused provincial amount, if any, available for you to carry forward to a future year.</t>
    </r>
  </si>
  <si>
    <t>5914</t>
  </si>
  <si>
    <t>Otherwise, enter this amount on line 214 of your return</t>
  </si>
  <si>
    <t>Your allowable deduction</t>
  </si>
  <si>
    <t>Sch1</t>
  </si>
  <si>
    <t>Sch8</t>
  </si>
  <si>
    <t>113</t>
  </si>
  <si>
    <t>119</t>
  </si>
  <si>
    <t>120</t>
  </si>
  <si>
    <t>121</t>
  </si>
  <si>
    <t>129</t>
  </si>
  <si>
    <t>Self-employed commissions (gross)</t>
  </si>
  <si>
    <t>Self-employed commissions (net)</t>
  </si>
  <si>
    <t>139</t>
  </si>
  <si>
    <t xml:space="preserve">   showing the name and social insurance number of the person who filed it and the tax year for which it was filed.</t>
  </si>
  <si>
    <t>Part2,2</t>
  </si>
  <si>
    <t>More Instructions</t>
  </si>
  <si>
    <t>Do not complete this form if, when you received the amount or when the RRSP or RRIF was deregistered, either of the</t>
  </si>
  <si>
    <t>following applied:</t>
  </si>
  <si>
    <t>Alert about data transfer</t>
  </si>
  <si>
    <t>PROV WRK</t>
  </si>
  <si>
    <t>Infirm dependant 18 or older</t>
  </si>
  <si>
    <t>PROV 428</t>
  </si>
  <si>
    <t>QUALIFICATION SETTINGS</t>
  </si>
  <si>
    <r>
      <t>A1</t>
    </r>
    <r>
      <rPr>
        <sz val="14"/>
        <color indexed="8"/>
        <rFont val="Arial"/>
        <family val="2"/>
      </rPr>
      <t>.  White cells are the only ones where you can enter data.  The other coloured cells are getting their data from</t>
    </r>
  </si>
  <si>
    <r>
      <t xml:space="preserve">Enter your </t>
    </r>
    <r>
      <rPr>
        <b/>
        <sz val="12"/>
        <color indexed="8"/>
        <rFont val="Arial"/>
        <family val="2"/>
      </rPr>
      <t>net income</t>
    </r>
    <r>
      <rPr>
        <sz val="12"/>
        <color indexed="8"/>
        <rFont val="Arial"/>
        <family val="2"/>
      </rPr>
      <t xml:space="preserve"> from line 236 of your return</t>
    </r>
  </si>
  <si>
    <t>x 2.5% =</t>
  </si>
  <si>
    <r>
      <t xml:space="preserve">                       </t>
    </r>
    <r>
      <rPr>
        <b/>
        <sz val="9"/>
        <color indexed="8"/>
        <rFont val="Arial"/>
        <family val="2"/>
      </rPr>
      <t>Quebec</t>
    </r>
    <r>
      <rPr>
        <sz val="9"/>
        <color indexed="8"/>
        <rFont val="Arial"/>
        <family val="2"/>
      </rPr>
      <t xml:space="preserve"> </t>
    </r>
    <r>
      <rPr>
        <b/>
        <sz val="9"/>
        <color indexed="8"/>
        <rFont val="Arial"/>
        <family val="2"/>
      </rPr>
      <t>Residents</t>
    </r>
    <r>
      <rPr>
        <sz val="9"/>
        <color indexed="8"/>
        <rFont val="Arial"/>
        <family val="2"/>
      </rPr>
      <t xml:space="preserve"> (from box 18 of all your T4 slips)                      </t>
    </r>
  </si>
  <si>
    <t xml:space="preserve">Canada Revenue   </t>
  </si>
  <si>
    <t xml:space="preserve">du Canada    </t>
  </si>
  <si>
    <r>
      <t xml:space="preserve">Read the attached information sheet.  You will find there the definition of </t>
    </r>
    <r>
      <rPr>
        <b/>
        <sz val="12"/>
        <rFont val="Arial MT"/>
        <family val="0"/>
      </rPr>
      <t xml:space="preserve">child care expenses, eligible child, net income, </t>
    </r>
    <r>
      <rPr>
        <sz val="12"/>
        <rFont val="Arial MT"/>
        <family val="0"/>
      </rPr>
      <t>and</t>
    </r>
    <r>
      <rPr>
        <b/>
        <sz val="12"/>
        <rFont val="Arial MT"/>
        <family val="0"/>
      </rPr>
      <t xml:space="preserve"> earned</t>
    </r>
  </si>
  <si>
    <t>Each person claiming the child care expenses deduction must attach a completed Form T778 to his or her return. Do not include receipts,</t>
  </si>
  <si>
    <t>but keep them in case we ask to see them.</t>
  </si>
  <si>
    <r>
      <t xml:space="preserve">If you are the </t>
    </r>
    <r>
      <rPr>
        <b/>
        <sz val="12"/>
        <rFont val="Arial MT"/>
        <family val="0"/>
      </rPr>
      <t xml:space="preserve">only person </t>
    </r>
    <r>
      <rPr>
        <sz val="12"/>
        <rFont val="Arial MT"/>
        <family val="0"/>
      </rPr>
      <t>claiming child care expenses</t>
    </r>
    <r>
      <rPr>
        <sz val="12"/>
        <rFont val="Arial MT"/>
        <family val="0"/>
      </rPr>
      <t>, complete Part A, Part B, and, if it applies, Part D.</t>
    </r>
  </si>
  <si>
    <r>
      <t xml:space="preserve">Provide the </t>
    </r>
    <r>
      <rPr>
        <b/>
        <sz val="12"/>
        <rFont val="Arial MT"/>
        <family val="0"/>
      </rPr>
      <t xml:space="preserve">name of the child care organization </t>
    </r>
    <r>
      <rPr>
        <sz val="12"/>
        <rFont val="Arial MT"/>
        <family val="0"/>
      </rPr>
      <t xml:space="preserve">or the </t>
    </r>
    <r>
      <rPr>
        <b/>
        <sz val="12"/>
        <rFont val="Arial MT"/>
        <family val="0"/>
      </rPr>
      <t>name and social</t>
    </r>
  </si>
  <si>
    <t>Annuity payments from line 129 of your return (box 16 of your T4RSP slip) only if you were 65 or older on</t>
  </si>
  <si>
    <t>Number of months</t>
  </si>
  <si>
    <r>
      <t>●</t>
    </r>
    <r>
      <rPr>
        <b/>
        <sz val="12"/>
        <color indexed="8"/>
        <rFont val="Arial"/>
        <family val="2"/>
      </rPr>
      <t>44</t>
    </r>
  </si>
  <si>
    <t>Number of children</t>
  </si>
  <si>
    <t>X $60</t>
  </si>
  <si>
    <t>X $200</t>
  </si>
  <si>
    <t>Enter the dependant's net income (from line 236 of his or her return)</t>
  </si>
  <si>
    <t>(amount from line 312 of your federal Schedule 1)</t>
  </si>
  <si>
    <t xml:space="preserve">Interest paid on your student loans </t>
  </si>
  <si>
    <t>(amount from line 319 of your federal Schedule 1)</t>
  </si>
  <si>
    <t>Line 7 minus line 8 (if negative, enter "0")</t>
  </si>
  <si>
    <t/>
  </si>
  <si>
    <t>Federal Tax</t>
  </si>
  <si>
    <t>Data  Slips or Forms</t>
  </si>
  <si>
    <t>First name of each</t>
  </si>
  <si>
    <t>child for whom</t>
  </si>
  <si>
    <t>payments were made</t>
  </si>
  <si>
    <t>Child care</t>
  </si>
  <si>
    <t>expenses paid</t>
  </si>
  <si>
    <r>
      <t xml:space="preserve">Enter the amount from line 7 (in Part B) or line 13, whichever is </t>
    </r>
    <r>
      <rPr>
        <b/>
        <sz val="12"/>
        <rFont val="Arial MT"/>
        <family val="0"/>
      </rPr>
      <t>less.</t>
    </r>
  </si>
  <si>
    <t xml:space="preserve"> RRSPs in the two preceding years and indicated in income for one of those preceding years. If</t>
  </si>
  <si>
    <t>Tax Exempt Benefits</t>
  </si>
  <si>
    <t xml:space="preserve"> 0</t>
  </si>
  <si>
    <t>Complete this chart if the rate in box 7 is 30% and, on your return, the total of</t>
  </si>
  <si>
    <t>lines 213 and 234 minus line 117 is more than $50,000.</t>
  </si>
  <si>
    <t>Line 213 plus line 234 of your return</t>
  </si>
  <si>
    <t>minus line 117</t>
  </si>
  <si>
    <t>Line 1 minus Base amount</t>
  </si>
  <si>
    <t>(if negative, enter "0")</t>
  </si>
  <si>
    <r>
      <t xml:space="preserve">Amount from line 0 or 2, whichever is </t>
    </r>
    <r>
      <rPr>
        <b/>
        <sz val="14"/>
        <color indexed="8"/>
        <rFont val="Arial"/>
        <family val="2"/>
      </rPr>
      <t>less</t>
    </r>
  </si>
  <si>
    <t>of your return is more than $63,511, see line 235 in your tax guide.</t>
  </si>
  <si>
    <t>revenue fund</t>
  </si>
  <si>
    <t>Payments of of the consolidated</t>
  </si>
  <si>
    <t>Plan benefits</t>
  </si>
  <si>
    <t>Provincial Parental Insurance</t>
  </si>
  <si>
    <t>Overpayment recovered or repaid</t>
  </si>
  <si>
    <t>Total Repayment (box 26+box 27)</t>
  </si>
  <si>
    <t>Bursary and Scholarship Exemption</t>
  </si>
  <si>
    <t xml:space="preserve">You must enter your T5 data into this form.  As your enter data, it is posted to the cells in the schedules and forms </t>
  </si>
  <si>
    <r>
      <t xml:space="preserve">parent or grandparent, or to your parent or grandparent.  To do this, you have to </t>
    </r>
    <r>
      <rPr>
        <b/>
        <sz val="12"/>
        <color indexed="8"/>
        <rFont val="Arial"/>
        <family val="2"/>
      </rPr>
      <t>designate</t>
    </r>
    <r>
      <rPr>
        <sz val="12"/>
        <color indexed="8"/>
        <rFont val="Arial"/>
        <family val="2"/>
      </rPr>
      <t xml:space="preserve"> the individual and</t>
    </r>
  </si>
  <si>
    <t>Support payments received</t>
  </si>
  <si>
    <t>Other income</t>
  </si>
  <si>
    <t xml:space="preserve">  Business income</t>
  </si>
  <si>
    <t xml:space="preserve">  Professional income</t>
  </si>
  <si>
    <t xml:space="preserve">  Commission Income</t>
  </si>
  <si>
    <t xml:space="preserve">  Farming Income</t>
  </si>
  <si>
    <t xml:space="preserve">  Fishing Income</t>
  </si>
  <si>
    <t>6881</t>
  </si>
  <si>
    <r>
      <t>Provincial or territorial tax</t>
    </r>
    <r>
      <rPr>
        <sz val="12"/>
        <rFont val="Arial MT"/>
        <family val="2"/>
      </rPr>
      <t xml:space="preserve"> </t>
    </r>
    <r>
      <rPr>
        <sz val="12"/>
        <rFont val="Arial MT"/>
        <family val="0"/>
      </rPr>
      <t>(</t>
    </r>
    <r>
      <rPr>
        <b/>
        <sz val="12"/>
        <rFont val="Arial MT"/>
        <family val="0"/>
      </rPr>
      <t>attach</t>
    </r>
    <r>
      <rPr>
        <sz val="12"/>
        <rFont val="Arial MT"/>
        <family val="2"/>
      </rPr>
      <t xml:space="preserve"> Form 428 even if the result is "0")</t>
    </r>
  </si>
  <si>
    <r>
      <t>Refund of investment tax credit (</t>
    </r>
    <r>
      <rPr>
        <b/>
        <sz val="12"/>
        <color indexed="8"/>
        <rFont val="Arial"/>
        <family val="2"/>
      </rPr>
      <t>attach</t>
    </r>
    <r>
      <rPr>
        <sz val="12"/>
        <color indexed="8"/>
        <rFont val="Arial"/>
        <family val="2"/>
      </rPr>
      <t xml:space="preserve"> Form T2038(IND))</t>
    </r>
  </si>
  <si>
    <r>
      <t xml:space="preserve">information only, </t>
    </r>
    <r>
      <rPr>
        <b/>
        <sz val="12"/>
        <color indexed="8"/>
        <rFont val="Arial"/>
        <family val="2"/>
      </rPr>
      <t>attach</t>
    </r>
    <r>
      <rPr>
        <sz val="12"/>
        <color indexed="8"/>
        <rFont val="Arial"/>
        <family val="2"/>
      </rPr>
      <t xml:space="preserve"> a "void" cheque or complete lines 460, 461, and 462.</t>
    </r>
  </si>
  <si>
    <t>Welcome to the data entry interface for your T4A(P) slips.</t>
  </si>
  <si>
    <t>MyTAX does NOT allow you to enter T4A(P) data directly to other sheets and forms and schedules</t>
  </si>
  <si>
    <t xml:space="preserve">You must enter your T4A(P) data into this form.  As your enter data, it is posted to the cells in the schedules and forms </t>
  </si>
  <si>
    <t>where they are needed.  If you have more than one T4A(P) slip, then enter the amounts from each T4A(P).</t>
  </si>
  <si>
    <t>If you have more than five T4A(P) forms, you can add the data from the extra ones as a sum rather than a single #.</t>
  </si>
  <si>
    <t>Data
T4A(P) #1</t>
  </si>
  <si>
    <t>Data
T4A(P) #2</t>
  </si>
  <si>
    <t>Data
T4A(P) #3</t>
  </si>
  <si>
    <t>Data
T4A(P) #4</t>
  </si>
  <si>
    <t>Data
T4A(P) #5</t>
  </si>
  <si>
    <t>CPP or QPP Benefits</t>
  </si>
  <si>
    <t>Taxable CPP benefits</t>
  </si>
  <si>
    <t>Disability benefit</t>
  </si>
  <si>
    <t>Line 152</t>
  </si>
  <si>
    <t>Line 114</t>
  </si>
  <si>
    <t>Line 437</t>
  </si>
  <si>
    <t>T4A(P)</t>
  </si>
  <si>
    <t>Line 127</t>
  </si>
  <si>
    <t>Line 130</t>
  </si>
  <si>
    <t>Line 229</t>
  </si>
  <si>
    <t>Line 254</t>
  </si>
  <si>
    <t>Line 363</t>
  </si>
  <si>
    <t>Line 364</t>
  </si>
  <si>
    <t>Line 412</t>
  </si>
  <si>
    <r>
      <t>1)</t>
    </r>
    <r>
      <rPr>
        <sz val="14"/>
        <color indexed="8"/>
        <rFont val="Arial"/>
        <family val="2"/>
      </rPr>
      <t xml:space="preserve"> Versions of MyTAX  for 2005 and later do not use macros. </t>
    </r>
  </si>
  <si>
    <t>Please use the Paypal button on the website or mail cheque or cash to:</t>
  </si>
  <si>
    <t>Enter the bottom line number(s) from your paper form into the appropriate cell in MyTAX.</t>
  </si>
  <si>
    <t>As a Canadian resident, you have to report your income from all sources both inside and outside Canada.</t>
  </si>
  <si>
    <t>Employment income (box 14 on all T4 Slips)</t>
  </si>
  <si>
    <t>Other employment income</t>
  </si>
  <si>
    <t>CPP or QPP benefits (box 20 on the T4A(P) slip)</t>
  </si>
  <si>
    <t>Line 150 minus line 233 (if negative enter "0").</t>
  </si>
  <si>
    <t>Links to CRA</t>
  </si>
  <si>
    <t>33</t>
  </si>
  <si>
    <t>34</t>
  </si>
  <si>
    <t>Disability benefits included on line 114 
(box 16 on the T4A(P) slip)</t>
  </si>
  <si>
    <t>Interest from Canadian sources</t>
  </si>
  <si>
    <t>Foreign Income</t>
  </si>
  <si>
    <t>Foreign tax paid</t>
  </si>
  <si>
    <t>Welcome to the data entry interface for miscellaneous data and the data collector sheet</t>
  </si>
  <si>
    <t>Part2,1</t>
  </si>
  <si>
    <t>Taxable pension paid</t>
  </si>
  <si>
    <t>Gross pension paid</t>
  </si>
  <si>
    <t>Overpayment recovered</t>
  </si>
  <si>
    <t>Net supplements paid</t>
  </si>
  <si>
    <t xml:space="preserve">    Part 2 - Calculating your Employment Insurance (EI) overpayment</t>
  </si>
  <si>
    <t xml:space="preserve">Amounts deemed received by the </t>
  </si>
  <si>
    <t>annuitant; Deregistration</t>
  </si>
  <si>
    <t>Pick up amt from form T1229 here</t>
  </si>
  <si>
    <t>Enter the provincial logging tax credit from Form FIN 542</t>
  </si>
  <si>
    <t>where they are needed.  If you have more than one T4A slip, then enter the amounts from each T4A into one set of columns.</t>
  </si>
  <si>
    <t>(do not include any month that is also included in column C)</t>
  </si>
  <si>
    <t>Amount from line 6</t>
  </si>
  <si>
    <t>Amount from line 13</t>
  </si>
  <si>
    <t>Line 17 minus line 18 (if negative, enter "0")</t>
  </si>
  <si>
    <r>
      <t xml:space="preserve"> (from Chart 2 in pamphlet P113, </t>
    </r>
    <r>
      <rPr>
        <i/>
        <sz val="12"/>
        <color indexed="8"/>
        <rFont val="Arial"/>
        <family val="2"/>
      </rPr>
      <t>Gifts and Income Tax</t>
    </r>
    <r>
      <rPr>
        <sz val="12"/>
        <color indexed="8"/>
        <rFont val="Arial"/>
        <family val="2"/>
      </rPr>
      <t>)</t>
    </r>
  </si>
  <si>
    <t>Security options deduction
 (110(1)(d.1))</t>
  </si>
  <si>
    <t>Canadian forces personnel and police deduction</t>
  </si>
  <si>
    <r>
      <t>Provincial Parental Insurance Plan (PPIP)</t>
    </r>
    <r>
      <rPr>
        <sz val="14"/>
        <rFont val="Arial MT"/>
        <family val="0"/>
      </rPr>
      <t xml:space="preserve"> - For employees working</t>
    </r>
  </si>
  <si>
    <t>74</t>
  </si>
  <si>
    <t>Pre-1990 past service contributions while a contributor -</t>
  </si>
  <si>
    <t>75</t>
  </si>
  <si>
    <t>Pre-1990 past service contributions while not a contributor -</t>
  </si>
  <si>
    <t>77</t>
  </si>
  <si>
    <t>Workers' compensation benefits repaid to the employer -</t>
  </si>
  <si>
    <t>Enter on line 229</t>
  </si>
  <si>
    <r>
      <t>Number of days outside Canada - Obtain</t>
    </r>
    <r>
      <rPr>
        <sz val="14"/>
        <rFont val="Arial MT"/>
        <family val="0"/>
      </rPr>
      <t xml:space="preserve"> Form T626</t>
    </r>
  </si>
  <si>
    <t>78</t>
  </si>
  <si>
    <t>(Do not enter this amount on line 101)</t>
  </si>
  <si>
    <t>79</t>
  </si>
  <si>
    <t>80</t>
  </si>
  <si>
    <t>Schedule 1 line 426.</t>
  </si>
  <si>
    <t>→</t>
  </si>
  <si>
    <t>Determine your British Columbia overseas employment tax credit by completing the following calculation, and</t>
  </si>
  <si>
    <t>rules may apply.  Call the Canada Revenue Agency to determine the amount you can claim.</t>
  </si>
  <si>
    <t>Welcome to the data entry interface for your T4PS slips.</t>
  </si>
  <si>
    <t>MyTAX does NOT allow you to enter T4PS data directly to other sheets and forms and schedules</t>
  </si>
  <si>
    <t xml:space="preserve">You must enter your T4PS data into this form.  As your enter data, it is posted to the cells in the schedules and forms </t>
  </si>
  <si>
    <t>Data
T4RSP #1</t>
  </si>
  <si>
    <t>Data
T4RSP #2</t>
  </si>
  <si>
    <t>Data
T4RSP #3</t>
  </si>
  <si>
    <t>Data
T4RSP #4</t>
  </si>
  <si>
    <t>Data
T4RSP #5</t>
  </si>
  <si>
    <t>(cannot be negative)</t>
  </si>
  <si>
    <t>Line 3 minus line 4 (if negative, enter "0")</t>
  </si>
  <si>
    <t>sources</t>
  </si>
  <si>
    <t>431,433</t>
  </si>
  <si>
    <t>115,121</t>
  </si>
  <si>
    <t>Social assistance payments or</t>
  </si>
  <si>
    <t>T2036</t>
  </si>
  <si>
    <t>Data is used only if you select the YES option on line 5840 of the QUAL spreadsheet</t>
  </si>
  <si>
    <t>Line 5816 - Amount for an eligible dependant</t>
  </si>
  <si>
    <t>you can have each of their workbooks open at the same time.  As you need data across returns,</t>
  </si>
  <si>
    <r>
      <t>1</t>
    </r>
    <r>
      <rPr>
        <sz val="14"/>
        <color indexed="8"/>
        <rFont val="Arial"/>
        <family val="2"/>
      </rPr>
      <t xml:space="preserve">.  Save a master copy of MyTAX so that you can start new income tax calculation workbooks from it.  </t>
    </r>
  </si>
  <si>
    <t>Enter his or her amount for line 314</t>
  </si>
  <si>
    <t xml:space="preserve">    Part 1-Calculating your Canada Pension Plan overpayment</t>
  </si>
  <si>
    <t>applicable number of months:</t>
  </si>
  <si>
    <r>
      <t xml:space="preserve">If the amount from line 6 is </t>
    </r>
    <r>
      <rPr>
        <b/>
        <sz val="9"/>
        <color indexed="8"/>
        <rFont val="Arial"/>
        <family val="2"/>
      </rPr>
      <t>positive,</t>
    </r>
    <r>
      <rPr>
        <sz val="9"/>
        <color indexed="8"/>
        <rFont val="Arial"/>
        <family val="2"/>
      </rPr>
      <t xml:space="preserve"> enter it on </t>
    </r>
    <r>
      <rPr>
        <b/>
        <sz val="9"/>
        <color indexed="8"/>
        <rFont val="Arial"/>
        <family val="2"/>
      </rPr>
      <t>line 448</t>
    </r>
    <r>
      <rPr>
        <sz val="9"/>
        <color indexed="8"/>
        <rFont val="Arial"/>
        <family val="2"/>
      </rPr>
      <t xml:space="preserve"> of your return.  If </t>
    </r>
    <r>
      <rPr>
        <b/>
        <sz val="9"/>
        <color indexed="8"/>
        <rFont val="Arial"/>
        <family val="2"/>
      </rPr>
      <t>negative,</t>
    </r>
    <r>
      <rPr>
        <sz val="9"/>
        <color indexed="8"/>
        <rFont val="Arial"/>
        <family val="2"/>
      </rPr>
      <t xml:space="preserve"> you can choose to make additional CPP</t>
    </r>
  </si>
  <si>
    <r>
      <t>Enter the amount from line 4 or 5, whichever is less, on</t>
    </r>
    <r>
      <rPr>
        <b/>
        <sz val="9"/>
        <color indexed="8"/>
        <rFont val="Arial"/>
        <family val="2"/>
      </rPr>
      <t xml:space="preserve"> line 308</t>
    </r>
    <r>
      <rPr>
        <sz val="9"/>
        <color indexed="8"/>
        <rFont val="Arial"/>
        <family val="2"/>
      </rPr>
      <t xml:space="preserve"> of Schedule 1 and , if it applies, on line </t>
    </r>
    <r>
      <rPr>
        <b/>
        <sz val="9"/>
        <color indexed="8"/>
        <rFont val="Arial"/>
        <family val="2"/>
      </rPr>
      <t>5824</t>
    </r>
    <r>
      <rPr>
        <sz val="9"/>
        <color indexed="8"/>
        <rFont val="Arial"/>
        <family val="2"/>
      </rPr>
      <t xml:space="preserve"> of Form 428.</t>
    </r>
  </si>
  <si>
    <t>Line 5</t>
  </si>
  <si>
    <r>
      <t xml:space="preserve">Enter the amount from line 8 on </t>
    </r>
    <r>
      <rPr>
        <b/>
        <sz val="9"/>
        <color indexed="8"/>
        <rFont val="Arial"/>
        <family val="2"/>
      </rPr>
      <t>line 450</t>
    </r>
    <r>
      <rPr>
        <sz val="9"/>
        <color indexed="8"/>
        <rFont val="Arial"/>
        <family val="2"/>
      </rPr>
      <t xml:space="preserve"> of your return only if it is more than $1.</t>
    </r>
  </si>
  <si>
    <r>
      <t xml:space="preserve">Enter amount from line 3, 5, or 6, whichever is least, on </t>
    </r>
    <r>
      <rPr>
        <b/>
        <sz val="9"/>
        <color indexed="8"/>
        <rFont val="Arial"/>
        <family val="2"/>
      </rPr>
      <t>line 312</t>
    </r>
    <r>
      <rPr>
        <sz val="9"/>
        <color indexed="8"/>
        <rFont val="Arial"/>
        <family val="2"/>
      </rPr>
      <t xml:space="preserve"> of Schedule 1 and, if it applies, on </t>
    </r>
    <r>
      <rPr>
        <b/>
        <sz val="9"/>
        <color indexed="8"/>
        <rFont val="Arial"/>
        <family val="2"/>
      </rPr>
      <t>line 5832</t>
    </r>
    <r>
      <rPr>
        <sz val="9"/>
        <color indexed="8"/>
        <rFont val="Arial"/>
        <family val="2"/>
      </rPr>
      <t xml:space="preserve"> of Form 428.</t>
    </r>
  </si>
  <si>
    <t>5916</t>
  </si>
  <si>
    <t>5918</t>
  </si>
  <si>
    <t>Add lines 2, 3, and 4</t>
  </si>
  <si>
    <t xml:space="preserve">Add lines 1 and 5 </t>
  </si>
  <si>
    <t>Royalties from Canadian sources</t>
  </si>
  <si>
    <t>Capital gains dividends - Period 3</t>
  </si>
  <si>
    <t>Accured income</t>
  </si>
  <si>
    <t>Hyperlinks</t>
  </si>
  <si>
    <t>The "GO THERE" buttons below are hyperlinks. Click on them to send you to the appropriate sheet &amp; cell.</t>
  </si>
  <si>
    <t>Enter the tax credit amount calculated on Form T1231</t>
  </si>
  <si>
    <t>Enter this amount on line 428 of your return.</t>
  </si>
  <si>
    <t>British Columbia tax</t>
  </si>
  <si>
    <t>BC479</t>
  </si>
  <si>
    <t>British Columbia Tax Credits</t>
  </si>
  <si>
    <t>British Columbia venture capital tax credit</t>
  </si>
  <si>
    <t>British Columbia mining exploration tax credit</t>
  </si>
  <si>
    <t>British Columbia credits</t>
  </si>
  <si>
    <t>Schedule BC(S2)</t>
  </si>
  <si>
    <t>Enter the amount from line 5836 of his or her Form BC428</t>
  </si>
  <si>
    <t>Enter the amount from line 5844 of his or her Form BC428</t>
  </si>
  <si>
    <t>Basic person amount</t>
  </si>
  <si>
    <t>115</t>
  </si>
  <si>
    <r>
      <t xml:space="preserve">For pc users obtain the latest </t>
    </r>
    <r>
      <rPr>
        <b/>
        <sz val="14"/>
        <color indexed="8"/>
        <rFont val="Arial"/>
        <family val="2"/>
      </rPr>
      <t>UPDATE</t>
    </r>
    <r>
      <rPr>
        <sz val="14"/>
        <color indexed="8"/>
        <rFont val="Arial"/>
        <family val="2"/>
      </rPr>
      <t xml:space="preserve"> spreadsheet from our website before you print &amp; submit your final return.</t>
    </r>
  </si>
  <si>
    <t>Total credits from line 482 of your return</t>
  </si>
  <si>
    <t>X  5.1%</t>
  </si>
  <si>
    <t xml:space="preserve">X  12%  </t>
  </si>
  <si>
    <t>Universal Child Care Benefit (UCCB) (line 117 of your return) or the benefit of your spouse</t>
  </si>
  <si>
    <t>or common-law partner from page 1 or your return</t>
  </si>
  <si>
    <t>Net income of your spouse or common-law partner from page 1 of your return</t>
  </si>
  <si>
    <t>Net Self-employment income (not including losses) from lines 135 to 143</t>
  </si>
  <si>
    <t>Line 1 minus line 4 (if negative, enter "0")</t>
  </si>
  <si>
    <t>Enter the amount on line 7 on line 410 of Schedule 1.</t>
  </si>
  <si>
    <t xml:space="preserve">Total donations limit:  Add lines 2 and 5. </t>
  </si>
  <si>
    <t>Other pensions or superannuation</t>
  </si>
  <si>
    <t>(Enter Yes if amt. qualifies for line 232 deduction)</t>
  </si>
  <si>
    <t>Statement of Investment Income</t>
  </si>
  <si>
    <t>Schedule 4</t>
  </si>
  <si>
    <t xml:space="preserve">State the names of the payers below and attach any information slips you received. </t>
  </si>
  <si>
    <t>Income from foreign sources</t>
  </si>
  <si>
    <t>(see the "Marital status" section in the guide for details)</t>
  </si>
  <si>
    <t>Married</t>
  </si>
  <si>
    <t>Widowed</t>
  </si>
  <si>
    <t>Divorced</t>
  </si>
  <si>
    <t>Separated</t>
  </si>
  <si>
    <t>Single</t>
  </si>
  <si>
    <t>Information about your residence</t>
  </si>
  <si>
    <t>Information about your spouse or</t>
  </si>
  <si>
    <r>
      <t xml:space="preserve">1. </t>
    </r>
    <r>
      <rPr>
        <b/>
        <sz val="9"/>
        <color indexed="8"/>
        <rFont val="Arial"/>
        <family val="2"/>
      </rPr>
      <t>Add</t>
    </r>
    <r>
      <rPr>
        <sz val="9"/>
        <color indexed="8"/>
        <rFont val="Arial"/>
        <family val="2"/>
      </rPr>
      <t xml:space="preserve"> the amounts in boxes 20, 22, and 26 of your T4RSP  slip, for spousal or common-law partner </t>
    </r>
  </si>
  <si>
    <r>
      <t xml:space="preserve">3. Line 1 </t>
    </r>
    <r>
      <rPr>
        <b/>
        <sz val="9"/>
        <color indexed="8"/>
        <rFont val="Arial"/>
        <family val="2"/>
      </rPr>
      <t>minus</t>
    </r>
    <r>
      <rPr>
        <sz val="9"/>
        <color indexed="8"/>
        <rFont val="Arial"/>
        <family val="2"/>
      </rPr>
      <t xml:space="preserve"> line 2</t>
    </r>
  </si>
  <si>
    <r>
      <t xml:space="preserve">6. Line 4 </t>
    </r>
    <r>
      <rPr>
        <b/>
        <sz val="9"/>
        <color indexed="8"/>
        <rFont val="Arial"/>
        <family val="2"/>
      </rPr>
      <t>minus</t>
    </r>
    <r>
      <rPr>
        <sz val="9"/>
        <color indexed="8"/>
        <rFont val="Arial"/>
        <family val="2"/>
      </rPr>
      <t xml:space="preserve"> line 5</t>
    </r>
  </si>
  <si>
    <r>
      <t>Refund and GST/HST credit -</t>
    </r>
    <r>
      <rPr>
        <sz val="12"/>
        <color indexed="8"/>
        <rFont val="Arial"/>
        <family val="2"/>
      </rPr>
      <t xml:space="preserve"> To start direct deposit or to change account</t>
    </r>
  </si>
  <si>
    <r>
      <t>Note</t>
    </r>
    <r>
      <rPr>
        <sz val="12"/>
        <color indexed="8"/>
        <rFont val="Arial"/>
        <family val="2"/>
      </rPr>
      <t>: You can only apply LPP losses</t>
    </r>
  </si>
  <si>
    <t>Add lines 38 and 39</t>
  </si>
  <si>
    <t>Add lines 41 through 44</t>
  </si>
  <si>
    <t>Line 40 minus line 45 (if negative, enter "0")</t>
  </si>
  <si>
    <r>
      <t>3.</t>
    </r>
    <r>
      <rPr>
        <sz val="14"/>
        <color indexed="8"/>
        <rFont val="Arial"/>
        <family val="2"/>
      </rPr>
      <t xml:space="preserve"> You may find it convenient to do "what-if" calculations by splitting the screen horizontally or vertically.</t>
    </r>
  </si>
  <si>
    <r>
      <t>4</t>
    </r>
    <r>
      <rPr>
        <sz val="14"/>
        <color indexed="8"/>
        <rFont val="Arial"/>
        <family val="2"/>
      </rPr>
      <t>. If you have more than five T4 slips you can enter the amounts as a formula: +n1+n2+n3+…</t>
    </r>
  </si>
  <si>
    <t>where they are needed.  If you have more than one T4RSP slip, then enter the amounts from each T4RSP.</t>
  </si>
  <si>
    <t>Line 305 -</t>
  </si>
  <si>
    <t>Enter your total contributions:</t>
  </si>
  <si>
    <t>ON428</t>
  </si>
  <si>
    <t>1</t>
  </si>
  <si>
    <t>66</t>
  </si>
  <si>
    <t>67</t>
  </si>
  <si>
    <t>Enter this amount on line 5864 of your Form BC428.</t>
  </si>
  <si>
    <t>Schedule BC(S11)</t>
  </si>
  <si>
    <t>YES</t>
  </si>
  <si>
    <t>NO</t>
  </si>
  <si>
    <t>The person claiming the transfer should not attach this schedule to his or her return.</t>
  </si>
  <si>
    <t>MB479</t>
  </si>
  <si>
    <t>MB428</t>
  </si>
  <si>
    <t>MB</t>
  </si>
  <si>
    <r>
      <t xml:space="preserve">or     </t>
    </r>
    <r>
      <rPr>
        <b/>
        <sz val="10"/>
        <rFont val="Arial"/>
        <family val="2"/>
      </rPr>
      <t>departure</t>
    </r>
  </si>
  <si>
    <r>
      <t xml:space="preserve">person, </t>
    </r>
    <r>
      <rPr>
        <sz val="10"/>
        <rFont val="Arial"/>
        <family val="2"/>
      </rPr>
      <t>enter the date of death:</t>
    </r>
  </si>
  <si>
    <r>
      <t xml:space="preserve">If this </t>
    </r>
    <r>
      <rPr>
        <b/>
        <sz val="10"/>
        <rFont val="Arial"/>
        <family val="2"/>
      </rPr>
      <t>return</t>
    </r>
    <r>
      <rPr>
        <sz val="10"/>
        <rFont val="Arial"/>
        <family val="0"/>
      </rPr>
      <t xml:space="preserve"> is for a </t>
    </r>
    <r>
      <rPr>
        <b/>
        <sz val="10"/>
        <rFont val="Arial"/>
        <family val="2"/>
      </rPr>
      <t>deceased</t>
    </r>
  </si>
  <si>
    <r>
      <t xml:space="preserve">       purposes permitted under the </t>
    </r>
    <r>
      <rPr>
        <i/>
        <sz val="12"/>
        <rFont val="Arial"/>
        <family val="2"/>
      </rPr>
      <t>Canada Elections Act.</t>
    </r>
  </si>
  <si>
    <t>A)   Are you a Canadian citizen?</t>
  </si>
  <si>
    <t>1  No</t>
  </si>
  <si>
    <t xml:space="preserve">   Do not use this area</t>
  </si>
  <si>
    <t>Enter the amount of Universal Child Care Benefit repayment
included on line 213 of his or her return:
(see the guide for details)</t>
  </si>
  <si>
    <t>Security options deduction
 (110(1)(d.))</t>
  </si>
  <si>
    <t xml:space="preserve">Note: There are a number of conditions to be met before the amount </t>
  </si>
  <si>
    <t>X $120</t>
  </si>
  <si>
    <t>X $400</t>
  </si>
  <si>
    <t>Line 234 minus line 235 (if negative enter "0").  If you have a spouse or common-law partner, see line 236 in the guide.</t>
  </si>
  <si>
    <t xml:space="preserve">Are you applying for the GST/HST credit? </t>
  </si>
  <si>
    <r>
      <t xml:space="preserve">If </t>
    </r>
    <r>
      <rPr>
        <i/>
        <sz val="12"/>
        <color indexed="8"/>
        <rFont val="Arial"/>
        <family val="2"/>
      </rPr>
      <t>yes,</t>
    </r>
    <r>
      <rPr>
        <sz val="12"/>
        <color indexed="8"/>
        <rFont val="Arial"/>
        <family val="2"/>
      </rPr>
      <t xml:space="preserve"> attach a completed Form T1135.</t>
    </r>
  </si>
  <si>
    <t>MyTAX does NOT allow you to enter T4A(OAS) data directly to other sheets and forms and schedules</t>
  </si>
  <si>
    <t xml:space="preserve">You must enter your T4A(OAS) data into this form.  As your enter data, it is posted to the cells in the schedules and forms </t>
  </si>
  <si>
    <t>69</t>
  </si>
  <si>
    <t>72</t>
  </si>
  <si>
    <t>73</t>
  </si>
  <si>
    <t xml:space="preserve">The data you enter below is collected up  with data from the other forms and allocated to the appropriate line of "Allocated Data". </t>
  </si>
  <si>
    <t>Enter this amount on line 349 of Schedule 1.</t>
  </si>
  <si>
    <t>Part C – Are you the person with the higher net income?</t>
  </si>
  <si>
    <t>See section 4) below for a list of the common data items and where to put them.</t>
  </si>
  <si>
    <t>you would position the cursor to line 119 below, and then key in</t>
  </si>
  <si>
    <t>Line 6 minus line 7 (if negative, enter "0")</t>
  </si>
  <si>
    <t>2</t>
  </si>
  <si>
    <t>3</t>
  </si>
  <si>
    <t>4</t>
  </si>
  <si>
    <t>5</t>
  </si>
  <si>
    <t>6</t>
  </si>
  <si>
    <t>8</t>
  </si>
  <si>
    <t>where they are needed.  If you have more than one T4PS slip, then enter the amounts from each T4PS.</t>
  </si>
  <si>
    <t>If you have more than five T4A forms, you can add the data from the extra ones as a sum rather than a single #.</t>
  </si>
  <si>
    <t>Data is used only if you select the YES option on line 5844 of the QUAL spreadsheet</t>
  </si>
  <si>
    <t xml:space="preserve">return the data goes to.  The MISC sheet in MyTAX is a catch-all sheet for this type of data.  Go to the MISC </t>
  </si>
  <si>
    <t>white cells and MyTAX will send it to where it is needed.</t>
  </si>
  <si>
    <t>or an unlimited number of personal income tax planning scenarios.</t>
  </si>
  <si>
    <r>
      <t xml:space="preserve">Point them to our web site  </t>
    </r>
    <r>
      <rPr>
        <b/>
        <sz val="14"/>
        <color indexed="8"/>
        <rFont val="Arial"/>
        <family val="2"/>
      </rPr>
      <t>www.peeltech.ca</t>
    </r>
    <r>
      <rPr>
        <sz val="14"/>
        <color indexed="8"/>
        <rFont val="Arial"/>
        <family val="2"/>
      </rPr>
      <t xml:space="preserve">  so that they can download the latest copy.</t>
    </r>
  </si>
  <si>
    <t>I believe you will agree that MyTAX is the result of much development effort.</t>
  </si>
  <si>
    <r>
      <t xml:space="preserve">        </t>
    </r>
    <r>
      <rPr>
        <b/>
        <sz val="14"/>
        <color indexed="8"/>
        <rFont val="Arial"/>
        <family val="2"/>
      </rPr>
      <t xml:space="preserve">Peel Technologies, </t>
    </r>
    <r>
      <rPr>
        <sz val="14"/>
        <color indexed="8"/>
        <rFont val="Arial"/>
        <family val="2"/>
      </rPr>
      <t xml:space="preserve"> 11025 Miller Road, RR # 1, Dutton, Ontario, N0L 1J0</t>
    </r>
  </si>
  <si>
    <t>Another way to navigate is using the invisible Navigation bar beside the right side of each sheet.</t>
  </si>
  <si>
    <t>From there you can click on the name of the sheet you want next.  These hyperlinks will send you to the sheet.</t>
  </si>
  <si>
    <t>An update spreadsheet will allow you to update your spreadsheet without re-entering your data.</t>
  </si>
  <si>
    <r>
      <t>2)</t>
    </r>
    <r>
      <rPr>
        <sz val="14"/>
        <color indexed="8"/>
        <rFont val="Arial"/>
        <family val="2"/>
      </rPr>
      <t xml:space="preserve">  MyTAX opens with all the sheets showing in a scrollable tab list along the bottom of the screen.</t>
    </r>
  </si>
  <si>
    <r>
      <t xml:space="preserve">Multiply the amount on line 15 by the number of </t>
    </r>
    <r>
      <rPr>
        <b/>
        <sz val="12"/>
        <rFont val="Arial MT"/>
        <family val="0"/>
      </rPr>
      <t>weeks</t>
    </r>
    <r>
      <rPr>
        <sz val="12"/>
        <rFont val="Arial MT"/>
        <family val="0"/>
      </rPr>
      <t xml:space="preserve"> </t>
    </r>
  </si>
  <si>
    <t>B)   As a Canadian citizen, do you authorize the Canada Revenue Agency to provide your name,</t>
  </si>
  <si>
    <t xml:space="preserve">       address, date of birth, and citizenship to Elections Canada for the National Register of Electors? </t>
  </si>
  <si>
    <t xml:space="preserve">       Your authorization is valid until you file your next return.  This information will be used only for</t>
  </si>
  <si>
    <t xml:space="preserve">For details, see "Should you be paying your taxes by  installments?" in the guide. </t>
  </si>
  <si>
    <r>
      <t>Total payable from line 435 of your return (</t>
    </r>
    <r>
      <rPr>
        <b/>
        <sz val="14"/>
        <color indexed="8"/>
        <rFont val="Arial"/>
        <family val="2"/>
      </rPr>
      <t>not including</t>
    </r>
    <r>
      <rPr>
        <sz val="14"/>
        <color indexed="8"/>
        <rFont val="Arial"/>
        <family val="2"/>
      </rPr>
      <t xml:space="preserve"> the amount on line 421)</t>
    </r>
  </si>
  <si>
    <t>Welcome to the data entry interface for your T5 slips.</t>
  </si>
  <si>
    <t>MyTAX does NOT allow you to enter T5 data directly to other sheets and forms and schedules</t>
  </si>
  <si>
    <t>Welcome to the data entry interface for your T4A(OAS) slips.</t>
  </si>
  <si>
    <t>where they are needed.  If you have more than one T4E slip, then enter the amounts from each T4E.</t>
  </si>
  <si>
    <t>(5digits)</t>
  </si>
  <si>
    <r>
      <t>income</t>
    </r>
    <r>
      <rPr>
        <sz val="12"/>
        <rFont val="Arial MT"/>
        <family val="0"/>
      </rPr>
      <t xml:space="preserve">.  For more details, see interpretation Bulletin IT-495, </t>
    </r>
    <r>
      <rPr>
        <i/>
        <sz val="12"/>
        <rFont val="Arial MT"/>
        <family val="0"/>
      </rPr>
      <t>Child Care Expenses.</t>
    </r>
  </si>
  <si>
    <t>You must attach a copy of this schedule to your return.</t>
  </si>
  <si>
    <t>Maximum amount</t>
  </si>
  <si>
    <t xml:space="preserve">Basic exemption             </t>
  </si>
  <si>
    <t>CPP-QPP pensionable earnings</t>
  </si>
  <si>
    <t xml:space="preserve"> 5000-S8</t>
  </si>
  <si>
    <t>claim $3,500</t>
  </si>
  <si>
    <t>T776</t>
  </si>
  <si>
    <t>(If not from work or invention put on 14 above)</t>
  </si>
  <si>
    <t>Common Data Items &amp; Where to Put Them</t>
  </si>
  <si>
    <r>
      <t xml:space="preserve">line 5844 for the dependant.  If the dependant was age </t>
    </r>
    <r>
      <rPr>
        <b/>
        <sz val="12"/>
        <color indexed="8"/>
        <rFont val="Arial"/>
        <family val="2"/>
      </rPr>
      <t>18 or older,</t>
    </r>
    <r>
      <rPr>
        <sz val="12"/>
        <color indexed="8"/>
        <rFont val="Arial"/>
        <family val="2"/>
      </rPr>
      <t xml:space="preserve"> enter "0".</t>
    </r>
  </si>
  <si>
    <r>
      <t xml:space="preserve">the situation in </t>
    </r>
    <r>
      <rPr>
        <b/>
        <sz val="12"/>
        <rFont val="Arial MT"/>
        <family val="0"/>
      </rPr>
      <t>a)</t>
    </r>
    <r>
      <rPr>
        <sz val="12"/>
        <rFont val="Arial MT"/>
        <family val="0"/>
      </rPr>
      <t xml:space="preserve"> existed</t>
    </r>
  </si>
  <si>
    <r>
      <t xml:space="preserve">the situations in </t>
    </r>
    <r>
      <rPr>
        <b/>
        <sz val="12"/>
        <rFont val="Arial MT"/>
        <family val="0"/>
      </rPr>
      <t>b)</t>
    </r>
    <r>
      <rPr>
        <sz val="12"/>
        <rFont val="Arial MT"/>
        <family val="0"/>
      </rPr>
      <t xml:space="preserve"> to </t>
    </r>
    <r>
      <rPr>
        <b/>
        <sz val="12"/>
        <rFont val="Arial MT"/>
        <family val="0"/>
      </rPr>
      <t>f)</t>
    </r>
    <r>
      <rPr>
        <sz val="12"/>
        <rFont val="Arial MT"/>
        <family val="0"/>
      </rPr>
      <t xml:space="preserve"> existed</t>
    </r>
  </si>
  <si>
    <t>191</t>
  </si>
  <si>
    <t>192</t>
  </si>
  <si>
    <t>197</t>
  </si>
  <si>
    <t>199</t>
  </si>
  <si>
    <t>Net gain only</t>
  </si>
  <si>
    <r>
      <t xml:space="preserve">       Gain only</t>
    </r>
    <r>
      <rPr>
        <b/>
        <sz val="12"/>
        <color indexed="8"/>
        <rFont val="Arial"/>
        <family val="2"/>
      </rPr>
      <t xml:space="preserve"> </t>
    </r>
    <r>
      <rPr>
        <sz val="12"/>
        <color indexed="8"/>
        <rFont val="Arial"/>
        <family val="2"/>
      </rPr>
      <t xml:space="preserve"> </t>
    </r>
  </si>
  <si>
    <t>(Report capital gains or losses shown on T5, T5013, T5013A, T4PS and T3 information slips on line 174 or 176.)</t>
  </si>
  <si>
    <t>4.  Real estate, depreciable  property, and other properties</t>
  </si>
  <si>
    <t xml:space="preserve">Address or legal description                              </t>
  </si>
  <si>
    <t>5.  Bonds, debentures, promissory notes, and other similar properties</t>
  </si>
  <si>
    <t>6.  Other mortgage foreclosures and conditional sales repossessions</t>
  </si>
  <si>
    <r>
      <t xml:space="preserve">7.  Personal-use property </t>
    </r>
    <r>
      <rPr>
        <sz val="12"/>
        <color indexed="8"/>
        <rFont val="Arial"/>
        <family val="2"/>
      </rPr>
      <t>(full description)</t>
    </r>
  </si>
  <si>
    <r>
      <t xml:space="preserve">8.  Listed personal property (LPP) </t>
    </r>
    <r>
      <rPr>
        <sz val="12"/>
        <color indexed="8"/>
        <rFont val="Arial"/>
        <family val="2"/>
      </rPr>
      <t>(full description)</t>
    </r>
  </si>
  <si>
    <t>calculation is being completed for the claim on line 5848.</t>
  </si>
  <si>
    <t>If you have more than five T4PS forms, you can add the data from the extra ones as a sum rather than a single #.</t>
  </si>
  <si>
    <t>Data
T4PS #1</t>
  </si>
  <si>
    <t>Data
T4PS #2</t>
  </si>
  <si>
    <t>Data
T4PS #3</t>
  </si>
  <si>
    <t>Data
T4PS #4</t>
  </si>
  <si>
    <t>Data
T4A(OAS) #2</t>
  </si>
  <si>
    <t>Data
T4A(OAS) #3</t>
  </si>
  <si>
    <t>Data
T4A(OAS) #4</t>
  </si>
  <si>
    <t>Data
T4A(OAS) #5</t>
  </si>
  <si>
    <t xml:space="preserve">enter it for those lines into this form on the appropriate line number.  </t>
  </si>
  <si>
    <t>STATEMENT OF EMPLOYMENT INSURANCE BENEFITS</t>
  </si>
  <si>
    <t xml:space="preserve">STATEMENT OF EMPLOYEE PROFIT-SHARING </t>
  </si>
  <si>
    <t>Residents of provinces or territories other than Quebec, see line 312 in your tax guide.</t>
  </si>
  <si>
    <t>450</t>
  </si>
  <si>
    <t>for whom the disability amount can be claimed *</t>
  </si>
  <si>
    <t>Basic reduction</t>
  </si>
  <si>
    <t>AB428</t>
  </si>
  <si>
    <t>Public transit pass</t>
  </si>
  <si>
    <t xml:space="preserve">                       Copy 1-- Your spouse or common-law partner attaches this copy to his or her income tax return for the year</t>
  </si>
  <si>
    <t>Claimed</t>
  </si>
  <si>
    <t>●6</t>
  </si>
  <si>
    <r>
      <t>Step 1 – Federal non-refundable tax credits</t>
    </r>
    <r>
      <rPr>
        <b/>
        <sz val="14"/>
        <color indexed="57"/>
        <rFont val="Arial"/>
        <family val="2"/>
      </rPr>
      <t xml:space="preserve"> </t>
    </r>
    <r>
      <rPr>
        <sz val="14"/>
        <color indexed="57"/>
        <rFont val="Arial"/>
        <family val="2"/>
      </rPr>
      <t>(For details, read the related lines in the guide.)</t>
    </r>
  </si>
  <si>
    <t>Step 2 – Federal tax on taxable income</t>
  </si>
  <si>
    <r>
      <t xml:space="preserve">claim </t>
    </r>
    <r>
      <rPr>
        <b/>
        <sz val="12"/>
        <color indexed="10"/>
        <rFont val="Arial"/>
        <family val="2"/>
      </rPr>
      <t>$9.600</t>
    </r>
  </si>
  <si>
    <t>(maximum $5,177)</t>
  </si>
  <si>
    <t>Spousal or common-law partner amount (if negative, enter "0")</t>
  </si>
  <si>
    <t>his or her net income from page 1 of your return)</t>
  </si>
  <si>
    <r>
      <t>$9600</t>
    </r>
    <r>
      <rPr>
        <sz val="12"/>
        <color indexed="8"/>
        <rFont val="Arial"/>
        <family val="2"/>
      </rPr>
      <t xml:space="preserve"> </t>
    </r>
    <r>
      <rPr>
        <b/>
        <sz val="12"/>
        <color indexed="8"/>
        <rFont val="Arial"/>
        <family val="2"/>
      </rPr>
      <t>minus(</t>
    </r>
    <r>
      <rPr>
        <sz val="12"/>
        <color indexed="8"/>
        <rFont val="Arial"/>
        <family val="2"/>
      </rPr>
      <t xml:space="preserve">  </t>
    </r>
  </si>
  <si>
    <t>Amount for children born in 1990 or later</t>
  </si>
  <si>
    <t>x $2,000</t>
  </si>
  <si>
    <r>
      <t xml:space="preserve">Amount for infirm dependants age 18 or older (use federal worksheet and </t>
    </r>
    <r>
      <rPr>
        <b/>
        <sz val="12"/>
        <color indexed="8"/>
        <rFont val="Arial"/>
        <family val="2"/>
      </rPr>
      <t>attach</t>
    </r>
    <r>
      <rPr>
        <sz val="12"/>
        <color indexed="8"/>
        <rFont val="Arial"/>
        <family val="2"/>
      </rPr>
      <t xml:space="preserve"> Schedule 5)</t>
    </r>
  </si>
  <si>
    <t>(maximum $1,989.90)</t>
  </si>
  <si>
    <t>●7</t>
  </si>
  <si>
    <t>●8</t>
  </si>
  <si>
    <t>●9</t>
  </si>
  <si>
    <t>Children's fitness amount</t>
  </si>
  <si>
    <t>Step 3 – Net federal tax</t>
  </si>
  <si>
    <t>Enter the amount from line 34 above.</t>
  </si>
  <si>
    <t>●36</t>
  </si>
  <si>
    <t>●39</t>
  </si>
  <si>
    <t>●41</t>
  </si>
  <si>
    <t>●47</t>
  </si>
  <si>
    <t>●48</t>
  </si>
  <si>
    <t>(maximum $720.00)</t>
  </si>
  <si>
    <t>Disability amount transferred from a dependant (use federal worksheet)</t>
  </si>
  <si>
    <t>Pension income amount (use federal worksheet)</t>
  </si>
  <si>
    <t>Tuition, education, and textbook amounts transferred from a child</t>
  </si>
  <si>
    <r>
      <t xml:space="preserve">Tuition, education, and textbook amounts </t>
    </r>
    <r>
      <rPr>
        <b/>
        <sz val="12"/>
        <color indexed="8"/>
        <rFont val="Arial"/>
        <family val="2"/>
      </rPr>
      <t>(attach</t>
    </r>
    <r>
      <rPr>
        <sz val="12"/>
        <color indexed="8"/>
        <rFont val="Arial"/>
        <family val="2"/>
      </rPr>
      <t xml:space="preserve"> Schedule 11)</t>
    </r>
  </si>
  <si>
    <r>
      <t xml:space="preserve">Caregiver amount (use federal worksheet and </t>
    </r>
    <r>
      <rPr>
        <b/>
        <sz val="12"/>
        <color indexed="8"/>
        <rFont val="Arial"/>
        <family val="2"/>
      </rPr>
      <t>attach</t>
    </r>
    <r>
      <rPr>
        <sz val="12"/>
        <color indexed="8"/>
        <rFont val="Arial"/>
        <family val="2"/>
      </rPr>
      <t xml:space="preserve"> Schedule 5)</t>
    </r>
  </si>
  <si>
    <t>Canada employment amount</t>
  </si>
  <si>
    <t>Public transit amount</t>
  </si>
  <si>
    <r>
      <t>insurance number of the individual</t>
    </r>
    <r>
      <rPr>
        <sz val="12"/>
        <rFont val="Arial MT"/>
        <family val="0"/>
      </rPr>
      <t xml:space="preserve"> who received the payments.</t>
    </r>
  </si>
  <si>
    <t>The maximum you can claim for expenses that relate to a stay in a boarding school (other than education costs) or an</t>
  </si>
  <si>
    <r>
      <t xml:space="preserve">overnight camp (including an overnight sports school) is </t>
    </r>
    <r>
      <rPr>
        <b/>
        <sz val="12"/>
        <rFont val="Arial MT"/>
        <family val="0"/>
      </rPr>
      <t>$175 per week</t>
    </r>
    <r>
      <rPr>
        <sz val="12"/>
        <rFont val="Arial MT"/>
        <family val="0"/>
      </rPr>
      <t xml:space="preserve"> for a child included on line 1 in Part B, </t>
    </r>
    <r>
      <rPr>
        <b/>
        <sz val="12"/>
        <rFont val="Arial MT"/>
        <family val="0"/>
      </rPr>
      <t>$250 per week</t>
    </r>
  </si>
  <si>
    <r>
      <t xml:space="preserve">for a child included on line 2, and </t>
    </r>
    <r>
      <rPr>
        <b/>
        <sz val="12"/>
        <rFont val="Arial MT"/>
        <family val="0"/>
      </rPr>
      <t>$100 per week</t>
    </r>
    <r>
      <rPr>
        <sz val="12"/>
        <rFont val="Arial MT"/>
        <family val="0"/>
      </rPr>
      <t xml:space="preserve"> for an eligible child included on line 3.</t>
    </r>
  </si>
  <si>
    <t>Part B – Basic limit for child care expenses</t>
  </si>
  <si>
    <r>
      <t xml:space="preserve">Enter the amount from line 4, 5, or 6, whichever is </t>
    </r>
    <r>
      <rPr>
        <b/>
        <sz val="12"/>
        <rFont val="Arial MT"/>
        <family val="0"/>
      </rPr>
      <t>the less</t>
    </r>
  </si>
  <si>
    <t>If you are the person with the higher net income, go to Part C.  Leave lines 8 and 9 blank.</t>
  </si>
  <si>
    <r>
      <t>and</t>
    </r>
    <r>
      <rPr>
        <sz val="12"/>
        <rFont val="Arial MT"/>
        <family val="0"/>
      </rPr>
      <t xml:space="preserve"> check the boxes that apply.</t>
    </r>
  </si>
  <si>
    <t>c) The other person was not capable of caring for children because of a mental or physical infirmity. That person must have</t>
  </si>
  <si>
    <t xml:space="preserve">Line 5 minus line 6 (if negative, enter "0") </t>
  </si>
  <si>
    <t>you would position the cursor the data entry line 144 below, and then key in</t>
  </si>
  <si>
    <t>T4A(OAS)</t>
  </si>
  <si>
    <t>Line 236 minus line 257 (if negative enter "0")</t>
  </si>
  <si>
    <t>If you have more than five T4E forms, you can add the data from the extra ones as a sum rather than a single #.</t>
  </si>
  <si>
    <t>Data
T4E #1</t>
  </si>
  <si>
    <t>Data
T4E #2</t>
  </si>
  <si>
    <t>Data
T4E #3</t>
  </si>
  <si>
    <t>Data
T4E #4</t>
  </si>
  <si>
    <t>Data
T4E #5</t>
  </si>
  <si>
    <t>Commissions included on line 101 (box 42 on all T4 slips)</t>
  </si>
  <si>
    <t>Annual union, professional, or like dues (box 44 on all T4 slips and receipts)</t>
  </si>
  <si>
    <t xml:space="preserve">Allowable deduction </t>
  </si>
  <si>
    <t>Security options deductions</t>
  </si>
  <si>
    <r>
      <t>Employee and partner GST/HST rebate (</t>
    </r>
    <r>
      <rPr>
        <b/>
        <sz val="12"/>
        <color indexed="8"/>
        <rFont val="Arial"/>
        <family val="2"/>
      </rPr>
      <t>attach</t>
    </r>
    <r>
      <rPr>
        <sz val="12"/>
        <color indexed="8"/>
        <rFont val="Arial"/>
        <family val="2"/>
      </rPr>
      <t xml:space="preserve"> Form GST370)</t>
    </r>
  </si>
  <si>
    <r>
      <t xml:space="preserve">Tax </t>
    </r>
    <r>
      <rPr>
        <b/>
        <sz val="12"/>
        <color indexed="8"/>
        <rFont val="Arial"/>
        <family val="2"/>
      </rPr>
      <t>paid</t>
    </r>
    <r>
      <rPr>
        <sz val="12"/>
        <color indexed="8"/>
        <rFont val="Arial"/>
        <family val="2"/>
      </rPr>
      <t xml:space="preserve"> by installments</t>
    </r>
  </si>
  <si>
    <t>year if your direct deposit information for your refund has not changed.</t>
  </si>
  <si>
    <r>
      <t>You do not have to complete this area every year</t>
    </r>
    <r>
      <rPr>
        <sz val="12"/>
        <color indexed="8"/>
        <rFont val="Arial"/>
        <family val="2"/>
      </rPr>
      <t>.  Do not complete it this</t>
    </r>
  </si>
  <si>
    <t>Data
T5 #2</t>
  </si>
  <si>
    <t>Data
T5 #3</t>
  </si>
  <si>
    <t>Data
T5 #4</t>
  </si>
  <si>
    <t xml:space="preserve">Section 122.3 income - employment outside Canada - </t>
  </si>
  <si>
    <t>Obtain Form T626</t>
  </si>
  <si>
    <t xml:space="preserve">Annuitant's date of death  </t>
  </si>
  <si>
    <t xml:space="preserve"> (yyyy-mm-dd)</t>
  </si>
  <si>
    <t>Annuities from death of spouse or common law partner</t>
  </si>
  <si>
    <t>5902</t>
  </si>
  <si>
    <t>Taxable amounts</t>
  </si>
  <si>
    <t>English</t>
  </si>
  <si>
    <t>Francais</t>
  </si>
  <si>
    <t>Votre langue de correspondance:</t>
  </si>
  <si>
    <t xml:space="preserve">key in your data.  While you can enter your data in any order, we advise you to begin by entering data into the T4 form. </t>
  </si>
  <si>
    <t>Conditions of Usage</t>
  </si>
  <si>
    <t xml:space="preserve">Thank you for choosing MyTAX! </t>
  </si>
  <si>
    <t>Allocated Data for Slip # 2</t>
  </si>
  <si>
    <t>Allocated Data for Slip # 3</t>
  </si>
  <si>
    <t>Allocated Data for Slip # 5</t>
  </si>
  <si>
    <t>Allocated Data for Slip # 4</t>
  </si>
  <si>
    <t>Total for Line #</t>
  </si>
  <si>
    <t>From Box 16 for T1 GEN-2</t>
  </si>
  <si>
    <t>From Box 20 for T1 GEN-2</t>
  </si>
  <si>
    <t>Enter this amount on line 323 of Schedule 1.</t>
  </si>
  <si>
    <t>Allocated Data for Slip # 1</t>
  </si>
  <si>
    <t xml:space="preserve">   Line 120 of your return</t>
  </si>
  <si>
    <r>
      <t xml:space="preserve">*  If you have an amount at line 120 and </t>
    </r>
    <r>
      <rPr>
        <b/>
        <sz val="12"/>
        <color indexed="8"/>
        <rFont val="Arial"/>
        <family val="2"/>
      </rPr>
      <t>no amount</t>
    </r>
    <r>
      <rPr>
        <sz val="12"/>
        <color indexed="8"/>
        <rFont val="Arial"/>
        <family val="2"/>
      </rPr>
      <t xml:space="preserve"> at line 180 of your return, complete the following:</t>
    </r>
  </si>
  <si>
    <r>
      <t xml:space="preserve">*  If you have amounts at lines 180 </t>
    </r>
    <r>
      <rPr>
        <b/>
        <sz val="12"/>
        <color indexed="8"/>
        <rFont val="Arial"/>
        <family val="2"/>
      </rPr>
      <t>and</t>
    </r>
    <r>
      <rPr>
        <sz val="12"/>
        <color indexed="8"/>
        <rFont val="Arial"/>
        <family val="2"/>
      </rPr>
      <t xml:space="preserve"> 120 of your return, complete the following:</t>
    </r>
  </si>
  <si>
    <t xml:space="preserve">   Line 180 of your return</t>
  </si>
  <si>
    <t xml:space="preserve">   Line 1 minus line 2 (if negative, enter "0")</t>
  </si>
  <si>
    <t xml:space="preserve">   Add lines 4 and 5</t>
  </si>
  <si>
    <r>
      <t xml:space="preserve">  Credit calculated for line 6152 on the </t>
    </r>
    <r>
      <rPr>
        <i/>
        <sz val="12"/>
        <color indexed="8"/>
        <rFont val="Arial"/>
        <family val="2"/>
      </rPr>
      <t>Provincial Worksheet</t>
    </r>
  </si>
  <si>
    <t xml:space="preserve">                 her Schedule 1, you cannot transfer an amount to your or your spouse or common-law partner's</t>
  </si>
  <si>
    <t xml:space="preserve">                 parent or grandparent.</t>
  </si>
  <si>
    <r>
      <t>h) Medical Expenses:</t>
    </r>
    <r>
      <rPr>
        <sz val="14"/>
        <rFont val="Arial MT"/>
        <family val="0"/>
      </rPr>
      <t xml:space="preserve">     Schedule 1, item 330</t>
    </r>
  </si>
  <si>
    <r>
      <t xml:space="preserve">k) Tuition Fees &amp; Education Federal Deductions:    </t>
    </r>
    <r>
      <rPr>
        <sz val="14"/>
        <color indexed="8"/>
        <rFont val="Arial"/>
        <family val="2"/>
      </rPr>
      <t>Schedule 11</t>
    </r>
  </si>
  <si>
    <r>
      <t xml:space="preserve">l) Tuition Fees &amp; Education Provincial Deductions:   </t>
    </r>
    <r>
      <rPr>
        <sz val="14"/>
        <color indexed="8"/>
        <rFont val="Arial"/>
        <family val="2"/>
      </rPr>
      <t xml:space="preserve">ON(S11), BC(S11), etc. except MB which is Schedule 11 only </t>
    </r>
  </si>
  <si>
    <r>
      <t xml:space="preserve">m) OIEO(LSIF) Labour sponsored investment fund tax credit:  </t>
    </r>
    <r>
      <rPr>
        <sz val="13"/>
        <color indexed="8"/>
        <rFont val="Arial"/>
        <family val="2"/>
      </rPr>
      <t>ON428; items 6275 &amp; 6276;  Schedule 1, items 413 &amp; 414</t>
    </r>
  </si>
  <si>
    <r>
      <t xml:space="preserve">d) Eligible children   </t>
    </r>
    <r>
      <rPr>
        <sz val="14"/>
        <color indexed="8"/>
        <rFont val="Arial"/>
        <family val="2"/>
      </rPr>
      <t>Form T778</t>
    </r>
  </si>
  <si>
    <t>Enter this amount on line 420 of your return</t>
  </si>
  <si>
    <t>Number</t>
  </si>
  <si>
    <t>Complete the calculation for each dependant.</t>
  </si>
  <si>
    <t>If you are not attaching a label, print your name and address below.</t>
  </si>
  <si>
    <t xml:space="preserve">  through employment from box 16 and box 17 on all T4 slips </t>
  </si>
  <si>
    <t>Unused federal amount available to carry forward to a future year</t>
  </si>
  <si>
    <t xml:space="preserve">You must enter your T4RIF data into this form.  As your enter data, it is posted to the cells in the schedules and forms </t>
  </si>
  <si>
    <t>(use provincial worksheet)</t>
  </si>
  <si>
    <t>Spouse or common-law partner amount</t>
  </si>
  <si>
    <t xml:space="preserve">   Basic amount</t>
  </si>
  <si>
    <t>Amount for an eligible dependant</t>
  </si>
  <si>
    <t>5812</t>
  </si>
  <si>
    <t>11</t>
  </si>
  <si>
    <t>5816</t>
  </si>
  <si>
    <t>12</t>
  </si>
  <si>
    <t>5820</t>
  </si>
  <si>
    <t>13</t>
  </si>
  <si>
    <t>T3</t>
  </si>
  <si>
    <t>T4</t>
  </si>
  <si>
    <t>T4A</t>
  </si>
  <si>
    <t>T1212</t>
  </si>
  <si>
    <t>T2209</t>
  </si>
  <si>
    <t>Data
T4RIF #2</t>
  </si>
  <si>
    <t>Data
T4RIF #3</t>
  </si>
  <si>
    <t>Data
T4RIF #4</t>
  </si>
  <si>
    <t>Data
T4RIF #5</t>
  </si>
  <si>
    <t>V</t>
  </si>
  <si>
    <t>Your language of correspondence:</t>
  </si>
  <si>
    <t>Tuition and education amounts:</t>
  </si>
  <si>
    <t>x $7,000</t>
  </si>
  <si>
    <t>x $10,000</t>
  </si>
  <si>
    <t>x $4,000</t>
  </si>
  <si>
    <r>
      <t xml:space="preserve">Enter your </t>
    </r>
    <r>
      <rPr>
        <b/>
        <sz val="12"/>
        <rFont val="Arial MT"/>
        <family val="0"/>
      </rPr>
      <t>total child care expenses</t>
    </r>
    <r>
      <rPr>
        <sz val="12"/>
        <rFont val="Arial MT"/>
        <family val="0"/>
      </rPr>
      <t xml:space="preserve"> from Part A</t>
    </r>
  </si>
  <si>
    <r>
      <t xml:space="preserve">Enter your </t>
    </r>
    <r>
      <rPr>
        <b/>
        <sz val="12"/>
        <rFont val="Arial MT"/>
        <family val="0"/>
      </rPr>
      <t>earned income</t>
    </r>
  </si>
  <si>
    <t>x  2/3</t>
  </si>
  <si>
    <t>Canada</t>
  </si>
  <si>
    <t xml:space="preserve">If none of these situations applies to you, do not complete this schedule.  </t>
  </si>
  <si>
    <t>Just enter your total RRSP contributions here:</t>
  </si>
  <si>
    <t>6801</t>
  </si>
  <si>
    <t>6798</t>
  </si>
  <si>
    <t>6796</t>
  </si>
  <si>
    <t>Total pensionable earnings (add lines 3 and 4)</t>
  </si>
  <si>
    <t>Unprotected cell</t>
  </si>
  <si>
    <r>
      <t xml:space="preserve">and worksheet if filing a return.  Attach his or her information slips but </t>
    </r>
    <r>
      <rPr>
        <b/>
        <sz val="12"/>
        <color indexed="8"/>
        <rFont val="Arial"/>
        <family val="2"/>
      </rPr>
      <t>do not attach</t>
    </r>
    <r>
      <rPr>
        <sz val="12"/>
        <color indexed="8"/>
        <rFont val="Arial"/>
        <family val="2"/>
      </rPr>
      <t xml:space="preserve"> the return or schedules.</t>
    </r>
  </si>
  <si>
    <t>Amount from Box E on the pensioner's T1032E</t>
  </si>
  <si>
    <t>Amount from Box L on the pensioner's T1032E</t>
  </si>
  <si>
    <t>Amount from Box N on the pensioner's T1032E</t>
  </si>
  <si>
    <t>(This amount will be transferred automatically to line 314 on Schedule 1)</t>
  </si>
  <si>
    <t>(This amount will be transferred automatically to line 437 in T1GEN-2-3-4)</t>
  </si>
  <si>
    <r>
      <t xml:space="preserve">Complete this section </t>
    </r>
    <r>
      <rPr>
        <b/>
        <sz val="12"/>
        <rFont val="Arial MT"/>
        <family val="0"/>
      </rPr>
      <t>ONLY IF</t>
    </r>
    <r>
      <rPr>
        <sz val="12"/>
        <rFont val="Arial MT"/>
        <family val="0"/>
      </rPr>
      <t xml:space="preserve"> this is the MyTAX workbook for the pensioner transferee. </t>
    </r>
  </si>
  <si>
    <t>(This amount will be transferred automatically to line 116 in T1GEN-2-3-4)</t>
  </si>
  <si>
    <t>Manually transfer to this section the relevant data from Form T1032E that is in the pensioner's MyTAX workbook.</t>
  </si>
  <si>
    <r>
      <t xml:space="preserve">DO NOT </t>
    </r>
    <r>
      <rPr>
        <sz val="12"/>
        <rFont val="Arial MT"/>
        <family val="0"/>
      </rPr>
      <t xml:space="preserve">complete this section if this is the MyTAX workbook of the pensioner electing to split pension income </t>
    </r>
  </si>
  <si>
    <t>Do not submit to CRA the printed page containing this Step with the return of the pensioner transferee.</t>
  </si>
  <si>
    <t>For Pensioner Transferee T1032E Form ONLY  - NOT for the Pensioner's  T1032E form.</t>
  </si>
  <si>
    <t>Step 7:</t>
  </si>
  <si>
    <t>Amount from line 234 of your return</t>
  </si>
  <si>
    <t>Enter the amount from box 30</t>
  </si>
  <si>
    <t>BC WRK</t>
  </si>
  <si>
    <t>BC(S2)</t>
  </si>
  <si>
    <t>BC(S11)</t>
  </si>
  <si>
    <t>AB WRK</t>
  </si>
  <si>
    <t>AB(S2)</t>
  </si>
  <si>
    <t>AB(S11)</t>
  </si>
  <si>
    <t>NS WRK</t>
  </si>
  <si>
    <t>NS(S2)</t>
  </si>
  <si>
    <t>NS(S11)</t>
  </si>
  <si>
    <t>T1 GENERAL</t>
  </si>
  <si>
    <t>T626</t>
  </si>
  <si>
    <t>T657</t>
  </si>
  <si>
    <t>T777</t>
  </si>
  <si>
    <t>T1139</t>
  </si>
  <si>
    <t>42</t>
  </si>
  <si>
    <t>102</t>
  </si>
  <si>
    <t>44</t>
  </si>
  <si>
    <t>212</t>
  </si>
  <si>
    <t>46</t>
  </si>
  <si>
    <t>52</t>
  </si>
  <si>
    <t>206</t>
  </si>
  <si>
    <t>53</t>
  </si>
  <si>
    <t>Deferred stock option benefits</t>
  </si>
  <si>
    <t>6520</t>
  </si>
  <si>
    <r>
      <t xml:space="preserve">during the </t>
    </r>
    <r>
      <rPr>
        <b/>
        <sz val="12"/>
        <rFont val="Arial MT"/>
        <family val="0"/>
      </rPr>
      <t>same weeks.</t>
    </r>
  </si>
  <si>
    <t>Add lines 1 and 2</t>
  </si>
  <si>
    <t xml:space="preserve">     Repayment under the HBP</t>
  </si>
  <si>
    <t xml:space="preserve">     Repayment under the LLP</t>
  </si>
  <si>
    <t>(box 52 on all T4 slips and box 34 on all T4A slips)</t>
  </si>
  <si>
    <t>infirmity for whom the disability amount cannot be claimed)</t>
  </si>
  <si>
    <t>Add lines 1 to 3</t>
  </si>
  <si>
    <t>Deduction and tax credit for CPP contributions on self-employment and other earnings:</t>
  </si>
  <si>
    <t>314-2</t>
  </si>
  <si>
    <t>Registered pension plan deduction (box 20 on all T4 slips and box 32 on all T4A slips)</t>
  </si>
  <si>
    <t>Non-resident tax deducted</t>
  </si>
  <si>
    <r>
      <t>Additional tax on RESP accumulated income payments (</t>
    </r>
    <r>
      <rPr>
        <b/>
        <sz val="12"/>
        <color indexed="8"/>
        <rFont val="Arial"/>
        <family val="2"/>
      </rPr>
      <t>attach</t>
    </r>
    <r>
      <rPr>
        <sz val="12"/>
        <color indexed="8"/>
        <rFont val="Arial"/>
        <family val="2"/>
      </rPr>
      <t xml:space="preserve"> Form T1172)</t>
    </r>
  </si>
  <si>
    <t>BC tax reduction</t>
  </si>
  <si>
    <t>Workers' compensation benefits</t>
  </si>
  <si>
    <t>144</t>
  </si>
  <si>
    <t>indicated in the title.</t>
  </si>
  <si>
    <t>(Maximum allowable contribution is $1275.)</t>
  </si>
  <si>
    <t>where they are needed.  If you have more than one T4A(OAS) slip, then enter the amounts from each T4A(OAS).</t>
  </si>
  <si>
    <t xml:space="preserve"> into one set of columns.</t>
  </si>
  <si>
    <t>you would position the cursor the data entry line 113 below, and then key in</t>
  </si>
  <si>
    <t xml:space="preserve">Add lines 10 and 12.  </t>
  </si>
  <si>
    <r>
      <t>A3.</t>
    </r>
    <r>
      <rPr>
        <sz val="10"/>
        <rFont val="Arial MT"/>
        <family val="0"/>
      </rPr>
      <t xml:space="preserve"> </t>
    </r>
    <r>
      <rPr>
        <sz val="14"/>
        <rFont val="Arial MT"/>
        <family val="0"/>
      </rPr>
      <t>Yes you can.  We have designed MyTAX to accommodate this situation. MyTAX includes the standard set</t>
    </r>
  </si>
  <si>
    <t>130</t>
  </si>
  <si>
    <t>166</t>
  </si>
  <si>
    <t>104,130</t>
  </si>
  <si>
    <t>Total of lines 5804 to 5848 of your Form BC428</t>
  </si>
  <si>
    <t xml:space="preserve">Add line 23 and line 24. Enter this amount on line 214 of your return </t>
  </si>
  <si>
    <t xml:space="preserve">where an additional form is needed, you need to get a paper copy of that form and fill it out manually.  Then you can </t>
  </si>
  <si>
    <t>His or her taxable income (line 260 of his or her return)</t>
  </si>
  <si>
    <t>Sincerely, Egbert Verbrugge    P.Eng., B.E.Sc., Ph.D.</t>
  </si>
  <si>
    <t xml:space="preserve"> 5000-S3</t>
  </si>
  <si>
    <t>STATEMENT(S) OF PENSION, RETIREMENT, ANNUITY, AND OTHER INCOME</t>
  </si>
  <si>
    <t>Welcome to the data entry interface for your T4A slips.</t>
  </si>
  <si>
    <t>Allocated Slip # 5</t>
  </si>
  <si>
    <r>
      <t>3.</t>
    </r>
    <r>
      <rPr>
        <sz val="14"/>
        <color indexed="8"/>
        <rFont val="Arial"/>
        <family val="2"/>
      </rPr>
      <t xml:space="preserve">  If you have a T slip that is not in MyTAX, please go to the MISC sheet and read the top of that sheet.</t>
    </r>
  </si>
  <si>
    <t>British Columbia dividend tax credit:</t>
  </si>
  <si>
    <t>Enter the provincial foreign tax credit, from Form T2036</t>
  </si>
  <si>
    <t>Line 5508 - Age Amount</t>
  </si>
  <si>
    <t>256</t>
  </si>
  <si>
    <t>Taxable tuition assistance</t>
  </si>
  <si>
    <t>Non-taxable tuition assistance</t>
  </si>
  <si>
    <t>Add lines 1 and 2 (if the result is negative, enter "0").</t>
  </si>
  <si>
    <t>Amount from line 10</t>
  </si>
  <si>
    <t>Enter the amount  from line 11 on line 222 of your return and on line 310 of Schedule 1.</t>
  </si>
  <si>
    <t xml:space="preserve">  </t>
  </si>
  <si>
    <t xml:space="preserve">Schedule 3 </t>
  </si>
  <si>
    <t xml:space="preserve"> (1)</t>
  </si>
  <si>
    <t xml:space="preserve"> (2)</t>
  </si>
  <si>
    <t xml:space="preserve"> (3)</t>
  </si>
  <si>
    <t xml:space="preserve"> (4)</t>
  </si>
  <si>
    <t>earnings subject to contribution</t>
  </si>
  <si>
    <t>Applicable</t>
  </si>
  <si>
    <t>number of</t>
  </si>
  <si>
    <t>Charitable Donations</t>
  </si>
  <si>
    <t>Pension Adjustment</t>
  </si>
  <si>
    <t>Total Income</t>
  </si>
  <si>
    <t>428</t>
  </si>
  <si>
    <t xml:space="preserve"> For example, if you have the following amounts in three box 20's:  21500.00, 1467.33, 991.56, </t>
  </si>
  <si>
    <t>If you have an eligible spouse, only one of you can claim the basic WITB. If you have an eligible dependant, you and another person</t>
  </si>
  <si>
    <t>cannot both claim the basic WITB for that same eligible dependant.</t>
  </si>
  <si>
    <r>
      <t>●</t>
    </r>
    <r>
      <rPr>
        <sz val="12"/>
        <rFont val="Arial MT"/>
        <family val="0"/>
      </rPr>
      <t xml:space="preserve">  </t>
    </r>
    <r>
      <rPr>
        <sz val="12"/>
        <rFont val="Arial MT"/>
        <family val="0"/>
      </rPr>
      <t>you were single with no eligible dependants (see the guide at line 453 for the definition) and your adjusted family net income</t>
    </r>
  </si>
  <si>
    <r>
      <t>●</t>
    </r>
    <r>
      <rPr>
        <sz val="10.8"/>
        <rFont val="Arial MT"/>
        <family val="0"/>
      </rPr>
      <t xml:space="preserve">  </t>
    </r>
    <r>
      <rPr>
        <sz val="12"/>
        <rFont val="Arial MT"/>
        <family val="0"/>
      </rPr>
      <t>you had an eligible spouse or an eligible dependant (see the guide at line 453 for the definitions) and your adjusted family net</t>
    </r>
  </si>
  <si>
    <r>
      <t>●</t>
    </r>
    <r>
      <rPr>
        <sz val="10.8"/>
        <rFont val="Arial MT"/>
        <family val="0"/>
      </rPr>
      <t xml:space="preserve">  </t>
    </r>
    <r>
      <rPr>
        <sz val="12"/>
        <rFont val="Arial MT"/>
        <family val="0"/>
      </rPr>
      <t>you were a resident of Canada throughout the year;</t>
    </r>
  </si>
  <si>
    <r>
      <t xml:space="preserve">●  </t>
    </r>
    <r>
      <rPr>
        <sz val="12"/>
        <rFont val="Arial MT"/>
        <family val="0"/>
      </rPr>
      <t>you earned income from employment or business;</t>
    </r>
  </si>
  <si>
    <r>
      <t xml:space="preserve">●  </t>
    </r>
    <r>
      <rPr>
        <sz val="12"/>
        <rFont val="Arial MT"/>
        <family val="0"/>
      </rPr>
      <t>at the end of the year, you were 19 years of age or older, or you had an eligible spouse, or you had an eligible dependant.</t>
    </r>
  </si>
  <si>
    <r>
      <t>●</t>
    </r>
    <r>
      <rPr>
        <sz val="10.8"/>
        <rFont val="Arial MT"/>
        <family val="0"/>
      </rPr>
      <t xml:space="preserve">  </t>
    </r>
    <r>
      <rPr>
        <sz val="12"/>
        <rFont val="Arial MT"/>
        <family val="0"/>
      </rPr>
      <t>you were enrolled as a full-time student at a designated educational institution for more than 13 weeks in the year, unless</t>
    </r>
  </si>
  <si>
    <t xml:space="preserve">    you had an eligible dependant at the end of the year;</t>
  </si>
  <si>
    <t>Enter the net income from line 236 of the return.</t>
  </si>
  <si>
    <t>Add lines 14, 15, and 16</t>
  </si>
  <si>
    <r>
      <t>●</t>
    </r>
    <r>
      <rPr>
        <sz val="9"/>
        <rFont val="Arial MT"/>
        <family val="0"/>
      </rPr>
      <t xml:space="preserve">   </t>
    </r>
    <r>
      <rPr>
        <sz val="12"/>
        <rFont val="Arial MT"/>
        <family val="0"/>
      </rPr>
      <t>any other person or partnership has received, or is entitled to receive from the foreign country;</t>
    </r>
  </si>
  <si>
    <t>●   relates to employment income from that country, and you claimed an overseas employment tax credit for that income;</t>
  </si>
  <si>
    <t>●   relates to taxable capital gains from that country, and you or your spouse or common-law partner claimed a capital gains deduction</t>
  </si>
  <si>
    <t>●   was deductible as income exempt from tax under a tax treaty between Canada and that country; or</t>
  </si>
  <si>
    <t>●   was taxable in the foreign country because you were a citizen of that country, and relates to income from a source within Canada.</t>
  </si>
  <si>
    <t>voluntary contribution and does not qualify as foreign taxes paid.</t>
  </si>
  <si>
    <r>
      <t>Note:</t>
    </r>
    <r>
      <rPr>
        <sz val="12"/>
        <rFont val="Arial MT"/>
        <family val="0"/>
      </rPr>
      <t xml:space="preserve"> Any amount of tax you paid to a foreign government in excess of the amount you had to pay according to a tax treaty is considered a</t>
    </r>
  </si>
  <si>
    <t xml:space="preserve">           see line 217 in the General guide.</t>
  </si>
  <si>
    <t xml:space="preserve"> (from dispositions)</t>
  </si>
  <si>
    <t>Adjusted cost</t>
  </si>
  <si>
    <t>base</t>
  </si>
  <si>
    <t>PE428</t>
  </si>
  <si>
    <t xml:space="preserve"> the year you indicated in the title, and enter the total.</t>
  </si>
  <si>
    <t xml:space="preserve"> spouse or common-law partner reports this amount on line 130.</t>
  </si>
  <si>
    <t xml:space="preserve"> your own return for that year. Otherwise, report this amount on line 130.</t>
  </si>
  <si>
    <t>Goods and services tax/harmonized sales tax (GST/HST) credit application</t>
  </si>
  <si>
    <r>
      <t xml:space="preserve">Interest and other investment income </t>
    </r>
    <r>
      <rPr>
        <b/>
        <sz val="12"/>
        <color indexed="8"/>
        <rFont val="Arial"/>
        <family val="2"/>
      </rPr>
      <t>(attach</t>
    </r>
    <r>
      <rPr>
        <sz val="12"/>
        <color indexed="8"/>
        <rFont val="Arial"/>
        <family val="2"/>
      </rPr>
      <t xml:space="preserve"> Schedule 4)</t>
    </r>
  </si>
  <si>
    <r>
      <t xml:space="preserve">Taxable capital gains </t>
    </r>
    <r>
      <rPr>
        <b/>
        <sz val="12"/>
        <color indexed="8"/>
        <rFont val="Arial"/>
        <family val="2"/>
      </rPr>
      <t>(attach</t>
    </r>
    <r>
      <rPr>
        <sz val="12"/>
        <color indexed="8"/>
        <rFont val="Arial"/>
        <family val="2"/>
      </rPr>
      <t xml:space="preserve"> Schedule 3)</t>
    </r>
  </si>
  <si>
    <r>
      <t xml:space="preserve">and TL11C (only one claim per month, </t>
    </r>
    <r>
      <rPr>
        <b/>
        <sz val="12"/>
        <color indexed="8"/>
        <rFont val="Arial"/>
        <family val="2"/>
      </rPr>
      <t>maximum 12 months</t>
    </r>
    <r>
      <rPr>
        <sz val="12"/>
        <color indexed="8"/>
        <rFont val="Arial"/>
        <family val="2"/>
      </rPr>
      <t>)</t>
    </r>
  </si>
  <si>
    <t xml:space="preserve">             Attach your Schedule 1 (federal tax), and Form 428 (provincial or territorial tax)</t>
  </si>
  <si>
    <t xml:space="preserve">             here.  Also attach here any other schedules, information slips, forms, receipts,</t>
  </si>
  <si>
    <t xml:space="preserve">             and documents that you need to include with your return.</t>
  </si>
  <si>
    <r>
      <t xml:space="preserve">Child care expenses </t>
    </r>
    <r>
      <rPr>
        <b/>
        <sz val="12"/>
        <color indexed="8"/>
        <rFont val="Arial"/>
        <family val="2"/>
      </rPr>
      <t>(attach</t>
    </r>
    <r>
      <rPr>
        <sz val="12"/>
        <color indexed="8"/>
        <rFont val="Arial"/>
        <family val="2"/>
      </rPr>
      <t xml:space="preserve"> Form T778)</t>
    </r>
  </si>
  <si>
    <t>Disability supports deduction</t>
  </si>
  <si>
    <t>Total Income tax deducted (from all information slips)</t>
  </si>
  <si>
    <t>T1 GEN-4</t>
  </si>
  <si>
    <t>Sch9</t>
  </si>
  <si>
    <r>
      <t>(other than a month that includes a week that any of the situations in</t>
    </r>
    <r>
      <rPr>
        <b/>
        <sz val="12"/>
        <rFont val="Arial MT"/>
        <family val="0"/>
      </rPr>
      <t xml:space="preserve"> b) </t>
    </r>
    <r>
      <rPr>
        <sz val="12"/>
        <rFont val="Arial MT"/>
        <family val="0"/>
      </rPr>
      <t>to</t>
    </r>
    <r>
      <rPr>
        <b/>
        <sz val="12"/>
        <rFont val="Arial MT"/>
        <family val="0"/>
      </rPr>
      <t xml:space="preserve"> f)</t>
    </r>
    <r>
      <rPr>
        <sz val="12"/>
        <rFont val="Arial MT"/>
        <family val="0"/>
      </rPr>
      <t xml:space="preserve"> existed)</t>
    </r>
  </si>
  <si>
    <t>Complete this calculation for each dependant.</t>
  </si>
  <si>
    <t xml:space="preserve">                                       COMMON-LAW PARTNER RRSP OR RRIF TO INCLUDE IN INCOME FOR </t>
  </si>
  <si>
    <t>(year )</t>
  </si>
  <si>
    <r>
      <t xml:space="preserve">Complete this schedule </t>
    </r>
    <r>
      <rPr>
        <b/>
        <sz val="12"/>
        <color indexed="8"/>
        <rFont val="Arial"/>
        <family val="2"/>
      </rPr>
      <t>to claim</t>
    </r>
    <r>
      <rPr>
        <sz val="12"/>
        <color indexed="8"/>
        <rFont val="Arial"/>
        <family val="2"/>
      </rPr>
      <t xml:space="preserve"> a transfer of the unused part of your spouse or common-law partner's provincial amounts indicated</t>
    </r>
  </si>
  <si>
    <t xml:space="preserve">MyTAX uses the lines listed below to pick up data from other input forms including T4, T4A, T4(OAS), </t>
  </si>
  <si>
    <t>T4E, T4PS, T5007 and puts it in the "Total of all data" column</t>
  </si>
  <si>
    <t>If you have more than five T4RSP forms, you can add the data from the extra ones as a sum rather than a single #.</t>
  </si>
  <si>
    <t>No</t>
  </si>
  <si>
    <t>Welcome to the data entry interface for your T4RIF slips.</t>
  </si>
  <si>
    <t>Line 5 (in Part B) minus line 9 (in Part B) or line 14 (in Part C), whichever applies to you</t>
  </si>
  <si>
    <t>Line 4 (in Part B) minus line 9 (in Part B) or line 14 (in Part C), whichever applies to you</t>
  </si>
  <si>
    <t>User Data</t>
  </si>
  <si>
    <t>T1 GEN-1</t>
  </si>
  <si>
    <t>T1 GEN-2-3-4</t>
  </si>
  <si>
    <t>Enter this amount on line 5856 of your Form BC428.</t>
  </si>
  <si>
    <t>Line 1 minus line 2 (if negative, enter "0")</t>
  </si>
  <si>
    <t>tax credit</t>
  </si>
  <si>
    <t>(attach Form CPT20)</t>
  </si>
  <si>
    <t>Multiply the amount on line 7 by 9.9%</t>
  </si>
  <si>
    <r>
      <t xml:space="preserve">9. Line 7 </t>
    </r>
    <r>
      <rPr>
        <b/>
        <sz val="9"/>
        <color indexed="8"/>
        <rFont val="Arial"/>
        <family val="2"/>
      </rPr>
      <t>minus</t>
    </r>
    <r>
      <rPr>
        <sz val="9"/>
        <color indexed="8"/>
        <rFont val="Arial"/>
        <family val="2"/>
      </rPr>
      <t xml:space="preserve"> line 8. Report this income on line 129 of your return for the year you indicated in the title.</t>
    </r>
  </si>
  <si>
    <r>
      <t xml:space="preserve">13. Line 11 </t>
    </r>
    <r>
      <rPr>
        <b/>
        <sz val="9"/>
        <color indexed="8"/>
        <rFont val="Arial"/>
        <family val="2"/>
      </rPr>
      <t>minus</t>
    </r>
    <r>
      <rPr>
        <sz val="9"/>
        <color indexed="8"/>
        <rFont val="Arial"/>
        <family val="2"/>
      </rPr>
      <t xml:space="preserve"> line 12.</t>
    </r>
  </si>
  <si>
    <r>
      <t xml:space="preserve">14. Line 10 </t>
    </r>
    <r>
      <rPr>
        <b/>
        <sz val="9"/>
        <color indexed="8"/>
        <rFont val="Arial"/>
        <family val="2"/>
      </rPr>
      <t>plus</t>
    </r>
    <r>
      <rPr>
        <sz val="9"/>
        <color indexed="8"/>
        <rFont val="Arial"/>
        <family val="2"/>
      </rPr>
      <t xml:space="preserve"> line 13.</t>
    </r>
  </si>
  <si>
    <r>
      <t xml:space="preserve">17. Line 15 </t>
    </r>
    <r>
      <rPr>
        <b/>
        <sz val="9"/>
        <color indexed="8"/>
        <rFont val="Arial"/>
        <family val="2"/>
      </rPr>
      <t>minus</t>
    </r>
    <r>
      <rPr>
        <sz val="9"/>
        <color indexed="8"/>
        <rFont val="Arial"/>
        <family val="2"/>
      </rPr>
      <t xml:space="preserve"> line 16</t>
    </r>
  </si>
  <si>
    <r>
      <t>Amounts transferred from your spouse or common-law partner (</t>
    </r>
    <r>
      <rPr>
        <b/>
        <sz val="12"/>
        <color indexed="8"/>
        <rFont val="Arial"/>
        <family val="2"/>
      </rPr>
      <t>attach</t>
    </r>
    <r>
      <rPr>
        <sz val="12"/>
        <color indexed="8"/>
        <rFont val="Arial"/>
        <family val="2"/>
      </rPr>
      <t xml:space="preserve"> Schedule 2)</t>
    </r>
  </si>
  <si>
    <t>(A)</t>
  </si>
  <si>
    <t>(B)</t>
  </si>
  <si>
    <t>set the option  for line 315 to YES in the QUAL sheet</t>
  </si>
  <si>
    <t xml:space="preserve">The "Allocated Data" is picked up by the schedules and forms where needed.  </t>
  </si>
  <si>
    <t>I certify that the information given on this return and in any documents</t>
  </si>
  <si>
    <t>Pensionable net self-employment earnings (amounts from line 122 and lines 135 to 143 of your return)</t>
  </si>
  <si>
    <t>British Columbia mining flow-through share tax credit</t>
  </si>
  <si>
    <t>Refund of excess contributions</t>
  </si>
  <si>
    <t xml:space="preserve"> 5000-S4</t>
  </si>
  <si>
    <t>Details of Dependant</t>
  </si>
  <si>
    <t>T1-M</t>
  </si>
  <si>
    <t>115,130</t>
  </si>
  <si>
    <t>Add lines (A) and (B).</t>
  </si>
  <si>
    <r>
      <t>Donations and gifts (</t>
    </r>
    <r>
      <rPr>
        <b/>
        <sz val="12"/>
        <color indexed="8"/>
        <rFont val="Arial"/>
        <family val="2"/>
      </rPr>
      <t>attach</t>
    </r>
    <r>
      <rPr>
        <sz val="12"/>
        <color indexed="8"/>
        <rFont val="Arial"/>
        <family val="2"/>
      </rPr>
      <t xml:space="preserve"> Schedule 9)</t>
    </r>
  </si>
  <si>
    <r>
      <t xml:space="preserve">  on self-employment and other earnings (</t>
    </r>
    <r>
      <rPr>
        <b/>
        <sz val="12"/>
        <color indexed="8"/>
        <rFont val="Arial"/>
        <family val="2"/>
      </rPr>
      <t>attach</t>
    </r>
    <r>
      <rPr>
        <sz val="12"/>
        <color indexed="8"/>
        <rFont val="Arial"/>
        <family val="2"/>
      </rPr>
      <t xml:space="preserve"> Schedule 8)</t>
    </r>
  </si>
  <si>
    <t>your spouse or common-law partner</t>
  </si>
  <si>
    <r>
      <t xml:space="preserve">Interest and other investment income </t>
    </r>
    <r>
      <rPr>
        <sz val="12"/>
        <color indexed="8"/>
        <rFont val="Arial"/>
        <family val="2"/>
      </rPr>
      <t>(see line 121 in the guide)</t>
    </r>
  </si>
  <si>
    <t xml:space="preserve">You must enter your T3 data into this form.  As your enter data, it is posted to the cells in the schedules and forms </t>
  </si>
  <si>
    <t>where they are needed.  If you have more than one T3 slip, then enter the amounts from each T3 into one set of columns.</t>
  </si>
  <si>
    <t>Amount from line 12</t>
  </si>
  <si>
    <t>Total available tuition and education amounts:</t>
  </si>
  <si>
    <r>
      <t xml:space="preserve">  Enter the number of months from Column </t>
    </r>
    <r>
      <rPr>
        <b/>
        <sz val="12"/>
        <color indexed="8"/>
        <rFont val="Arial"/>
        <family val="2"/>
      </rPr>
      <t>B</t>
    </r>
    <r>
      <rPr>
        <sz val="12"/>
        <color indexed="8"/>
        <rFont val="Arial"/>
        <family val="2"/>
      </rPr>
      <t xml:space="preserve"> </t>
    </r>
  </si>
  <si>
    <r>
      <t xml:space="preserve">  Enter the number of months from Column </t>
    </r>
    <r>
      <rPr>
        <b/>
        <sz val="12"/>
        <color indexed="8"/>
        <rFont val="Arial"/>
        <family val="2"/>
      </rPr>
      <t>C</t>
    </r>
    <r>
      <rPr>
        <sz val="12"/>
        <color indexed="8"/>
        <rFont val="Arial"/>
        <family val="2"/>
      </rPr>
      <t xml:space="preserve"> </t>
    </r>
  </si>
  <si>
    <t>Taxable income from line 260 of your return</t>
  </si>
  <si>
    <r>
      <t xml:space="preserve">Enter the amount from line 1 or line 9, whichever is </t>
    </r>
    <r>
      <rPr>
        <b/>
        <sz val="12"/>
        <color indexed="8"/>
        <rFont val="Arial"/>
        <family val="2"/>
      </rPr>
      <t>less</t>
    </r>
    <r>
      <rPr>
        <sz val="12"/>
        <color indexed="8"/>
        <rFont val="Arial"/>
        <family val="2"/>
      </rPr>
      <t xml:space="preserve"> </t>
    </r>
  </si>
  <si>
    <t xml:space="preserve">Line 9 minus line 10  </t>
  </si>
  <si>
    <r>
      <t xml:space="preserve">Enter the amount from line 5 or line 11, whichever is </t>
    </r>
    <r>
      <rPr>
        <b/>
        <sz val="12"/>
        <color indexed="8"/>
        <rFont val="Arial"/>
        <family val="2"/>
      </rPr>
      <t>less</t>
    </r>
    <r>
      <rPr>
        <sz val="12"/>
        <color indexed="8"/>
        <rFont val="Arial"/>
        <family val="2"/>
      </rPr>
      <t xml:space="preserve"> </t>
    </r>
  </si>
  <si>
    <t>5832</t>
  </si>
  <si>
    <t>5836</t>
  </si>
  <si>
    <t>5840</t>
  </si>
  <si>
    <t>5844</t>
  </si>
  <si>
    <t>5848</t>
  </si>
  <si>
    <t>5852</t>
  </si>
  <si>
    <t>5856</t>
  </si>
  <si>
    <t>5860</t>
  </si>
  <si>
    <t>5864</t>
  </si>
  <si>
    <t xml:space="preserve">entry </t>
  </si>
  <si>
    <t>Enter the amount from line 7 above (if any)</t>
  </si>
  <si>
    <t>Sched 8</t>
  </si>
  <si>
    <t>columns 3 and 4)</t>
  </si>
  <si>
    <t>It is a serious offence to make a false return.</t>
  </si>
  <si>
    <t>Date:</t>
  </si>
  <si>
    <t>490</t>
  </si>
  <si>
    <t>For</t>
  </si>
  <si>
    <t>Professional</t>
  </si>
  <si>
    <t>tax preparers</t>
  </si>
  <si>
    <t>only.</t>
  </si>
  <si>
    <t>Name:</t>
  </si>
  <si>
    <t>Account number</t>
  </si>
  <si>
    <t xml:space="preserve"> For example, if you have the following amounts in three box 11's:  21500.00, 1467.33, 991.56, </t>
  </si>
  <si>
    <t>you would position the cursor the data entry line 120 below, and then key in</t>
  </si>
  <si>
    <t>Amount for this dependant:</t>
  </si>
  <si>
    <t xml:space="preserve">Eligible amount of cultural and ecological gifts  </t>
  </si>
  <si>
    <t>Allowable amount of medical expenses for other dependants</t>
  </si>
  <si>
    <r>
      <t xml:space="preserve">calculated for line 5872 on the </t>
    </r>
    <r>
      <rPr>
        <i/>
        <sz val="12"/>
        <color indexed="8"/>
        <rFont val="Arial"/>
        <family val="2"/>
      </rPr>
      <t>Provincial Worksheet</t>
    </r>
  </si>
  <si>
    <t xml:space="preserve">You must enter your T4RSP data into this form.  As your enter data, it is posted to the cells in the schedules and forms </t>
  </si>
  <si>
    <r>
      <t>This is your</t>
    </r>
    <r>
      <rPr>
        <b/>
        <sz val="12"/>
        <color indexed="8"/>
        <rFont val="Arial"/>
        <family val="2"/>
      </rPr>
      <t xml:space="preserve"> </t>
    </r>
    <r>
      <rPr>
        <b/>
        <sz val="12"/>
        <color indexed="57"/>
        <rFont val="Arial"/>
        <family val="2"/>
      </rPr>
      <t>taxable income.</t>
    </r>
  </si>
  <si>
    <r>
      <t xml:space="preserve">This is your </t>
    </r>
    <r>
      <rPr>
        <b/>
        <sz val="12"/>
        <color indexed="57"/>
        <rFont val="Arial"/>
        <family val="2"/>
      </rPr>
      <t>total payable</t>
    </r>
  </si>
  <si>
    <r>
      <t xml:space="preserve">These are your </t>
    </r>
    <r>
      <rPr>
        <b/>
        <sz val="12"/>
        <color indexed="57"/>
        <rFont val="Arial"/>
        <family val="2"/>
      </rPr>
      <t>total credits.</t>
    </r>
  </si>
  <si>
    <r>
      <t>Refund</t>
    </r>
    <r>
      <rPr>
        <b/>
        <sz val="12"/>
        <color indexed="8"/>
        <rFont val="Arial"/>
        <family val="2"/>
      </rPr>
      <t xml:space="preserve"> 484</t>
    </r>
  </si>
  <si>
    <t>Living common-law</t>
  </si>
  <si>
    <t>country is more than the non-business losses you incurred in that country. When you calculate the non-business income and losses, claim</t>
  </si>
  <si>
    <t>the allowable expenses and deductions relating to the foreign income or loss (including foreign resource and exploration and development</t>
  </si>
  <si>
    <t>deductions, as well as deductions claimed under subsections 20(11) or 20(12) of the Act — do not include any deduction you claimed for a</t>
  </si>
  <si>
    <t>dividend you received from a controlled foreign affiliate). Reduce your foreign non-business income by any income from that foreign country</t>
  </si>
  <si>
    <t>for which you claimed a capital gains deduction, and by any income from that country that was, under a tax treaty between Canada and that</t>
  </si>
  <si>
    <t>country, deductible as exempt from tax in Canada or in that country. Also, reduce it by any part of employment income from that country for</t>
  </si>
  <si>
    <t>which you claimed an overseas employment tax credit. If your net foreign non-business income is more than your net income, use your</t>
  </si>
  <si>
    <t>net income in the calculation.</t>
  </si>
  <si>
    <t>(a) Non-business income tax paid to a foreign country (see note below) is the total of non-business income or profits tax you paid to that</t>
  </si>
  <si>
    <r>
      <t xml:space="preserve">(b) </t>
    </r>
    <r>
      <rPr>
        <b/>
        <sz val="12"/>
        <rFont val="Arial MT"/>
        <family val="0"/>
      </rPr>
      <t>Net foreign non-business income</t>
    </r>
    <r>
      <rPr>
        <sz val="12"/>
        <rFont val="Arial MT"/>
        <family val="0"/>
      </rPr>
      <t xml:space="preserve"> (see note below) is the net amount you calculate when the non-business income you earned in a foreign</t>
    </r>
  </si>
  <si>
    <t>For more information on deductions claimed under subsections 20(11) and 20(12) of the Act, see Interpretation Bulletin IT-506, Foreign</t>
  </si>
  <si>
    <t>Income Taxes as a Deduction from Income.</t>
  </si>
  <si>
    <r>
      <t>Note:</t>
    </r>
    <r>
      <rPr>
        <sz val="12"/>
        <rFont val="Arial MT"/>
        <family val="0"/>
      </rPr>
      <t xml:space="preserve"> Only include your foreign non-business income for the part of the year you were a resident of Canada.</t>
    </r>
  </si>
  <si>
    <t>of Canada, include the taxable income you earned in Canada (before deductions in paragraphs 115(1)(d) to (f) of the Act) as reported on</t>
  </si>
  <si>
    <t>your Canadian return.</t>
  </si>
  <si>
    <t>a voluntary contribution and does not qualify as foreign taxes paid.</t>
  </si>
  <si>
    <t>minus any:</t>
  </si>
  <si>
    <t>amount deductible as a Canadian Forces personnel and police deduction (line 244 of your return);</t>
  </si>
  <si>
    <t>(c)  Net income (see note below) – Line 236 of your return plus the amount on line 4 of Form T1206, Tax on Split Income, minus any:</t>
  </si>
  <si>
    <t>●   amount deductible as an employee home relocation loan deduction (line 248 of your return);</t>
  </si>
  <si>
    <t>●   amount deductible as security options deductions (line 249 of your return);</t>
  </si>
  <si>
    <t>They have boxes labeled according to what you will find on your paper "T" slip.</t>
  </si>
  <si>
    <t xml:space="preserve">sheet and find the line that is labeled (spreadsheet &amp; line #) for that data.  Enter your data into any one of the </t>
  </si>
  <si>
    <r>
      <t xml:space="preserve">Total premiums deducted: </t>
    </r>
    <r>
      <rPr>
        <b/>
        <sz val="9"/>
        <rFont val="Arial"/>
        <family val="0"/>
      </rPr>
      <t>Residents of other than Quebec</t>
    </r>
    <r>
      <rPr>
        <sz val="9"/>
        <rFont val="Arial"/>
        <family val="0"/>
      </rPr>
      <t xml:space="preserve"> (from box 18 and box 55 of all your T4 slips)</t>
    </r>
  </si>
  <si>
    <r>
      <t xml:space="preserve"> </t>
    </r>
    <r>
      <rPr>
        <b/>
        <sz val="9"/>
        <color indexed="8"/>
        <rFont val="Arial"/>
        <family val="2"/>
      </rPr>
      <t>Quebec</t>
    </r>
    <r>
      <rPr>
        <sz val="9"/>
        <color indexed="8"/>
        <rFont val="Arial"/>
        <family val="2"/>
      </rPr>
      <t xml:space="preserve"> </t>
    </r>
    <r>
      <rPr>
        <b/>
        <sz val="9"/>
        <color indexed="8"/>
        <rFont val="Arial"/>
        <family val="2"/>
      </rPr>
      <t>Residents</t>
    </r>
    <r>
      <rPr>
        <sz val="9"/>
        <color indexed="8"/>
        <rFont val="Arial"/>
        <family val="2"/>
      </rPr>
      <t xml:space="preserve"> (from box 18 of all your T4 slips)</t>
    </r>
  </si>
  <si>
    <r>
      <t xml:space="preserve">Total premiums deducted : </t>
    </r>
    <r>
      <rPr>
        <b/>
        <sz val="9"/>
        <color indexed="8"/>
        <rFont val="Arial"/>
        <family val="2"/>
      </rPr>
      <t>Residents of other than Quebec</t>
    </r>
    <r>
      <rPr>
        <sz val="9"/>
        <color indexed="8"/>
        <rFont val="Arial"/>
        <family val="2"/>
      </rPr>
      <t xml:space="preserve"> (from box 18 and box 55 of all your T4 slips)</t>
    </r>
  </si>
  <si>
    <r>
      <t>Also, do</t>
    </r>
    <r>
      <rPr>
        <b/>
        <sz val="12"/>
        <color indexed="8"/>
        <rFont val="Arial"/>
        <family val="2"/>
      </rPr>
      <t xml:space="preserve"> not</t>
    </r>
    <r>
      <rPr>
        <sz val="12"/>
        <color indexed="8"/>
        <rFont val="Arial"/>
        <family val="2"/>
      </rPr>
      <t xml:space="preserve"> include any contributions or transfers</t>
    </r>
  </si>
  <si>
    <r>
      <t xml:space="preserve"> </t>
    </r>
    <r>
      <rPr>
        <sz val="12"/>
        <color indexed="8"/>
        <rFont val="Arial"/>
        <family val="0"/>
      </rPr>
      <t>●</t>
    </r>
    <r>
      <rPr>
        <sz val="9"/>
        <color indexed="8"/>
        <rFont val="Arial"/>
        <family val="2"/>
      </rPr>
      <t xml:space="preserve"> </t>
    </r>
    <r>
      <rPr>
        <sz val="12"/>
        <color indexed="8"/>
        <rFont val="Arial"/>
        <family val="2"/>
      </rPr>
      <t>you reported self-employment income on lines 135 to 143 of your return;</t>
    </r>
  </si>
  <si>
    <r>
      <t xml:space="preserve"> </t>
    </r>
    <r>
      <rPr>
        <sz val="12"/>
        <color indexed="8"/>
        <rFont val="Arial"/>
        <family val="0"/>
      </rPr>
      <t>●</t>
    </r>
    <r>
      <rPr>
        <sz val="9"/>
        <color indexed="8"/>
        <rFont val="Arial"/>
        <family val="2"/>
      </rPr>
      <t xml:space="preserve"> </t>
    </r>
    <r>
      <rPr>
        <sz val="12"/>
        <color indexed="8"/>
        <rFont val="Arial"/>
        <family val="2"/>
      </rPr>
      <t>you reported business or professional income from a partnership on line 122 of your return; or</t>
    </r>
  </si>
  <si>
    <r>
      <t xml:space="preserve"> </t>
    </r>
    <r>
      <rPr>
        <sz val="12"/>
        <color indexed="8"/>
        <rFont val="Arial"/>
        <family val="0"/>
      </rPr>
      <t>●</t>
    </r>
    <r>
      <rPr>
        <sz val="9"/>
        <color indexed="8"/>
        <rFont val="Arial"/>
        <family val="2"/>
      </rPr>
      <t xml:space="preserve"> </t>
    </r>
    <r>
      <rPr>
        <sz val="12"/>
        <color indexed="8"/>
        <rFont val="Arial"/>
        <family val="2"/>
      </rPr>
      <t>you made an election on Form CPT20 to pay additional CPP contributions on other earnings.</t>
    </r>
  </si>
  <si>
    <t>Enter the amount from line 7 in column 1 of Step 1.</t>
  </si>
  <si>
    <t>Line 35 minus line 36 (if negative, enter "0")</t>
  </si>
  <si>
    <t>Enter the amount from line 42 on line 453 of your return.</t>
  </si>
  <si>
    <t>If you did not complete Step 2, enter the amount from line 40 on line 453 of your return.</t>
  </si>
  <si>
    <t>Enter the amount from line 28 on line 453 of your return, unless you complete Step 3.</t>
  </si>
  <si>
    <t>Your spouse or</t>
  </si>
  <si>
    <t>We list the major changes below, including income tax changes 
that have been announced but were not law at the time of printing.</t>
  </si>
  <si>
    <t xml:space="preserve">If they become law as proposed, they will be effective for 2007 
or as of the dates indicated. For more details on these and other 
changes, connect to the internet and click on the link to the </t>
  </si>
  <si>
    <t>to the right of each description.</t>
  </si>
  <si>
    <t>The basic personal amount on line 300 increases from
$8,929 to $9,600.</t>
  </si>
  <si>
    <t>See page 34 for details.</t>
  </si>
  <si>
    <t>Spouse or common-law partner amount (line 303)
increases from $8,929 to $9,600.</t>
  </si>
  <si>
    <t>Amount for an eligible dependant (line 305)
increase from $8,929 to $9,600.</t>
  </si>
  <si>
    <t>Schedule 1:  The lowest personal income tax rate is reduced</t>
  </si>
  <si>
    <t>from 15.5% to 15.%.</t>
  </si>
  <si>
    <t>On Form T778, Child Care Expenses Deduction for 2007,</t>
  </si>
  <si>
    <t xml:space="preserve">use the revised amount of $9,600 for the next income </t>
  </si>
  <si>
    <t>included in the definition of an eligible child.</t>
  </si>
  <si>
    <t>Line 213</t>
  </si>
  <si>
    <t>Line 224</t>
  </si>
  <si>
    <t>Line 249</t>
  </si>
  <si>
    <t>Line 255</t>
  </si>
  <si>
    <t>Line 300</t>
  </si>
  <si>
    <t>Line 303</t>
  </si>
  <si>
    <t>Line 305</t>
  </si>
  <si>
    <t>Line 367</t>
  </si>
  <si>
    <t>Line 365</t>
  </si>
  <si>
    <t>Line 453</t>
  </si>
  <si>
    <t>Schedule 1</t>
  </si>
  <si>
    <t>Line 115</t>
  </si>
  <si>
    <t>Line 116</t>
  </si>
  <si>
    <t>Line 129</t>
  </si>
  <si>
    <t>Line 210</t>
  </si>
  <si>
    <t>Lines 135 to 143</t>
  </si>
  <si>
    <t>Installment Payments</t>
  </si>
  <si>
    <t>Elections Canada</t>
  </si>
  <si>
    <t>Guide T4040</t>
  </si>
  <si>
    <t>Line 326</t>
  </si>
  <si>
    <t>Child Care Expenses (line 214)</t>
  </si>
  <si>
    <t>Line 214</t>
  </si>
  <si>
    <t>Enter your social insurance number (SIN)</t>
  </si>
  <si>
    <t>Annuities NOT from death of spouse or common law partner</t>
  </si>
  <si>
    <t xml:space="preserve">Amounts deemed received by </t>
  </si>
  <si>
    <t>the annuitant; Deceased</t>
  </si>
  <si>
    <t>10,18</t>
  </si>
  <si>
    <t>Annuitant is your spouse</t>
  </si>
  <si>
    <t xml:space="preserve">   x 2%</t>
  </si>
  <si>
    <r>
      <t xml:space="preserve">18. </t>
    </r>
    <r>
      <rPr>
        <b/>
        <sz val="9"/>
        <color indexed="8"/>
        <rFont val="Arial"/>
        <family val="2"/>
      </rPr>
      <t>Add</t>
    </r>
    <r>
      <rPr>
        <sz val="9"/>
        <color indexed="8"/>
        <rFont val="Arial"/>
        <family val="2"/>
      </rPr>
      <t xml:space="preserve"> the amounts in boxes 16 and box 20 of your T4RIF slips that you received from spousal or common-law partner RRIFs in</t>
    </r>
  </si>
  <si>
    <r>
      <t xml:space="preserve">Attach a separate sheet of paper if you need more space.  </t>
    </r>
    <r>
      <rPr>
        <b/>
        <sz val="12"/>
        <color indexed="8"/>
        <rFont val="Arial"/>
        <family val="2"/>
      </rPr>
      <t>Attach a copy of this schedule to your return.</t>
    </r>
  </si>
  <si>
    <t>If it is a net capital loss, see line 127 in the guide.</t>
  </si>
  <si>
    <t>Notice of Assessment.</t>
  </si>
  <si>
    <t xml:space="preserve">  (amount from line 310 of your federal Schedule 1)</t>
  </si>
  <si>
    <t>[attach Schedule BC(S11)]</t>
  </si>
  <si>
    <t xml:space="preserve">Your tuition and education amounts </t>
  </si>
  <si>
    <t>[attach Schedule BC(S2)]</t>
  </si>
  <si>
    <t>x14.7%</t>
  </si>
  <si>
    <t>Enter your British Columbia tax on split income from Form T1206</t>
  </si>
  <si>
    <t>Enter your mining exploration tax credit allocated from a partnership from Form T88</t>
  </si>
  <si>
    <t>Caregiver amount</t>
  </si>
  <si>
    <t>Disability amount</t>
  </si>
  <si>
    <t>Tax on base amount</t>
  </si>
  <si>
    <t xml:space="preserve">Enter this amount on line 326 of your Schedule 1. </t>
  </si>
  <si>
    <t>Age Amount</t>
  </si>
  <si>
    <r>
      <t>Attach a copy of this schedule to your return.</t>
    </r>
    <r>
      <rPr>
        <sz val="12"/>
        <color indexed="8"/>
        <rFont val="Arial"/>
        <family val="2"/>
      </rPr>
      <t xml:space="preserve">  See line 326 in the guide for more information.</t>
    </r>
  </si>
  <si>
    <t>For internal use only</t>
  </si>
  <si>
    <r>
      <t xml:space="preserve">Allowable amount of medical expenses for </t>
    </r>
    <r>
      <rPr>
        <b/>
        <sz val="11.5"/>
        <color indexed="8"/>
        <rFont val="Arial"/>
        <family val="2"/>
      </rPr>
      <t>other dependents</t>
    </r>
    <r>
      <rPr>
        <sz val="11.5"/>
        <color indexed="8"/>
        <rFont val="Arial"/>
        <family val="2"/>
      </rPr>
      <t xml:space="preserve">
(see calculation at line 331 in the guide and </t>
    </r>
    <r>
      <rPr>
        <b/>
        <sz val="11.5"/>
        <color indexed="8"/>
        <rFont val="Arial"/>
        <family val="2"/>
      </rPr>
      <t>attach</t>
    </r>
    <r>
      <rPr>
        <sz val="11.5"/>
        <color indexed="8"/>
        <rFont val="Arial"/>
        <family val="2"/>
      </rPr>
      <t xml:space="preserve"> Schedule 5)</t>
    </r>
  </si>
  <si>
    <r>
      <t>Overseas employment tax credit (</t>
    </r>
    <r>
      <rPr>
        <b/>
        <sz val="12"/>
        <color indexed="8"/>
        <rFont val="Arial"/>
        <family val="2"/>
      </rPr>
      <t>attach</t>
    </r>
    <r>
      <rPr>
        <sz val="12"/>
        <color indexed="8"/>
        <rFont val="Arial"/>
        <family val="2"/>
      </rPr>
      <t xml:space="preserve"> Form T626)</t>
    </r>
  </si>
  <si>
    <r>
      <t>Minimum tax carry-over (</t>
    </r>
    <r>
      <rPr>
        <b/>
        <sz val="12"/>
        <color indexed="8"/>
        <rFont val="Arial"/>
        <family val="2"/>
      </rPr>
      <t>attach</t>
    </r>
    <r>
      <rPr>
        <sz val="12"/>
        <color indexed="8"/>
        <rFont val="Arial"/>
        <family val="2"/>
      </rPr>
      <t xml:space="preserve"> Form T691)</t>
    </r>
  </si>
  <si>
    <r>
      <t>Total federal political contributions (</t>
    </r>
    <r>
      <rPr>
        <b/>
        <sz val="12"/>
        <color indexed="8"/>
        <rFont val="Arial"/>
        <family val="2"/>
      </rPr>
      <t>attach</t>
    </r>
    <r>
      <rPr>
        <sz val="12"/>
        <color indexed="8"/>
        <rFont val="Arial"/>
        <family val="2"/>
      </rPr>
      <t xml:space="preserve"> receipts)</t>
    </r>
  </si>
  <si>
    <r>
      <t>Investment tax credit (</t>
    </r>
    <r>
      <rPr>
        <b/>
        <sz val="12"/>
        <color indexed="8"/>
        <rFont val="Arial"/>
        <family val="2"/>
      </rPr>
      <t>attach</t>
    </r>
    <r>
      <rPr>
        <sz val="12"/>
        <color indexed="8"/>
        <rFont val="Arial"/>
        <family val="2"/>
      </rPr>
      <t xml:space="preserve"> Form T2038(IND))</t>
    </r>
  </si>
  <si>
    <t>c</t>
  </si>
  <si>
    <t>British Columbia Tax before the</t>
  </si>
  <si>
    <t>overseas employment tax credit*</t>
  </si>
  <si>
    <t>Federal tax before the overseas</t>
  </si>
  <si>
    <t>employment tax credit**</t>
  </si>
  <si>
    <t>*** Amount from line 426 of federal Schedule 1.</t>
  </si>
  <si>
    <t xml:space="preserve">You must enter your T4E data into this form.  As your enter data, it is posted to the cells in the schedules and forms </t>
  </si>
  <si>
    <t>From Box 18 for T1 GEN-2</t>
  </si>
  <si>
    <t>you are missing and print them out on your local printer.</t>
  </si>
  <si>
    <t>3) Frequent Questions &amp; Comments</t>
  </si>
  <si>
    <t>any of the white cells in that row.</t>
  </si>
  <si>
    <r>
      <t>filing a return.</t>
    </r>
    <r>
      <rPr>
        <sz val="12"/>
        <rFont val="Arial MT"/>
        <family val="0"/>
      </rPr>
      <t xml:space="preserve">  Attach his or her information slips, but do not attach the return or schedules.</t>
    </r>
  </si>
  <si>
    <t>CPP - QPP Exempt</t>
  </si>
  <si>
    <t>EI Exempt</t>
  </si>
  <si>
    <t>PPIP Exempt</t>
  </si>
  <si>
    <t>Residents of Quebec, see line 375 in your tax guide.</t>
  </si>
  <si>
    <t>to another RRIF or an RRSP, or used to buy an annuity that cannot be</t>
  </si>
  <si>
    <t xml:space="preserve"> commuted for at least three years from the day it was bought.</t>
  </si>
  <si>
    <t xml:space="preserve">15. Enter the total amount that your spouse or common-law partner contributed to your RRSPs in the </t>
  </si>
  <si>
    <t xml:space="preserve">year you indicated in the title, and the two preceding years. If you completed Part 1 above, enter the  </t>
  </si>
  <si>
    <t>amount from line 4.</t>
  </si>
  <si>
    <t xml:space="preserve">16. Enter the portion of the line 15 amount that your spouse or common-law partner contributed to your </t>
  </si>
  <si>
    <t>Prov/Terr.</t>
  </si>
  <si>
    <t>Line 306 - Amount for Infirm dependants age 18 or older</t>
  </si>
  <si>
    <t>Enter on line 306 of Schedule 1, the total amount claimed for all dependants.</t>
  </si>
  <si>
    <t>Spouse or common-law partner's adjusted taxable income:</t>
  </si>
  <si>
    <t>STATEMENT OF INCOME FROM A</t>
  </si>
  <si>
    <t>REGISTERED RETIREMENT INCOME FUND</t>
  </si>
  <si>
    <t>STATEMENT OF RRSP INCOME</t>
  </si>
  <si>
    <t>STATEMENT OF INVESTMENT INCOME</t>
  </si>
  <si>
    <t>STATEMENT OF EMPLOYEE PROFIT-SHARING</t>
  </si>
  <si>
    <t>Non-eligible retiring allowances</t>
  </si>
  <si>
    <t>Annuity Payments</t>
  </si>
  <si>
    <t>Payment because death of spouse: (Yes or No)</t>
  </si>
  <si>
    <t>Number of eligible children:</t>
  </si>
  <si>
    <r>
      <t xml:space="preserve">Enter any child care expenses that the </t>
    </r>
    <r>
      <rPr>
        <b/>
        <sz val="12"/>
        <rFont val="Arial MT"/>
        <family val="0"/>
      </rPr>
      <t xml:space="preserve">other person </t>
    </r>
    <r>
      <rPr>
        <sz val="12"/>
        <rFont val="Arial MT"/>
        <family val="0"/>
      </rPr>
      <t xml:space="preserve">(as described under "Who can claim child care </t>
    </r>
  </si>
  <si>
    <t xml:space="preserve">If any of the following situations apply to you, determine the amounts for lines 1, 2, 3 and 5 by using the table below and your </t>
  </si>
  <si>
    <r>
      <t>If you have any</t>
    </r>
    <r>
      <rPr>
        <b/>
        <sz val="14"/>
        <color indexed="8"/>
        <rFont val="Arial"/>
        <family val="2"/>
      </rPr>
      <t xml:space="preserve"> additional data not included</t>
    </r>
    <r>
      <rPr>
        <sz val="14"/>
        <color indexed="8"/>
        <rFont val="Arial"/>
        <family val="2"/>
      </rPr>
      <t xml:space="preserve"> in the above sheets/forms, such as for T3, T4RIF,T4RSP,T5,T5013, T5008, T4A(P)</t>
    </r>
  </si>
  <si>
    <r>
      <t xml:space="preserve">If the result is negative, you have a </t>
    </r>
    <r>
      <rPr>
        <b/>
        <sz val="12"/>
        <color indexed="8"/>
        <rFont val="Arial"/>
        <family val="2"/>
      </rPr>
      <t xml:space="preserve">refund.   </t>
    </r>
  </si>
  <si>
    <r>
      <t xml:space="preserve">If the result is positive, you have a </t>
    </r>
    <r>
      <rPr>
        <b/>
        <sz val="12"/>
        <color indexed="8"/>
        <rFont val="Arial"/>
        <family val="2"/>
      </rPr>
      <t xml:space="preserve">balance owing.   </t>
    </r>
  </si>
  <si>
    <t>Mailing address; Apt. No. - Street No.  Street name</t>
  </si>
  <si>
    <t>R.R.</t>
  </si>
  <si>
    <t>P.O. Box</t>
  </si>
  <si>
    <t>Tuition and education amounts transferred from a child</t>
  </si>
  <si>
    <t>Social benefits repayment (if you reported income on line 113, 119, or 146, see line 235 in the guide)</t>
  </si>
  <si>
    <t>MISC</t>
  </si>
  <si>
    <t>T5013</t>
  </si>
  <si>
    <t>Branch</t>
  </si>
  <si>
    <t>number</t>
  </si>
  <si>
    <t>Institution</t>
  </si>
  <si>
    <t>CCTB</t>
  </si>
  <si>
    <t>462</t>
  </si>
  <si>
    <t>Data
T3 #1</t>
  </si>
  <si>
    <t>Data
T3 #2</t>
  </si>
  <si>
    <t>Data
T3 #3</t>
  </si>
  <si>
    <t>Carrying charges (specify)</t>
  </si>
  <si>
    <t>Interest expenses (specify)</t>
  </si>
  <si>
    <t>Note:</t>
  </si>
  <si>
    <t xml:space="preserve">click the Excel "File" menu and then select Page Setup from the drop down list.  Under the Scale Printer </t>
  </si>
  <si>
    <t>you can choose "Adjust to:" and enter a specific scale factor or you can select the "Fit to:" radio button.</t>
  </si>
  <si>
    <r>
      <t xml:space="preserve">If there is </t>
    </r>
    <r>
      <rPr>
        <b/>
        <sz val="12"/>
        <rFont val="Arial MT"/>
        <family val="0"/>
      </rPr>
      <t>another person</t>
    </r>
    <r>
      <rPr>
        <sz val="12"/>
        <rFont val="Arial MT"/>
        <family val="0"/>
      </rPr>
      <t xml:space="preserve"> (as described in the section called "Who can claim child care expenses?") and you are the one with </t>
    </r>
  </si>
  <si>
    <r>
      <t xml:space="preserve">the </t>
    </r>
    <r>
      <rPr>
        <b/>
        <sz val="12"/>
        <rFont val="Arial MT"/>
        <family val="0"/>
      </rPr>
      <t>lower net income</t>
    </r>
    <r>
      <rPr>
        <sz val="12"/>
        <rFont val="Arial MT"/>
        <family val="0"/>
      </rPr>
      <t>, complete Parts A and B.</t>
    </r>
  </si>
  <si>
    <r>
      <t xml:space="preserve">the </t>
    </r>
    <r>
      <rPr>
        <b/>
        <sz val="12"/>
        <rFont val="Arial MT"/>
        <family val="0"/>
      </rPr>
      <t>higher net income</t>
    </r>
    <r>
      <rPr>
        <sz val="12"/>
        <rFont val="Arial MT"/>
        <family val="0"/>
      </rPr>
      <t>, complete Parts A, B, C, and, if it applies, D.</t>
    </r>
  </si>
  <si>
    <r>
      <t xml:space="preserve">List the </t>
    </r>
    <r>
      <rPr>
        <b/>
        <sz val="12"/>
        <rFont val="Arial MT"/>
        <family val="0"/>
      </rPr>
      <t>first and last names</t>
    </r>
    <r>
      <rPr>
        <sz val="12"/>
        <rFont val="Arial MT"/>
        <family val="0"/>
      </rPr>
      <t xml:space="preserve"> and the </t>
    </r>
    <r>
      <rPr>
        <b/>
        <sz val="12"/>
        <rFont val="Arial MT"/>
        <family val="0"/>
      </rPr>
      <t>date of birth</t>
    </r>
    <r>
      <rPr>
        <sz val="12"/>
        <rFont val="Arial MT"/>
        <family val="0"/>
      </rPr>
      <t xml:space="preserve"> of all your eligible children,</t>
    </r>
  </si>
  <si>
    <r>
      <t xml:space="preserve">net income was in a situation described below.  Give the name, social insurance number, and the net income of the other person, </t>
    </r>
  </si>
  <si>
    <t>Name of person with the lower net income</t>
  </si>
  <si>
    <r>
      <t>A2.</t>
    </r>
    <r>
      <rPr>
        <sz val="14"/>
        <color indexed="8"/>
        <rFont val="Arial"/>
        <family val="2"/>
      </rPr>
      <t xml:space="preserve">  On the back of the "T" slip  or on an accompanying sheet, it usually says what line on your income tax</t>
    </r>
  </si>
  <si>
    <r>
      <t xml:space="preserve">Note: </t>
    </r>
    <r>
      <rPr>
        <sz val="12"/>
        <color indexed="8"/>
        <rFont val="Arial"/>
        <family val="2"/>
      </rPr>
      <t>If you have a business investment loss,</t>
    </r>
  </si>
  <si>
    <t>Total of all data</t>
  </si>
  <si>
    <t>Disability amount transferred from a dependant</t>
  </si>
  <si>
    <t>Repayment Rate</t>
  </si>
  <si>
    <t>Total benefits paid</t>
  </si>
  <si>
    <t>Regular and other benefits paid</t>
  </si>
  <si>
    <t xml:space="preserve"> 5000-S2</t>
  </si>
  <si>
    <t>Also enter this amount on line 208 of your return.</t>
  </si>
  <si>
    <r>
      <t>Attach a copy of this schedule to your return</t>
    </r>
    <r>
      <rPr>
        <sz val="12"/>
        <color indexed="8"/>
        <rFont val="Arial"/>
        <family val="2"/>
      </rPr>
      <t>.  See line 222 in the guide for more information.</t>
    </r>
  </si>
  <si>
    <r>
      <t>e)</t>
    </r>
    <r>
      <rPr>
        <sz val="14"/>
        <color indexed="8"/>
        <rFont val="Arial"/>
        <family val="2"/>
      </rPr>
      <t xml:space="preserve"> </t>
    </r>
    <r>
      <rPr>
        <b/>
        <sz val="14"/>
        <color indexed="8"/>
        <rFont val="Arial"/>
        <family val="2"/>
      </rPr>
      <t>Canada Savings Bond Income, T5 Box 13 Data:</t>
    </r>
    <r>
      <rPr>
        <sz val="14"/>
        <color indexed="8"/>
        <rFont val="Arial"/>
        <family val="2"/>
      </rPr>
      <t xml:space="preserve">  Section II of the Sch4-2 Sheet</t>
    </r>
  </si>
  <si>
    <r>
      <t xml:space="preserve">f) Charitable Donations and Gifts:  </t>
    </r>
    <r>
      <rPr>
        <sz val="14"/>
        <color indexed="8"/>
        <rFont val="Arial"/>
        <family val="2"/>
      </rPr>
      <t>MISC sheet.  Scroll down to line labeled Sch9  Line 1 and enter data into</t>
    </r>
  </si>
  <si>
    <r>
      <t>g)  Child care expenses:</t>
    </r>
    <r>
      <rPr>
        <sz val="14"/>
        <rFont val="Arial MT"/>
        <family val="0"/>
      </rPr>
      <t xml:space="preserve">  Form T778.</t>
    </r>
  </si>
  <si>
    <t>For printing final copies, click the Sheet Name Hyperlink to each sheet that has data and print it from there.</t>
  </si>
  <si>
    <t xml:space="preserve">You can transfer all or part of the amount on line 19 to your spouse or common-law partner, to his or her </t>
  </si>
  <si>
    <t>MyTAX does NOT allow you to enter T4RIF data directly to other sheets and forms and schedules</t>
  </si>
  <si>
    <r>
      <t>Sales tax credit</t>
    </r>
    <r>
      <rPr>
        <sz val="16"/>
        <color indexed="8"/>
        <rFont val="Arial"/>
        <family val="2"/>
      </rPr>
      <t xml:space="preserve"> </t>
    </r>
    <r>
      <rPr>
        <sz val="14"/>
        <color indexed="8"/>
        <rFont val="Arial"/>
        <family val="2"/>
      </rPr>
      <t>(for low-income families and individuals)</t>
    </r>
  </si>
  <si>
    <t>Income for the sales tax credit</t>
  </si>
  <si>
    <r>
      <t xml:space="preserve">Complete the calculations that apply to you and </t>
    </r>
    <r>
      <rPr>
        <b/>
        <sz val="12"/>
        <color indexed="8"/>
        <rFont val="Arial"/>
        <family val="2"/>
      </rPr>
      <t>attach a copy</t>
    </r>
    <r>
      <rPr>
        <sz val="12"/>
        <color indexed="8"/>
        <rFont val="Arial"/>
        <family val="2"/>
      </rPr>
      <t xml:space="preserve"> of this form to your return.  </t>
    </r>
  </si>
  <si>
    <t>First name and initial</t>
  </si>
  <si>
    <t>Year</t>
  </si>
  <si>
    <t>Month</t>
  </si>
  <si>
    <t>Day</t>
  </si>
  <si>
    <t>Add line 1 and 2</t>
  </si>
  <si>
    <t>LLP student</t>
  </si>
  <si>
    <t>Employment Insurance (EI) benefits repayment chart</t>
  </si>
  <si>
    <r>
      <t xml:space="preserve">8. Enter the amount from line 3 or line 6, </t>
    </r>
    <r>
      <rPr>
        <b/>
        <sz val="9"/>
        <color indexed="8"/>
        <rFont val="Arial"/>
        <family val="2"/>
      </rPr>
      <t>whichever is less</t>
    </r>
    <r>
      <rPr>
        <sz val="9"/>
        <color indexed="8"/>
        <rFont val="Arial"/>
        <family val="2"/>
      </rPr>
      <t>. Your spouse or common-law partner reports this income on line 129</t>
    </r>
  </si>
  <si>
    <t>Taxable amount</t>
  </si>
  <si>
    <t>RRSP income (from all T4RSP slips)</t>
  </si>
  <si>
    <t>Self-employment income (see lines 135 to 143 in the guide)</t>
  </si>
  <si>
    <t>Workers' compensation benefits (box 10 on the T5007 slip)</t>
  </si>
  <si>
    <t>Net federal supplements (box 21 on the T4A(OAS) slip)</t>
  </si>
  <si>
    <t>Face Value</t>
  </si>
  <si>
    <t>Maturity date</t>
  </si>
  <si>
    <t>yyyy-mm-dd</t>
  </si>
  <si>
    <t>Last name</t>
  </si>
  <si>
    <t>Date of Birth</t>
  </si>
  <si>
    <t>Relationship</t>
  </si>
  <si>
    <t>Nature of the infirmity</t>
  </si>
  <si>
    <t>First name</t>
  </si>
  <si>
    <t>Year-Month-Day</t>
  </si>
  <si>
    <t>to you</t>
  </si>
  <si>
    <t>Address:</t>
  </si>
  <si>
    <t xml:space="preserve"> 5000-S5</t>
  </si>
  <si>
    <t>RRSP Unused Contributions</t>
  </si>
  <si>
    <t>Schedule 7</t>
  </si>
  <si>
    <r>
      <t>j) Property Tax:</t>
    </r>
    <r>
      <rPr>
        <sz val="14"/>
        <color indexed="8"/>
        <rFont val="Arial"/>
        <family val="2"/>
      </rPr>
      <t xml:space="preserve">    Manitoba=MB479; item 6112</t>
    </r>
  </si>
  <si>
    <r>
      <t xml:space="preserve">l) Tuition Fees &amp; Education Provincial Deductions:   </t>
    </r>
    <r>
      <rPr>
        <sz val="14"/>
        <color indexed="8"/>
        <rFont val="Arial"/>
        <family val="2"/>
      </rPr>
      <t>ON(S11)</t>
    </r>
  </si>
  <si>
    <r>
      <t xml:space="preserve">l) Tuition Fees &amp; Education Provincial Deductions:   </t>
    </r>
    <r>
      <rPr>
        <sz val="14"/>
        <color indexed="8"/>
        <rFont val="Arial"/>
        <family val="2"/>
      </rPr>
      <t>BC(S11)</t>
    </r>
  </si>
  <si>
    <t>221</t>
  </si>
  <si>
    <t>122</t>
  </si>
  <si>
    <r>
      <t xml:space="preserve">Taxable amount of dividends (eligible &amp; other than eligible) from taxable Canadian corporations </t>
    </r>
    <r>
      <rPr>
        <sz val="12"/>
        <color indexed="8"/>
        <rFont val="Arial"/>
        <family val="2"/>
      </rPr>
      <t>(see line 120 in the guide)</t>
    </r>
  </si>
  <si>
    <t>Taxable amount of dividends other than eligible dividends (specify):</t>
  </si>
  <si>
    <t>Taxable amount of eligible dividends (specify):</t>
  </si>
  <si>
    <t>Federal dividend tax credit ( see line 425 in the guide)</t>
  </si>
  <si>
    <t>Federal tax on split income (from line 5 of Form T1206)</t>
  </si>
  <si>
    <t>405</t>
  </si>
  <si>
    <t>●46</t>
  </si>
  <si>
    <t>Line 1 minus line 2 (if negative, enter "0".  If it is more than $10,000 enter $10,000)</t>
  </si>
  <si>
    <r>
      <t xml:space="preserve">Enter, on line 5872 of Form BC428, the total amount claimed for </t>
    </r>
    <r>
      <rPr>
        <b/>
        <sz val="11"/>
        <color indexed="8"/>
        <rFont val="Arial"/>
        <family val="2"/>
      </rPr>
      <t>all</t>
    </r>
    <r>
      <rPr>
        <sz val="11"/>
        <color indexed="8"/>
        <rFont val="Arial"/>
        <family val="2"/>
      </rPr>
      <t xml:space="preserve"> other dependants.</t>
    </r>
  </si>
  <si>
    <t>you must set the option for line 306  to YES on the QUAL sheet</t>
  </si>
  <si>
    <t>Data is used only if you select the YES option on line 5816 of the QUAL spreadsheet</t>
  </si>
  <si>
    <t>Line 301 - Age Amount</t>
  </si>
  <si>
    <t>Maximum Claim</t>
  </si>
  <si>
    <t>See the guide to find out if you can claim an amount on line 305, 306, or 315 and/or 331 of Schedule 1.  To calculate the amount you</t>
  </si>
  <si>
    <t>6795</t>
  </si>
  <si>
    <t xml:space="preserve"> (5)</t>
  </si>
  <si>
    <t>Year of</t>
  </si>
  <si>
    <t>Proceeds of</t>
  </si>
  <si>
    <t>Outlays &amp; expenses</t>
  </si>
  <si>
    <t>Taxable Income</t>
  </si>
  <si>
    <t>Total unused amount</t>
  </si>
  <si>
    <t>I -</t>
  </si>
  <si>
    <t>II -</t>
  </si>
  <si>
    <t>III -</t>
  </si>
  <si>
    <t>Provincial Worksheet</t>
  </si>
  <si>
    <t>T1 General</t>
  </si>
  <si>
    <t>Line 1 minus  $2,000 (if negative, enter "0")</t>
  </si>
  <si>
    <t>Contributions through employment</t>
  </si>
  <si>
    <t>Federal sheets background colour</t>
  </si>
  <si>
    <t>Spreadsheet Calculated Value</t>
  </si>
  <si>
    <r>
      <t xml:space="preserve">2. </t>
    </r>
    <r>
      <rPr>
        <sz val="14"/>
        <color indexed="8"/>
        <rFont val="Arial"/>
        <family val="2"/>
      </rPr>
      <t xml:space="preserve"> In the GO TO sheet, the User Data Status column shows whether a sheet has received user related data.</t>
    </r>
  </si>
  <si>
    <t xml:space="preserve">                                                                          AMOUNTS FROM A SPOUSAL OR </t>
  </si>
  <si>
    <t xml:space="preserve">Unused British Columbia tuition and education amounts from </t>
  </si>
  <si>
    <t>Your name</t>
  </si>
  <si>
    <t>Social insurance number</t>
  </si>
  <si>
    <t>Enter net income from item 9946 on line 143 of T1 GEN-2-3-4 sheet of MyTAX</t>
  </si>
  <si>
    <t xml:space="preserve">Enter bottom line from form T626 into </t>
  </si>
  <si>
    <t>(If you have values for line above, you must complete form in T4040</t>
  </si>
  <si>
    <t>See line 207 in your tax guide.  Obtain paper guide T4040.</t>
  </si>
  <si>
    <t>Adoption expenses</t>
  </si>
  <si>
    <t>(amount from line 313 of your federal Schedule 1)</t>
  </si>
  <si>
    <t>Maximum amount of</t>
  </si>
  <si>
    <t>If you claimed this dependant on line 5816, enter the amount claimed</t>
  </si>
  <si>
    <t xml:space="preserve"> you completed Part 1 above, add the line 5 and line 8 amounts and enter the  result.</t>
  </si>
  <si>
    <t>465</t>
  </si>
  <si>
    <t>466</t>
  </si>
  <si>
    <t xml:space="preserve"> For example, if you have the following amounts in three box 16's:  21500.00, 1467.33, 991.56, </t>
  </si>
  <si>
    <t>Data
T4A # 1</t>
  </si>
  <si>
    <t>Data
T4A # 2</t>
  </si>
  <si>
    <t>Data
T4A # 3</t>
  </si>
  <si>
    <t>Data
T4A # 4</t>
  </si>
  <si>
    <t>Data
T4A # 5</t>
  </si>
  <si>
    <t>Footnote codes</t>
  </si>
  <si>
    <t>Pension or Superannuation</t>
  </si>
  <si>
    <t>Lump-sum payments</t>
  </si>
  <si>
    <t>Income Tax deducted</t>
  </si>
  <si>
    <t>Eligible retiring allowances</t>
  </si>
  <si>
    <t>Patronage allocations</t>
  </si>
  <si>
    <t>Registered Pension plan contributions (past service)</t>
  </si>
  <si>
    <t>RESP accumulated income payments</t>
  </si>
  <si>
    <t>RESP educational assistance payments</t>
  </si>
  <si>
    <t>Federal overseas</t>
  </si>
  <si>
    <t>employment tax credit***</t>
  </si>
  <si>
    <t>=</t>
  </si>
  <si>
    <t>Line 4 (in Part B)</t>
  </si>
  <si>
    <t>Refund of Premiums</t>
  </si>
  <si>
    <t>Schedules &amp; Forms</t>
  </si>
  <si>
    <t>Transfers, and HBP or LLP Activities</t>
  </si>
  <si>
    <t xml:space="preserve"> RRSPs in the two preceding years, and included in income for one of those two preceding years.</t>
  </si>
  <si>
    <t>7. Enter the amount from line 1.</t>
  </si>
  <si>
    <t xml:space="preserve"> For example, if you have the following amounts in three box 14's:  21500.00, 1467.33, 991.56, </t>
  </si>
  <si>
    <r>
      <t xml:space="preserve">Enter your </t>
    </r>
    <r>
      <rPr>
        <b/>
        <sz val="12"/>
        <color indexed="8"/>
        <rFont val="Arial"/>
        <family val="2"/>
      </rPr>
      <t>taxable income</t>
    </r>
    <r>
      <rPr>
        <sz val="12"/>
        <color indexed="8"/>
        <rFont val="Arial"/>
        <family val="2"/>
      </rPr>
      <t xml:space="preserve"> from line 260 of your return</t>
    </r>
  </si>
  <si>
    <r>
      <t>This is your</t>
    </r>
    <r>
      <rPr>
        <b/>
        <sz val="12"/>
        <color indexed="8"/>
        <rFont val="Arial"/>
        <family val="2"/>
      </rPr>
      <t xml:space="preserve"> net income before adjustments. </t>
    </r>
  </si>
  <si>
    <t>Data
T5007 #4</t>
  </si>
  <si>
    <t>Data
T5007 #5</t>
  </si>
  <si>
    <t>STATEMENT OF BENEFITS</t>
  </si>
  <si>
    <t xml:space="preserve"> For example, if you have the following amounts in three box 10's:  21500.00, 1467.33, 991.56, </t>
  </si>
  <si>
    <t>4. Enter  the total amount that your spouse or common-law partner contributed to your RRSPs in the</t>
  </si>
  <si>
    <t xml:space="preserve"> year you indicated in the title, and the two preceding years.</t>
  </si>
  <si>
    <t>5. Enter the portion of the line 4 amount that your spouse or common-law partner contributed to your</t>
  </si>
  <si>
    <t>Line 306, 315 and/or 331 - Attach a separate sheet of paper if you need more space.</t>
  </si>
  <si>
    <t>Birth</t>
  </si>
  <si>
    <t>Nature of the infirmity
(if it applies)</t>
  </si>
  <si>
    <t>charitable donations shown on your T4 and T4A slips.  See line 349 in the guide for more information.</t>
  </si>
  <si>
    <t>Provincial Tuition and Educational Amounts</t>
  </si>
  <si>
    <t>Contributor spouse or</t>
  </si>
  <si>
    <t xml:space="preserve">   Enter this amount on line 6152 of Form BC428.</t>
  </si>
  <si>
    <t>enter the amount from line 1 on line 43 of Form BC428</t>
  </si>
  <si>
    <r>
      <t xml:space="preserve">Carrying charges and interest expenses </t>
    </r>
    <r>
      <rPr>
        <b/>
        <sz val="12"/>
        <color indexed="8"/>
        <rFont val="Arial"/>
        <family val="2"/>
      </rPr>
      <t>(attach</t>
    </r>
    <r>
      <rPr>
        <sz val="12"/>
        <color indexed="8"/>
        <rFont val="Arial"/>
        <family val="2"/>
      </rPr>
      <t xml:space="preserve"> Schedule 4)</t>
    </r>
  </si>
  <si>
    <r>
      <t>(attach</t>
    </r>
    <r>
      <rPr>
        <sz val="12"/>
        <color indexed="8"/>
        <rFont val="Arial"/>
        <family val="2"/>
      </rPr>
      <t xml:space="preserve"> Schedule 8)</t>
    </r>
  </si>
  <si>
    <r>
      <t xml:space="preserve">Exploration and development expenses </t>
    </r>
    <r>
      <rPr>
        <b/>
        <sz val="12"/>
        <color indexed="8"/>
        <rFont val="Arial"/>
        <family val="2"/>
      </rPr>
      <t>(attach</t>
    </r>
    <r>
      <rPr>
        <sz val="12"/>
        <color indexed="8"/>
        <rFont val="Arial"/>
        <family val="2"/>
      </rPr>
      <t xml:space="preserve"> Form T1229)</t>
    </r>
  </si>
  <si>
    <r>
      <t xml:space="preserve">Northern residents deductions </t>
    </r>
    <r>
      <rPr>
        <b/>
        <sz val="12"/>
        <color indexed="8"/>
        <rFont val="Arial"/>
        <family val="2"/>
      </rPr>
      <t>(attach</t>
    </r>
    <r>
      <rPr>
        <sz val="12"/>
        <color indexed="8"/>
        <rFont val="Arial"/>
        <family val="2"/>
      </rPr>
      <t xml:space="preserve"> Form T2222)</t>
    </r>
  </si>
  <si>
    <t>Canadian Forces personnel and police deduction (box 43 on all T4 Slips)</t>
  </si>
  <si>
    <t>244</t>
  </si>
  <si>
    <t xml:space="preserve">Add lines 244 to 256. </t>
  </si>
  <si>
    <t>Dependant's taxable income (from line 260 of his or her return)</t>
  </si>
  <si>
    <t>Allowable amount for this dependant: Line 5 minus line 6 (if negative, enter "0")</t>
  </si>
  <si>
    <r>
      <t>2.</t>
    </r>
    <r>
      <rPr>
        <sz val="14"/>
        <color indexed="8"/>
        <rFont val="Arial"/>
        <family val="2"/>
      </rPr>
      <t xml:space="preserve"> If you have tax returns to prepare for several members of your family such as you &amp; your spouse, </t>
    </r>
  </si>
  <si>
    <t>35</t>
  </si>
  <si>
    <t>5896</t>
  </si>
  <si>
    <t>6150</t>
  </si>
  <si>
    <t>5884</t>
  </si>
  <si>
    <t>36</t>
  </si>
  <si>
    <t>30</t>
  </si>
  <si>
    <t>31</t>
  </si>
  <si>
    <t>32</t>
  </si>
  <si>
    <t>d</t>
  </si>
  <si>
    <t>Reversal of federal tax deducted</t>
  </si>
  <si>
    <t>details.</t>
  </si>
  <si>
    <t>5833</t>
  </si>
  <si>
    <t xml:space="preserve">Foreign non-business income tax </t>
  </si>
  <si>
    <t>●   amount deductible as an other payments deduction (line 250 of your return);</t>
  </si>
  <si>
    <t>●   net capital losses of other years you claimed (line 253 of your return);</t>
  </si>
  <si>
    <t>●   capital gains deduction you claimed (line 254 of your return); and</t>
  </si>
  <si>
    <t>●   amounts deductible as net employment income from a prescribed international organization, as foreign income exempt under a</t>
  </si>
  <si>
    <t xml:space="preserve">     tax treaty, or as adult basic education tuition assistance (included on line 256 of your return).</t>
  </si>
  <si>
    <r>
      <t>Note:</t>
    </r>
    <r>
      <rPr>
        <sz val="12"/>
        <rFont val="Arial MT"/>
        <family val="0"/>
      </rPr>
      <t xml:space="preserve"> Include only the income for the part of the year you were a resident of Canada. Also, for the part of the year you were not a resident</t>
    </r>
  </si>
  <si>
    <t>(d)  Basic federal tax (see note below) – Line 429 of Schedule 1 plus any:</t>
  </si>
  <si>
    <t>●   federal dividend tax credit (line 425 of Schedule 1);</t>
  </si>
  <si>
    <t>●   overseas employment tax credit (line 426 of Schedule 1); and</t>
  </si>
  <si>
    <t>●   federal surtax on income you earned outside Canada (line 10 of Part 2 of Form T2203 or</t>
  </si>
  <si>
    <t xml:space="preserve">     48% of the amount from line 429 of Schedule 1);</t>
  </si>
  <si>
    <t>●   refundable Quebec abatement (line 440 of your return or line 15 of Part 2 of Form T2203); and</t>
  </si>
  <si>
    <t>●   federal refundable First Nations abatement (line 441 of your return).</t>
  </si>
  <si>
    <r>
      <t>Note:</t>
    </r>
    <r>
      <rPr>
        <sz val="12"/>
        <rFont val="Arial MT"/>
        <family val="0"/>
      </rPr>
      <t xml:space="preserve"> If you were a resident of Quebec, federal tax is the amount on line 429 of Schedule 1 plus any:</t>
    </r>
  </si>
  <si>
    <r>
      <t>minus</t>
    </r>
    <r>
      <rPr>
        <sz val="12"/>
        <rFont val="Arial MT"/>
        <family val="0"/>
      </rPr>
      <t xml:space="preserve"> any:</t>
    </r>
  </si>
  <si>
    <t>●   federal dividend tax credit (line 425 of Schedule 1); and</t>
  </si>
  <si>
    <t>●   overseas employment tax credit (line 426 of Schedule 1);</t>
  </si>
  <si>
    <t>●   refundable Quebec abatement (line 440 of your return or line 15 of Part 2 of Form T2203).</t>
  </si>
  <si>
    <t>political subdivision of a country for the year (see note 2 below). It does not include any part of the business income tax that can be</t>
  </si>
  <si>
    <t>reasonably attributed to an amount that any other person or partnership has received or is entitled to receive from a country, or that was</t>
  </si>
  <si>
    <t>payable on income that was exempt from tax under a tax treaty between Canada and that country.</t>
  </si>
  <si>
    <r>
      <t xml:space="preserve">(e)  </t>
    </r>
    <r>
      <rPr>
        <b/>
        <sz val="12"/>
        <rFont val="Arial MT"/>
        <family val="0"/>
      </rPr>
      <t>Business income tax paid to a foreign country</t>
    </r>
    <r>
      <rPr>
        <sz val="12"/>
        <rFont val="Arial MT"/>
        <family val="0"/>
      </rPr>
      <t xml:space="preserve"> (see note 1 below) is the total of business income or profits tax you paid to a country or a</t>
    </r>
  </si>
  <si>
    <r>
      <t>Note 1</t>
    </r>
    <r>
      <rPr>
        <sz val="12"/>
        <rFont val="Arial MT"/>
        <family val="0"/>
      </rPr>
      <t>: Any amount of tax you paid to a foreign government in excess of the amount you had to pay according to a tax treaty is considered</t>
    </r>
  </si>
  <si>
    <r>
      <t>Note 2</t>
    </r>
    <r>
      <rPr>
        <sz val="12"/>
        <rFont val="Arial MT"/>
        <family val="0"/>
      </rPr>
      <t>: If you were a resident of Quebec, multiply this amount by 55%.</t>
    </r>
  </si>
  <si>
    <t>changed from 7 to 10 years.</t>
  </si>
  <si>
    <r>
      <t xml:space="preserve">(f)  </t>
    </r>
    <r>
      <rPr>
        <b/>
        <sz val="12"/>
        <rFont val="Arial MT"/>
        <family val="0"/>
      </rPr>
      <t>Unused foreign tax credits</t>
    </r>
    <r>
      <rPr>
        <sz val="12"/>
        <rFont val="Arial MT"/>
        <family val="0"/>
      </rPr>
      <t xml:space="preserve"> – The carry-forward period for unused foreign tax credits for a tax year ending after March 22, 2004, has</t>
    </r>
  </si>
  <si>
    <t>than the business losses you incurred in that country. When you calculate the business income and losses, claim the allowable expenses</t>
  </si>
  <si>
    <t>and deductions relating to the foreign income or loss, including foreign resource and exploration and development deductions. Also reduce</t>
  </si>
  <si>
    <t>your foreign business income by any income from that country that was, under a tax treaty between Canada and that country, exempt from</t>
  </si>
  <si>
    <t>tax in Canada or in that country. If your net foreign business income is more than your net income, use your net income in the calculation.</t>
  </si>
  <si>
    <r>
      <t xml:space="preserve">(g)  </t>
    </r>
    <r>
      <rPr>
        <b/>
        <sz val="12"/>
        <rFont val="Arial MT"/>
        <family val="0"/>
      </rPr>
      <t>Net foreign business income</t>
    </r>
    <r>
      <rPr>
        <sz val="12"/>
        <rFont val="Arial MT"/>
        <family val="0"/>
      </rPr>
      <t xml:space="preserve"> (see note below) is the net amount by which the business income you earned in a foreign country is more</t>
    </r>
  </si>
  <si>
    <r>
      <t>Note:</t>
    </r>
    <r>
      <rPr>
        <sz val="12"/>
        <rFont val="Arial MT"/>
        <family val="0"/>
      </rPr>
      <t xml:space="preserve"> Include only the foreign business income for the part of the year you were a resident of Canada.</t>
    </r>
  </si>
  <si>
    <r>
      <t xml:space="preserve">(h)  </t>
    </r>
    <r>
      <rPr>
        <b/>
        <sz val="12"/>
        <rFont val="Arial MT"/>
        <family val="0"/>
      </rPr>
      <t>Basic federal tax</t>
    </r>
    <r>
      <rPr>
        <sz val="12"/>
        <rFont val="Arial MT"/>
        <family val="0"/>
      </rPr>
      <t xml:space="preserve"> – Line 429 of Schedule 1 plus any:</t>
    </r>
  </si>
  <si>
    <t>●   overseas employment tax credit (line 426 of Schedule 1).</t>
  </si>
  <si>
    <t xml:space="preserve">- </t>
  </si>
  <si>
    <r>
      <t xml:space="preserve">Enter the amount from line 1 or line 2, whichever is </t>
    </r>
    <r>
      <rPr>
        <b/>
        <sz val="12"/>
        <rFont val="Arial MT"/>
        <family val="0"/>
      </rPr>
      <t>less</t>
    </r>
  </si>
  <si>
    <t>Total contributions</t>
  </si>
  <si>
    <t>If you claimed this dependant on line 305 of schedule 1, enter the amount claimed.</t>
  </si>
  <si>
    <t>Allowable amount for this dependant: line 3 minus line 4 (if negative, enter "0")</t>
  </si>
  <si>
    <t>1. Qualified small business corporation shares</t>
  </si>
  <si>
    <t>eligible small business corporation shares, and other shares.)</t>
  </si>
  <si>
    <r>
      <t xml:space="preserve">2. </t>
    </r>
    <r>
      <rPr>
        <sz val="12"/>
        <color indexed="8"/>
        <rFont val="Arial"/>
        <family val="2"/>
      </rPr>
      <t>Qualified farm property and qualified fishing property</t>
    </r>
  </si>
  <si>
    <t xml:space="preserve">Subtract: unapplied LPP losses from other years </t>
  </si>
  <si>
    <t>CPP overpayment (enter your excess contributions)</t>
  </si>
  <si>
    <r>
      <t xml:space="preserve">Carrying charges and interest expenses </t>
    </r>
    <r>
      <rPr>
        <sz val="12"/>
        <color indexed="8"/>
        <rFont val="Arial"/>
        <family val="2"/>
      </rPr>
      <t>(see line 221 in the guide)</t>
    </r>
  </si>
  <si>
    <t>224</t>
  </si>
  <si>
    <t>you would position the cursor the data entry line 129 below, and then key in</t>
  </si>
  <si>
    <r>
      <t xml:space="preserve">Enter, on line 5848 of Form BC428 the total amount claimed for </t>
    </r>
    <r>
      <rPr>
        <b/>
        <sz val="12"/>
        <color indexed="8"/>
        <rFont val="Arial"/>
        <family val="2"/>
      </rPr>
      <t>all</t>
    </r>
    <r>
      <rPr>
        <sz val="12"/>
        <color indexed="8"/>
        <rFont val="Arial"/>
        <family val="2"/>
      </rPr>
      <t xml:space="preserve"> disabled dependants.</t>
    </r>
  </si>
  <si>
    <t>Line 1 minus line 5 (if negative, enter "0").  Enter this amount on line 301 of Schedule 1.</t>
  </si>
  <si>
    <t>(3 digits)</t>
  </si>
  <si>
    <t>(maximum 12 digits)</t>
  </si>
  <si>
    <t>QUAL</t>
  </si>
  <si>
    <t>SPREADSHEET</t>
  </si>
  <si>
    <t>QUALIFICATION</t>
  </si>
  <si>
    <t>SOURCE</t>
  </si>
  <si>
    <t>DESTINATION</t>
  </si>
  <si>
    <t>LINE #</t>
  </si>
  <si>
    <t>SCHEDULE 1</t>
  </si>
  <si>
    <t xml:space="preserve"> 1</t>
  </si>
  <si>
    <t xml:space="preserve"> 3</t>
  </si>
  <si>
    <t xml:space="preserve"> 4</t>
  </si>
  <si>
    <r>
      <t xml:space="preserve">Net partnership income (loss) </t>
    </r>
    <r>
      <rPr>
        <sz val="12"/>
        <color indexed="8"/>
        <rFont val="Arial"/>
        <family val="2"/>
      </rPr>
      <t>(see line 122 in the guide)</t>
    </r>
  </si>
  <si>
    <t xml:space="preserve"> +21500.+1467.33+991.56.  The leading + sign is important for MyTAX to know it is a formula. </t>
  </si>
  <si>
    <t>Employment Income</t>
  </si>
  <si>
    <t>Income tax deducted</t>
  </si>
  <si>
    <t>Line</t>
  </si>
  <si>
    <t>Data
T4 # 1</t>
  </si>
  <si>
    <t>Data
T4 # 2</t>
  </si>
  <si>
    <t>Data
T4 # 3</t>
  </si>
  <si>
    <t>Data
T4 # 4</t>
  </si>
  <si>
    <t>If you have more than five T4A(OAS) forms, you can add the data from the extra ones as a sum rather than a single #.</t>
  </si>
  <si>
    <t>Data
T4A(OAS) #1</t>
  </si>
  <si>
    <t>T5007</t>
  </si>
  <si>
    <t>114</t>
  </si>
  <si>
    <t>152</t>
  </si>
  <si>
    <t>Tax-paid amount</t>
  </si>
  <si>
    <t>Excess Amount</t>
  </si>
  <si>
    <t>T4RIF</t>
  </si>
  <si>
    <t>T5</t>
  </si>
  <si>
    <t>Refund or Balance owing</t>
  </si>
  <si>
    <t>Allowable credit</t>
  </si>
  <si>
    <t>Social benefits repayment (enter the amount from line 235)</t>
  </si>
  <si>
    <t>(Make sure you have checked the box on page 1 of your return to indicate your marital status.)</t>
  </si>
  <si>
    <t xml:space="preserve">Our home page has a link to the Canada Revenue Agency website where you can download the form(s) </t>
  </si>
  <si>
    <t>Subtotal (if negative, enter "0")</t>
  </si>
  <si>
    <r>
      <t xml:space="preserve"> (enter the amount from line 1 or line 6, whichever is </t>
    </r>
    <r>
      <rPr>
        <b/>
        <sz val="12"/>
        <color indexed="8"/>
        <rFont val="Arial"/>
        <family val="2"/>
      </rPr>
      <t>less</t>
    </r>
    <r>
      <rPr>
        <sz val="12"/>
        <color indexed="8"/>
        <rFont val="Arial"/>
        <family val="2"/>
      </rPr>
      <t>)</t>
    </r>
  </si>
  <si>
    <t>Medical expenses from line 330 of your federal Schedule 1</t>
  </si>
  <si>
    <t>age 65 or older, calculate the amount to enter on line K as follows (use a separate sheet):</t>
  </si>
  <si>
    <r>
      <t xml:space="preserve">   </t>
    </r>
    <r>
      <rPr>
        <b/>
        <sz val="12"/>
        <rFont val="Arial MT"/>
        <family val="0"/>
      </rPr>
      <t>(1)</t>
    </r>
    <r>
      <rPr>
        <sz val="12"/>
        <rFont val="Arial MT"/>
        <family val="0"/>
      </rPr>
      <t xml:space="preserve">     Exclude from the amount at line A of this form any RRIF, RRSP or other annuity payments received by your spouse</t>
    </r>
  </si>
  <si>
    <t xml:space="preserve">            or common-law partner (other than amounts received due to the death of his or her spouse or common-law partner).</t>
  </si>
  <si>
    <r>
      <t xml:space="preserve">   </t>
    </r>
    <r>
      <rPr>
        <b/>
        <sz val="12"/>
        <rFont val="Arial MT"/>
        <family val="0"/>
      </rPr>
      <t>(2)</t>
    </r>
    <r>
      <rPr>
        <sz val="12"/>
        <rFont val="Arial MT"/>
        <family val="0"/>
      </rPr>
      <t xml:space="preserve">    If the balance from (1) above is less than $4,000, complete the Step 2 calculation using the balance from (1) as the amount for</t>
    </r>
  </si>
  <si>
    <t xml:space="preserve">            line A.</t>
  </si>
  <si>
    <r>
      <t xml:space="preserve">  (3)</t>
    </r>
    <r>
      <rPr>
        <sz val="12"/>
        <rFont val="Arial MT"/>
        <family val="0"/>
      </rPr>
      <t xml:space="preserve">    Enter on line K, the result from (2) above or the amount from line E, whichever is less.</t>
    </r>
  </si>
  <si>
    <t xml:space="preserve">          However, if there is no calculation for (2) above, enter on line K the amount from line E.</t>
  </si>
  <si>
    <t>(other than any month that includes a week</t>
  </si>
  <si>
    <t>●</t>
  </si>
  <si>
    <r>
      <t xml:space="preserve">you and the other person were enrolled in a </t>
    </r>
    <r>
      <rPr>
        <b/>
        <sz val="12"/>
        <rFont val="Arial MT"/>
        <family val="0"/>
      </rPr>
      <t>full-time</t>
    </r>
    <r>
      <rPr>
        <sz val="12"/>
        <rFont val="Arial MT"/>
        <family val="0"/>
      </rPr>
      <t xml:space="preserve"> or </t>
    </r>
    <r>
      <rPr>
        <b/>
        <sz val="12"/>
        <rFont val="Arial MT"/>
        <family val="0"/>
      </rPr>
      <t>part-time</t>
    </r>
    <r>
      <rPr>
        <sz val="12"/>
        <rFont val="Arial MT"/>
        <family val="0"/>
      </rPr>
      <t xml:space="preserve"> educational program during</t>
    </r>
  </si>
  <si>
    <r>
      <t xml:space="preserve">the </t>
    </r>
    <r>
      <rPr>
        <b/>
        <sz val="12"/>
        <rFont val="Arial MT"/>
        <family val="0"/>
      </rPr>
      <t>same months.</t>
    </r>
  </si>
  <si>
    <t>Add lines 16 and 17</t>
  </si>
  <si>
    <r>
      <t xml:space="preserve">You were the </t>
    </r>
    <r>
      <rPr>
        <b/>
        <sz val="12"/>
        <rFont val="Arial MT"/>
        <family val="0"/>
      </rPr>
      <t xml:space="preserve">only person </t>
    </r>
    <r>
      <rPr>
        <sz val="12"/>
        <rFont val="Arial MT"/>
        <family val="0"/>
      </rPr>
      <t>making a claim</t>
    </r>
    <r>
      <rPr>
        <b/>
        <sz val="12"/>
        <rFont val="Arial MT"/>
        <family val="0"/>
      </rPr>
      <t>,</t>
    </r>
    <r>
      <rPr>
        <sz val="12"/>
        <rFont val="Arial MT"/>
        <family val="0"/>
      </rPr>
      <t xml:space="preserve"> line 7 equals line 6 in Part B, and you were enrolled in a program described in the</t>
    </r>
  </si>
  <si>
    <t>Old Age Security pension (box 18 on the T4A (OAS) slip)</t>
  </si>
  <si>
    <t>Sched 9</t>
  </si>
  <si>
    <t>*     allocated data column has a formula</t>
  </si>
  <si>
    <r>
      <t xml:space="preserve">Use this worksheet to do some of the calculations you may need to complete Form BC428, </t>
    </r>
    <r>
      <rPr>
        <i/>
        <sz val="12"/>
        <color indexed="8"/>
        <rFont val="Arial"/>
        <family val="2"/>
      </rPr>
      <t>British Columbia Tax.</t>
    </r>
  </si>
  <si>
    <t>From Box 16 if spousal for T2205</t>
  </si>
  <si>
    <t>From Box 20 if spousal for T2205</t>
  </si>
  <si>
    <t>From Box 24 if spousal for T2205</t>
  </si>
  <si>
    <t>Total contributions * made to your RRSP or your spouse or common-law partner's RRSP from:</t>
  </si>
  <si>
    <t>Pension income amount:</t>
  </si>
  <si>
    <t>Disability amount:</t>
  </si>
  <si>
    <t>Add lines 1 to 4</t>
  </si>
  <si>
    <t>Line 5 minus line 8 (if negative, enter "0")</t>
  </si>
  <si>
    <t>T1-4</t>
  </si>
  <si>
    <t>ADDITIONAL QUALIFICATION CALCULATIONS</t>
  </si>
  <si>
    <t>Universal Child Care Benefit repayment (box 12 on all RC62 slips)</t>
  </si>
  <si>
    <t>You and your spouse or common-law partner were not, because of a breakdown in your marriage or common-law partnership,</t>
  </si>
  <si>
    <t>User support via email is free.  Email us as follows:  support@peeltech.ca</t>
  </si>
  <si>
    <t>1) Support &amp; Upgrades</t>
  </si>
  <si>
    <t>HELP</t>
  </si>
  <si>
    <t>2) Getting Started</t>
  </si>
  <si>
    <t>MyTAX HELP</t>
  </si>
  <si>
    <t>Only complete this schedule and attach it to your return when one or more of the following situations applies:</t>
  </si>
  <si>
    <t>* Include your transfers and contributions that you are designating as a repayment under the HBP or LLP,
  See the guide for the list of contributions to exclude.</t>
  </si>
  <si>
    <t>PART A - Contributions</t>
  </si>
  <si>
    <t>PART B - Repayments under the HBP and the LLP</t>
  </si>
  <si>
    <t>If line 30 is</t>
  </si>
  <si>
    <t>Go to Step 2 on the next page</t>
  </si>
  <si>
    <t>=&gt;</t>
  </si>
  <si>
    <t xml:space="preserve">You may need to change the default YES/NO qualification settings for your situation.  </t>
  </si>
  <si>
    <t>GO THERE</t>
  </si>
  <si>
    <t>5905</t>
  </si>
  <si>
    <t>5907</t>
  </si>
  <si>
    <t>5909</t>
  </si>
  <si>
    <t>Multiply line 4 by line 5</t>
  </si>
  <si>
    <t xml:space="preserve"> of his or her return for the year you indicated in the title.</t>
  </si>
  <si>
    <t>Part 2 -- RRIFs</t>
  </si>
  <si>
    <t xml:space="preserve">11. Enter the total of the amounts in box 24 of the T4RIF slips that you  </t>
  </si>
  <si>
    <t xml:space="preserve">received from spousal or common-law partner RRIFs in the year you </t>
  </si>
  <si>
    <t>MB(S2)</t>
  </si>
  <si>
    <t>MB(S11)</t>
  </si>
  <si>
    <t>MB WRK</t>
  </si>
  <si>
    <t>Other credits</t>
  </si>
  <si>
    <t>Footnotes</t>
  </si>
  <si>
    <t>115,314</t>
  </si>
  <si>
    <t>176,433</t>
  </si>
  <si>
    <t>Sch3,Sch1</t>
  </si>
  <si>
    <t>Sch4,II</t>
  </si>
  <si>
    <t>Sch 1,433</t>
  </si>
  <si>
    <t>130,</t>
  </si>
  <si>
    <t>Sch3,173</t>
  </si>
  <si>
    <t>Sch3,107</t>
  </si>
  <si>
    <t>Sch3,110</t>
  </si>
  <si>
    <t>income tax paid</t>
  </si>
  <si>
    <t>Foreign non-business</t>
  </si>
  <si>
    <t>Sch1,431</t>
  </si>
  <si>
    <t>Miscellaneous      Sch 9</t>
  </si>
  <si>
    <t>337,339</t>
  </si>
  <si>
    <t>340, 342</t>
  </si>
  <si>
    <t>Sch3,174</t>
  </si>
  <si>
    <t>Sch1,425</t>
  </si>
  <si>
    <t>Eligible death benefits(excl $1000?)</t>
  </si>
  <si>
    <t>2)  Links in the GOTO sheet to pdf forms on CRA site for forms not included in MyTAX.</t>
  </si>
  <si>
    <t xml:space="preserve">     Includes hyperlinks to CRA Website for each item.</t>
  </si>
  <si>
    <t>All CRA Forms</t>
  </si>
  <si>
    <t>PDF</t>
  </si>
  <si>
    <t>T1-ADJ</t>
  </si>
  <si>
    <t>PDF Fillable forms can be filled in on your computer and printed.  If not Fillable, print them out and fill in manually.</t>
  </si>
  <si>
    <t>Future MyTAX template</t>
  </si>
  <si>
    <t>Download Links
 to CRA Website</t>
  </si>
  <si>
    <r>
      <t xml:space="preserve">Go to the </t>
    </r>
    <r>
      <rPr>
        <u val="single"/>
        <sz val="14"/>
        <color indexed="12"/>
        <rFont val="Arial MT"/>
        <family val="0"/>
      </rPr>
      <t>README</t>
    </r>
    <r>
      <rPr>
        <sz val="14"/>
        <color indexed="12"/>
        <rFont val="Arial MT"/>
        <family val="0"/>
      </rPr>
      <t xml:space="preserve"> sheet for the basic set of instructions</t>
    </r>
  </si>
  <si>
    <t>Universal Child Care Benefit (see the guide)</t>
  </si>
  <si>
    <t>Make an internet connection and click on the CRA link provided above to download the .pdf form you need.</t>
  </si>
  <si>
    <r>
      <t xml:space="preserve">New this Year!!:  </t>
    </r>
    <r>
      <rPr>
        <u val="single"/>
        <sz val="14"/>
        <color indexed="12"/>
        <rFont val="Arial MT"/>
        <family val="0"/>
      </rPr>
      <t xml:space="preserve"> 
1)  What's New Sheet for Canada Revenue Agency. </t>
    </r>
  </si>
  <si>
    <r>
      <t>2.</t>
    </r>
    <r>
      <rPr>
        <sz val="14"/>
        <color indexed="8"/>
        <rFont val="Arial"/>
        <family val="2"/>
      </rPr>
      <t xml:space="preserve">  You can click to activate a sheet and you can scroll the tab list to access the remainder that are not showing.</t>
    </r>
  </si>
  <si>
    <t>See instructions below for several ways to navigate through the sheets in the workbook.</t>
  </si>
  <si>
    <r>
      <t>Only the student</t>
    </r>
    <r>
      <rPr>
        <sz val="12"/>
        <color indexed="8"/>
        <rFont val="Arial"/>
        <family val="2"/>
      </rPr>
      <t xml:space="preserve"> attaches a copy of this schedule to his or her return</t>
    </r>
  </si>
  <si>
    <t>Add lines 1 and line 2</t>
  </si>
  <si>
    <t>Universal Child Care Benefit income</t>
  </si>
  <si>
    <r>
      <t xml:space="preserve">Enter your unused venture capital tax credit from previous years shown on
your most recent </t>
    </r>
    <r>
      <rPr>
        <i/>
        <sz val="12"/>
        <color indexed="8"/>
        <rFont val="Arial"/>
        <family val="2"/>
      </rPr>
      <t>Notice of Assessment</t>
    </r>
    <r>
      <rPr>
        <sz val="12"/>
        <color indexed="8"/>
        <rFont val="Arial"/>
        <family val="2"/>
      </rPr>
      <t xml:space="preserve"> or </t>
    </r>
    <r>
      <rPr>
        <i/>
        <sz val="12"/>
        <color indexed="8"/>
        <rFont val="Arial"/>
        <family val="2"/>
      </rPr>
      <t>Notice of Reassessment</t>
    </r>
  </si>
  <si>
    <r>
      <t xml:space="preserve">Complete this schedule and </t>
    </r>
    <r>
      <rPr>
        <b/>
        <sz val="12"/>
        <rFont val="Arial MT"/>
        <family val="0"/>
      </rPr>
      <t>attach</t>
    </r>
    <r>
      <rPr>
        <sz val="12"/>
        <rFont val="Arial MT"/>
        <family val="0"/>
      </rPr>
      <t xml:space="preserve"> a copy of it to your return to claim the working income tax benefit (WITB) if:</t>
    </r>
  </si>
  <si>
    <t>Sch6</t>
  </si>
  <si>
    <t>Step 3 - Calculating your WITB disability supplement</t>
  </si>
  <si>
    <t>If you completed Step 2, enter on this line the amount from line 28.</t>
  </si>
  <si>
    <r>
      <t xml:space="preserve">Enter the amount from line 20 or line 21, whichever is </t>
    </r>
    <r>
      <rPr>
        <b/>
        <sz val="12"/>
        <rFont val="Arial MT"/>
        <family val="0"/>
      </rPr>
      <t>less.</t>
    </r>
  </si>
  <si>
    <r>
      <t>than</t>
    </r>
    <r>
      <rPr>
        <sz val="12"/>
        <rFont val="Arial MT"/>
        <family val="0"/>
      </rPr>
      <t xml:space="preserve"> $22,834, complete Step 3 to calculate your WITB disability supplement. Otherwise, enter the amount from line 28 on line 453 of your</t>
    </r>
  </si>
  <si>
    <r>
      <t xml:space="preserve">If you had an eligible spouse, </t>
    </r>
    <r>
      <rPr>
        <sz val="12"/>
        <rFont val="Arial MT"/>
        <family val="0"/>
      </rPr>
      <t>both</t>
    </r>
    <r>
      <rPr>
        <sz val="12"/>
        <rFont val="Arial MT"/>
        <family val="0"/>
      </rPr>
      <t xml:space="preserve"> of you qualify for the disability amount, and the amount on line 15 in Step 1 is less than $24,500,</t>
    </r>
  </si>
  <si>
    <t>If your spouse or common-law partner is not filing a return, use the amounts that he or she would enter on his or her return, schedules,</t>
  </si>
  <si>
    <t>T1206</t>
  </si>
  <si>
    <t>AB479</t>
  </si>
  <si>
    <t>Line 1 minus line 6 (if negative, enter "0").  Enter this amount on line 5808 of Form BC428.</t>
  </si>
  <si>
    <t>170</t>
  </si>
  <si>
    <t>STATEMENT OF FISHING INCOME</t>
  </si>
  <si>
    <t>Line 5820 - Amount for infirm dependants age 18 or older</t>
  </si>
  <si>
    <t>Dependant's net income (line 236 of his or her return)</t>
  </si>
  <si>
    <t>Provincial Amounts Transferred</t>
  </si>
  <si>
    <t xml:space="preserve"> </t>
  </si>
  <si>
    <r>
      <t>Sheet Names Below are Hyperlinks</t>
    </r>
    <r>
      <rPr>
        <sz val="12"/>
        <rFont val="Arial MT"/>
        <family val="0"/>
      </rPr>
      <t>.  Click once on a Sheet Name to go to that sheet.</t>
    </r>
  </si>
  <si>
    <r>
      <t xml:space="preserve">The column adjacent to the right side of </t>
    </r>
    <r>
      <rPr>
        <b/>
        <sz val="12"/>
        <rFont val="Arial MT"/>
        <family val="0"/>
      </rPr>
      <t>each sheet</t>
    </r>
    <r>
      <rPr>
        <sz val="12"/>
        <rFont val="Arial MT"/>
        <family val="0"/>
      </rPr>
      <t xml:space="preserve"> is a hyperlink to bring you back to this sheet</t>
    </r>
  </si>
  <si>
    <t>Ontario Opportunities Fund</t>
  </si>
  <si>
    <r>
      <t xml:space="preserve">Attach to page 1 a </t>
    </r>
    <r>
      <rPr>
        <b/>
        <sz val="12"/>
        <color indexed="8"/>
        <rFont val="Arial"/>
        <family val="2"/>
      </rPr>
      <t>cheque</t>
    </r>
    <r>
      <rPr>
        <sz val="12"/>
        <color indexed="8"/>
        <rFont val="Arial"/>
        <family val="2"/>
      </rPr>
      <t xml:space="preserve"> or </t>
    </r>
    <r>
      <rPr>
        <b/>
        <sz val="12"/>
        <color indexed="8"/>
        <rFont val="Arial"/>
        <family val="2"/>
      </rPr>
      <t>money order</t>
    </r>
    <r>
      <rPr>
        <sz val="12"/>
        <color indexed="8"/>
        <rFont val="Arial"/>
        <family val="2"/>
      </rPr>
      <t xml:space="preserve"> payable to the Receiver General.</t>
    </r>
  </si>
  <si>
    <t xml:space="preserve">Amount for line 5844: </t>
  </si>
  <si>
    <t xml:space="preserve">Total amount claimed for all dependants: </t>
  </si>
  <si>
    <t>Disability amount transferred</t>
  </si>
  <si>
    <t>Note:  For the amount above to be transferred to line 318</t>
  </si>
  <si>
    <t>set the option  for line 318 to YES in the QUAL sheet</t>
  </si>
  <si>
    <t xml:space="preserve"> (from box 16 and box 17 on all T4 slips)</t>
  </si>
  <si>
    <t>X 2 =</t>
  </si>
  <si>
    <t>Donations and Gifts</t>
  </si>
  <si>
    <t xml:space="preserve">   </t>
  </si>
  <si>
    <t>pick up otherwise from 19 above</t>
  </si>
  <si>
    <t>if and but from 19 above</t>
  </si>
  <si>
    <t>lots of polaver here</t>
  </si>
  <si>
    <t>kicks in from 431, 433 - maybe</t>
  </si>
  <si>
    <t xml:space="preserve">Rental Income </t>
  </si>
  <si>
    <t>Income Tax Deducted</t>
  </si>
  <si>
    <t>British Columbia Tax</t>
  </si>
  <si>
    <t>BC428</t>
  </si>
  <si>
    <t>following columns you have to</t>
  </si>
  <si>
    <t>T1 General worksheet etc.   Values needed across schedules are automatically transferred / posted.</t>
  </si>
  <si>
    <t>Line 1 minus line 4</t>
  </si>
  <si>
    <t>Base Amount</t>
  </si>
  <si>
    <t>f) You and your spouse or common-law partner were, due to a breakdown in your relationship, living separate and apart at the</t>
  </si>
  <si>
    <r>
      <t xml:space="preserve">a) T4 Slips:    </t>
    </r>
    <r>
      <rPr>
        <sz val="14"/>
        <color indexed="8"/>
        <rFont val="Arial"/>
        <family val="2"/>
      </rPr>
      <t xml:space="preserve">  Input sheet labeled T4.  Match up the paper slip box #'s with the line of the input form</t>
    </r>
  </si>
  <si>
    <t>Part1,1</t>
  </si>
  <si>
    <t xml:space="preserve"> 5000-S11</t>
  </si>
  <si>
    <t>Your net income from line 236 of your return</t>
  </si>
  <si>
    <t>PE WRK</t>
  </si>
  <si>
    <t>PE(S2)</t>
  </si>
  <si>
    <t>PE(S11)</t>
  </si>
  <si>
    <t>Limited partnership losses of other years</t>
  </si>
  <si>
    <t>Non-capital losses of other years</t>
  </si>
  <si>
    <t>Line 1</t>
  </si>
  <si>
    <t>Line 2</t>
  </si>
  <si>
    <t>Line 3</t>
  </si>
  <si>
    <t>Maximum amount of total</t>
  </si>
  <si>
    <t>CPP Pensionable earnings</t>
  </si>
  <si>
    <t>basic CPP Exemption</t>
  </si>
  <si>
    <t xml:space="preserve">  Amount from line 427 on federal Schedule 1</t>
  </si>
  <si>
    <t>Your spouse's or common-law partner's name</t>
  </si>
  <si>
    <t>Part 1 -- RRSPs</t>
  </si>
  <si>
    <t>living separate and apart from each other at the end of the year and for a period of 90 days commencing in the year.</t>
  </si>
  <si>
    <r>
      <t>_xDBC0__xDC7A_</t>
    </r>
    <r>
      <rPr>
        <sz val="12"/>
        <rFont val="Arial"/>
        <family val="0"/>
      </rPr>
      <t>●</t>
    </r>
  </si>
  <si>
    <t>You and your spouse or common-law partner are residents of Canada on December 31 of the year.</t>
  </si>
  <si>
    <t>You received pension income in the year that qualifies for the pension income amount (see line 314 in the guide).</t>
  </si>
  <si>
    <t>Attach this form to your return. Your spouse or common-law partner must attach a copy of this form to his or her paper return.</t>
  </si>
  <si>
    <t>C</t>
  </si>
  <si>
    <t>Maximum split-pension amount (multiply the amount on line C by 50%.)</t>
  </si>
  <si>
    <t>Enter the amount from line B if it applies; otherwise enter the amount from line A.</t>
  </si>
  <si>
    <t>If you are filing electronically, keep it in case we ask to see i</t>
  </si>
  <si>
    <t>Information about you (Pensioner)</t>
  </si>
  <si>
    <t xml:space="preserve"> Last name</t>
  </si>
  <si>
    <t xml:space="preserve"> Home address</t>
  </si>
  <si>
    <t>Step 2: Calculation of the maximum split-pension amount</t>
  </si>
  <si>
    <t>To calculate the amount of eligible pension income for the purpose of this election, you (Pensioner) must</t>
  </si>
  <si>
    <t>6803</t>
  </si>
  <si>
    <t>Tax Year</t>
  </si>
  <si>
    <t>Information about your spouse or common-law partner (Pension Transferee)</t>
  </si>
  <si>
    <t>living common-law by completing the calculation for line B below. Otherwise, enter the amount from line A on line C.</t>
  </si>
  <si>
    <t>Manitoba Credit Fraction</t>
  </si>
  <si>
    <t>explanation at that line.</t>
  </si>
  <si>
    <t>Enter this value directly into line 6130 of MB479 sheet following the</t>
  </si>
  <si>
    <t>6130</t>
  </si>
  <si>
    <t>Line 16 minus line 17 (if negative, enter "0")</t>
  </si>
  <si>
    <t>Specify:</t>
  </si>
  <si>
    <t>Amount for infirm dependants age 18 or older</t>
  </si>
  <si>
    <t>CPP or QPP contributions:</t>
  </si>
  <si>
    <r>
      <t>6.</t>
    </r>
    <r>
      <rPr>
        <sz val="14"/>
        <color indexed="8"/>
        <rFont val="Arial"/>
        <family val="2"/>
      </rPr>
      <t xml:space="preserve">  Unless otherwise noted, calculated values are automatically inserted where needed such as into the </t>
    </r>
  </si>
  <si>
    <r>
      <t>1.</t>
    </r>
    <r>
      <rPr>
        <sz val="14"/>
        <rFont val="Arial MT"/>
        <family val="0"/>
      </rPr>
      <t xml:space="preserve">  You may want/need to change the printing scale of a sheet to better match the size of your printer.  To do this</t>
    </r>
  </si>
  <si>
    <t xml:space="preserve">Net capital losses of other years </t>
  </si>
  <si>
    <t>Capital gains deduction</t>
  </si>
  <si>
    <t>(Allowable entries are: Yes or No)</t>
  </si>
  <si>
    <r>
      <t xml:space="preserve">You were the </t>
    </r>
    <r>
      <rPr>
        <b/>
        <sz val="12"/>
        <rFont val="Arial MT"/>
        <family val="0"/>
      </rPr>
      <t>person with the higher net income,</t>
    </r>
    <r>
      <rPr>
        <sz val="12"/>
        <rFont val="Arial MT"/>
        <family val="0"/>
      </rPr>
      <t xml:space="preserve"> line 7 equals line 6 in Part B, and, at the same time in</t>
    </r>
  </si>
  <si>
    <r>
      <t>person</t>
    </r>
    <r>
      <rPr>
        <sz val="12"/>
        <rFont val="Arial MT"/>
        <family val="0"/>
      </rPr>
      <t xml:space="preserve"> (as described in the section called "Who can claim child care expenses?") were enrolled in a program described in the </t>
    </r>
  </si>
  <si>
    <t>Otherwise enter the amount from line 5808 of his or her Form BC428</t>
  </si>
  <si>
    <t>110</t>
  </si>
  <si>
    <t>174</t>
  </si>
  <si>
    <t>Sch4</t>
  </si>
  <si>
    <t>Sch7</t>
  </si>
  <si>
    <t>337</t>
  </si>
  <si>
    <t>339</t>
  </si>
  <si>
    <t>342</t>
  </si>
  <si>
    <t>T1129</t>
  </si>
  <si>
    <t xml:space="preserve"> 5000-S7</t>
  </si>
  <si>
    <t>Employment earnings not shown on a T4 slip on which you elect to pay additional CPP contributions</t>
  </si>
  <si>
    <t>(this amount already includes the amount entered on line 11 of Form CPT20, if it applies)</t>
  </si>
  <si>
    <t>Installments</t>
  </si>
  <si>
    <t>Do not report these amounts on your tax return - Canada Revenue Agency use only</t>
  </si>
  <si>
    <t>30, 31, 32, 33, 34, 36, 38, 40, 70, 71</t>
  </si>
  <si>
    <r>
      <t xml:space="preserve">is up to date.  It updates either empty or populated MyTAX workbooks.  </t>
    </r>
    <r>
      <rPr>
        <b/>
        <sz val="14"/>
        <color indexed="8"/>
        <rFont val="Arial"/>
        <family val="2"/>
      </rPr>
      <t xml:space="preserve">Excel Macros must be enabled </t>
    </r>
    <r>
      <rPr>
        <sz val="14"/>
        <color indexed="8"/>
        <rFont val="Arial"/>
        <family val="2"/>
      </rPr>
      <t>to run it.</t>
    </r>
  </si>
  <si>
    <t>The update features uses Macros.  The updater may not run on Mac versions of Excel.</t>
  </si>
  <si>
    <t xml:space="preserve">Canada Revenue Agency Online General Income Tax and Benefit Guide - 2007 </t>
  </si>
  <si>
    <t>CANADA REVENUE AGENCY HELP</t>
  </si>
  <si>
    <t>(an internet connection is required for the above link to work)</t>
  </si>
  <si>
    <r>
      <t>306, 315, and/or 331, provide the details requested below.</t>
    </r>
    <r>
      <rPr>
        <b/>
        <sz val="12"/>
        <color indexed="8"/>
        <rFont val="Arial"/>
        <family val="2"/>
      </rPr>
      <t xml:space="preserve">  Attach a copy of this schedule to your return.</t>
    </r>
  </si>
  <si>
    <r>
      <t>To calculate the amount for line 331, read the instructions for line 331 in the guide.</t>
    </r>
    <r>
      <rPr>
        <sz val="12"/>
        <color indexed="8"/>
        <rFont val="Arial"/>
        <family val="2"/>
      </rPr>
      <t xml:space="preserve">  For each dependant claimed on lines 305,</t>
    </r>
  </si>
  <si>
    <r>
      <t>●</t>
    </r>
    <r>
      <rPr>
        <b/>
        <sz val="12"/>
        <color indexed="8"/>
        <rFont val="Arial"/>
        <family val="2"/>
      </rPr>
      <t>14</t>
    </r>
  </si>
  <si>
    <r>
      <t>●</t>
    </r>
    <r>
      <rPr>
        <b/>
        <sz val="12"/>
        <color indexed="8"/>
        <rFont val="Arial"/>
        <family val="2"/>
      </rPr>
      <t>15</t>
    </r>
  </si>
  <si>
    <t>404</t>
  </si>
  <si>
    <t>Actual amount of dividends other than eligible dividends</t>
  </si>
  <si>
    <t>Taxable amount of dividends other than eligible dividends</t>
  </si>
  <si>
    <r>
      <t xml:space="preserve">HBP Withdrawal                   </t>
    </r>
    <r>
      <rPr>
        <sz val="14"/>
        <color indexed="8"/>
        <rFont val="Arial"/>
        <family val="2"/>
      </rPr>
      <t>Sch7</t>
    </r>
  </si>
  <si>
    <r>
      <t>LLP withdrawal</t>
    </r>
    <r>
      <rPr>
        <sz val="14"/>
        <color indexed="8"/>
        <rFont val="Arial"/>
        <family val="2"/>
      </rPr>
      <t xml:space="preserve">                   Sch 7</t>
    </r>
  </si>
  <si>
    <t>Transfers on breakdown of marriage or common-law partnership</t>
  </si>
  <si>
    <t>To determine any overpayment of Canada Pension Plan (CPP) or Quebec Pension Plan (QPP) contributions made through employment if</t>
  </si>
  <si>
    <t xml:space="preserve">  If you were a </t>
  </si>
  <si>
    <r>
      <t xml:space="preserve">To determine any overpayment of Employment Insurance (EI) premiums, complete </t>
    </r>
    <r>
      <rPr>
        <b/>
        <sz val="9"/>
        <color indexed="8"/>
        <rFont val="Arial"/>
        <family val="2"/>
      </rPr>
      <t>Part 2</t>
    </r>
    <r>
      <rPr>
        <sz val="9"/>
        <color indexed="8"/>
        <rFont val="Arial"/>
        <family val="2"/>
      </rPr>
      <t>.  To be refunded, the amount of the EI overpayment has to be more than $1.  If you were a resident of Quebec on December 31, 2006, see your Quebec provincial income tax guide.</t>
    </r>
  </si>
  <si>
    <t>number of months in the year you did not or were not entitled to receive the pension.</t>
  </si>
  <si>
    <t>Total EI insurable earnings (box 24 or, if blank, box 14 of your T4 slips)</t>
  </si>
  <si>
    <r>
      <t xml:space="preserve">Assessment </t>
    </r>
    <r>
      <rPr>
        <sz val="13"/>
        <color indexed="8"/>
        <rFont val="Arial"/>
        <family val="2"/>
      </rPr>
      <t>or</t>
    </r>
    <r>
      <rPr>
        <i/>
        <sz val="13"/>
        <color indexed="8"/>
        <rFont val="Arial"/>
        <family val="2"/>
      </rPr>
      <t xml:space="preserve"> Notice of Reassessment      </t>
    </r>
  </si>
  <si>
    <t>Total of lines 1 to 17 of Schedule 1</t>
  </si>
  <si>
    <t>Amount from line 17</t>
  </si>
  <si>
    <t>From Your Spouse or Common-Law Partner</t>
  </si>
  <si>
    <t>Enter the amount from line 260 of his or her return</t>
  </si>
  <si>
    <t>Universal Child Care Benefit repayment</t>
  </si>
  <si>
    <t>Enter the amount from line 213 of the return</t>
  </si>
  <si>
    <t>Enter the amount from line 117 of the return</t>
  </si>
  <si>
    <t>Add the amounts from line 5</t>
  </si>
  <si>
    <t>Allowable amount for this dependant: Line 3 minus line 4 (if negative, enter "0")</t>
  </si>
  <si>
    <t>Enter the total here:</t>
  </si>
  <si>
    <t>Number of weeks for</t>
  </si>
  <si>
    <r>
      <t xml:space="preserve">5. </t>
    </r>
    <r>
      <rPr>
        <sz val="14"/>
        <color indexed="8"/>
        <rFont val="Arial"/>
        <family val="2"/>
      </rPr>
      <t>You can customize MyTAX by linking data items in your own separate spreadsheets to MyTAX cells and vice versa.</t>
    </r>
  </si>
  <si>
    <r>
      <t>6.</t>
    </r>
    <r>
      <rPr>
        <sz val="14"/>
        <color indexed="8"/>
        <rFont val="Arial"/>
        <family val="2"/>
      </rPr>
      <t xml:space="preserve">  You can customize MyTAX by inserting your own spreadsheet(s) to do calculations specific to your needs, </t>
    </r>
  </si>
  <si>
    <t>Social Insurance number</t>
  </si>
  <si>
    <t>38</t>
  </si>
  <si>
    <t>6151</t>
  </si>
  <si>
    <t>40</t>
  </si>
  <si>
    <t>Gross</t>
  </si>
  <si>
    <t>README</t>
  </si>
  <si>
    <t>THIS SHEET IS UNDER CONTSTRUCTION.  DO NOT USE.  ENTER T3 DATA DIRECTLY ON MISC SHEET</t>
  </si>
  <si>
    <t>THIS SHEET IS UNDER CONSTRUCTION.  DO NOT USE.  ENTER T5 DATA DIRECTLY ON MISC SHEET</t>
  </si>
  <si>
    <t>Telephone:</t>
  </si>
  <si>
    <t>Part D does not apply to the person with the lower net income since the other person will claim this part of the deduction for both of them.</t>
  </si>
  <si>
    <t>316 set the option for line 316 to YES on the QUAL sheet</t>
  </si>
  <si>
    <t>Note: For the amount in 6 above to be transferred to line</t>
  </si>
  <si>
    <t>Note:  For the amount above to be transferred to line 315</t>
  </si>
  <si>
    <t>Sales tax credit</t>
  </si>
  <si>
    <t xml:space="preserve">Printing </t>
  </si>
  <si>
    <t>Name of employee profit-sharing plan</t>
  </si>
  <si>
    <t>Amount</t>
  </si>
  <si>
    <t>5868</t>
  </si>
  <si>
    <t>25</t>
  </si>
  <si>
    <t>27</t>
  </si>
  <si>
    <t>28</t>
  </si>
  <si>
    <t>29</t>
  </si>
  <si>
    <t>5006-R</t>
  </si>
  <si>
    <t>Please answer the following question</t>
  </si>
  <si>
    <t xml:space="preserve">Amount for an eligible dependant </t>
  </si>
  <si>
    <r>
      <t xml:space="preserve">c) Spouse or common-law partner name, social insurance # and income.      </t>
    </r>
    <r>
      <rPr>
        <sz val="14"/>
        <color indexed="8"/>
        <rFont val="Arial"/>
        <family val="2"/>
      </rPr>
      <t>Top right section of T1 GEN-1 sheet</t>
    </r>
  </si>
  <si>
    <t>4) Common Data Items &amp; Where to Put Them</t>
  </si>
  <si>
    <t>Add lines 2 and 3</t>
  </si>
  <si>
    <t>Capital Gains</t>
  </si>
  <si>
    <t>Lump-sum pension benefits</t>
  </si>
  <si>
    <t xml:space="preserve">Total CPP pensionable earnings (box 26, or , if blank, box 14 of your T4 slips) </t>
  </si>
  <si>
    <t>Basic CPP exemption</t>
  </si>
  <si>
    <t>(maximum  $ 3,500)</t>
  </si>
  <si>
    <t>Earnings subject to contribution (if negative, enter "0")</t>
  </si>
  <si>
    <t>Total CPP and QPP contributions deducted (from boxes 16 and 17 of your T4 slips)</t>
  </si>
  <si>
    <t xml:space="preserve">     Canada  Pension Plan overpayment</t>
  </si>
  <si>
    <t xml:space="preserve">Maximum amount of </t>
  </si>
  <si>
    <t>months</t>
  </si>
  <si>
    <t>required contribution</t>
  </si>
  <si>
    <t>See the guide for details</t>
  </si>
  <si>
    <r>
      <t>Born in</t>
    </r>
  </si>
  <si>
    <r>
      <t>Born in</t>
    </r>
    <r>
      <rPr>
        <sz val="12"/>
        <rFont val="Arial MT"/>
        <family val="0"/>
      </rPr>
      <t xml:space="preserve"> </t>
    </r>
  </si>
  <si>
    <t>6152</t>
  </si>
  <si>
    <t>6153</t>
  </si>
  <si>
    <t>6154</t>
  </si>
  <si>
    <t>43</t>
  </si>
  <si>
    <t>45</t>
  </si>
  <si>
    <t>47</t>
  </si>
  <si>
    <t>48</t>
  </si>
  <si>
    <t>49</t>
  </si>
  <si>
    <t>50</t>
  </si>
  <si>
    <t>51</t>
  </si>
  <si>
    <t>54</t>
  </si>
  <si>
    <t>55</t>
  </si>
  <si>
    <t>56</t>
  </si>
  <si>
    <t>57</t>
  </si>
  <si>
    <t>58</t>
  </si>
  <si>
    <t>59</t>
  </si>
  <si>
    <t>60</t>
  </si>
  <si>
    <t>61</t>
  </si>
  <si>
    <t>62</t>
  </si>
  <si>
    <t>63</t>
  </si>
  <si>
    <t>ON479</t>
  </si>
  <si>
    <t xml:space="preserve">          Employment Insurance overpayment</t>
  </si>
  <si>
    <t>Part II</t>
  </si>
  <si>
    <t>FED WRK</t>
  </si>
  <si>
    <t>T2038(IND)</t>
  </si>
  <si>
    <t>T1172</t>
  </si>
  <si>
    <t>T4E</t>
  </si>
  <si>
    <t>T4PS</t>
  </si>
  <si>
    <t>T4RSP</t>
  </si>
  <si>
    <r>
      <t xml:space="preserve">below.  </t>
    </r>
    <r>
      <rPr>
        <b/>
        <sz val="12"/>
        <rFont val="Arial MT"/>
        <family val="0"/>
      </rPr>
      <t>Attach a copy</t>
    </r>
    <r>
      <rPr>
        <sz val="12"/>
        <rFont val="Arial MT"/>
        <family val="0"/>
      </rPr>
      <t xml:space="preserve"> of this schedule to your return.</t>
    </r>
  </si>
  <si>
    <r>
      <t>Attach a copy of this schedule to your return</t>
    </r>
    <r>
      <rPr>
        <sz val="12"/>
        <color indexed="8"/>
        <rFont val="Arial"/>
        <family val="2"/>
      </rPr>
      <t xml:space="preserve"> along with those official receipts that support your claim.  Remember, you may have </t>
    </r>
  </si>
  <si>
    <t>Total eligible amount of charitable donations and government gifts</t>
  </si>
  <si>
    <t>From Box 22 for T1 GEN-2</t>
  </si>
  <si>
    <t>All Box 28 for T1 GEN-4</t>
  </si>
  <si>
    <t>All Box 18 for T1 GEN-2</t>
  </si>
  <si>
    <t>All Box 36</t>
  </si>
  <si>
    <r>
      <t xml:space="preserve">Enter on line 314 of Schedule 1, </t>
    </r>
    <r>
      <rPr>
        <b/>
        <sz val="12"/>
        <color indexed="8"/>
        <rFont val="Arial"/>
        <family val="2"/>
      </rPr>
      <t xml:space="preserve">$2,000 </t>
    </r>
    <r>
      <rPr>
        <sz val="12"/>
        <color indexed="8"/>
        <rFont val="Arial"/>
        <family val="2"/>
      </rPr>
      <t xml:space="preserve">or the amount on line 8P, whichever is </t>
    </r>
    <r>
      <rPr>
        <b/>
        <sz val="12"/>
        <color indexed="8"/>
        <rFont val="Arial"/>
        <family val="2"/>
      </rPr>
      <t>less</t>
    </r>
    <r>
      <rPr>
        <sz val="12"/>
        <color indexed="8"/>
        <rFont val="Arial"/>
        <family val="2"/>
      </rPr>
      <t xml:space="preserve">.  However, if you and your spouse or common-law
partner are electing to split eligible pension income, complete Step 4 of Form T1032, </t>
    </r>
    <r>
      <rPr>
        <i/>
        <sz val="12"/>
        <color indexed="8"/>
        <rFont val="Arial"/>
        <family val="2"/>
      </rPr>
      <t>Joint Election to Split Pension income</t>
    </r>
    <r>
      <rPr>
        <sz val="12"/>
        <color indexed="8"/>
        <rFont val="Arial"/>
        <family val="2"/>
      </rPr>
      <t>, to calculate
your pension income amount for line 314 of Schedule 1.</t>
    </r>
  </si>
  <si>
    <t xml:space="preserve"> unless this chart is being completed for the calculation for line 318.</t>
  </si>
  <si>
    <t xml:space="preserve">Add lines 420 to 428. </t>
  </si>
  <si>
    <r>
      <t xml:space="preserve">Enter the province or territory where your </t>
    </r>
    <r>
      <rPr>
        <b/>
        <sz val="10"/>
        <rFont val="Arial"/>
        <family val="2"/>
      </rPr>
      <t xml:space="preserve">
currently </t>
    </r>
    <r>
      <rPr>
        <sz val="10"/>
        <rFont val="Arial"/>
        <family val="2"/>
      </rPr>
      <t>reside if it is not the same as that
shown above for your mailing address:</t>
    </r>
  </si>
  <si>
    <r>
      <t xml:space="preserve">Elected split-pension amount (see the guide and </t>
    </r>
    <r>
      <rPr>
        <b/>
        <sz val="12"/>
        <color indexed="8"/>
        <rFont val="Arial"/>
        <family val="2"/>
      </rPr>
      <t>attach</t>
    </r>
    <r>
      <rPr>
        <sz val="12"/>
        <color indexed="8"/>
        <rFont val="Arial"/>
        <family val="2"/>
      </rPr>
      <t xml:space="preserve"> Form T1032)</t>
    </r>
  </si>
  <si>
    <t>Additional deductions      Specify:</t>
  </si>
  <si>
    <t>Other deductions              Specify:</t>
  </si>
  <si>
    <r>
      <t xml:space="preserve">Working income tax benefit </t>
    </r>
    <r>
      <rPr>
        <b/>
        <sz val="12"/>
        <color indexed="8"/>
        <rFont val="Arial"/>
        <family val="2"/>
      </rPr>
      <t>(attach</t>
    </r>
    <r>
      <rPr>
        <sz val="12"/>
        <color indexed="8"/>
        <rFont val="Arial"/>
        <family val="2"/>
      </rPr>
      <t xml:space="preserve"> Schedule 6)</t>
    </r>
  </si>
  <si>
    <t>Free support via email is available:               support@peeltech.ca</t>
  </si>
  <si>
    <t>Situation Index for boxes, 16,20,24</t>
  </si>
  <si>
    <t>Situation index for box 22</t>
  </si>
  <si>
    <t>If your spouse or common-law partner made more than one contribution to your RRSPs in the two preceding years, he or she</t>
  </si>
  <si>
    <t>has to include the contributions in income in the order he or she contributed them.</t>
  </si>
  <si>
    <t>Example: James makes the following contributions to Tania's RRSP.</t>
  </si>
  <si>
    <t>2006: $ 0</t>
  </si>
  <si>
    <t>Tania made the following withdrawals from her spousal or common-law partner RRSP.</t>
  </si>
  <si>
    <t>Unused contributions</t>
  </si>
  <si>
    <t>Part of the amount your spouse or common-law partner includes in income for the year, based on this completed form, may</t>
  </si>
  <si>
    <t>be for RRSP contributions that were not deducted for any year. Your spouse or common-law partner may be able to claim a</t>
  </si>
  <si>
    <t>deduction on his or her return. To determine the deductible amount, your spouse or common-law partner can complete</t>
  </si>
  <si>
    <t>●  You have transferred to your RRSP certain amounts you included in your income.</t>
  </si>
  <si>
    <r>
      <t>Unused</t>
    </r>
    <r>
      <rPr>
        <sz val="12"/>
        <color indexed="8"/>
        <rFont val="Arial"/>
        <family val="2"/>
      </rPr>
      <t xml:space="preserve"> RRSP contributions: </t>
    </r>
    <r>
      <rPr>
        <b/>
        <sz val="12"/>
        <color indexed="8"/>
        <rFont val="Arial"/>
        <family val="2"/>
      </rPr>
      <t>amount B</t>
    </r>
    <r>
      <rPr>
        <sz val="12"/>
        <color indexed="8"/>
        <rFont val="Arial"/>
        <family val="2"/>
      </rPr>
      <t xml:space="preserve"> of your</t>
    </r>
  </si>
  <si>
    <r>
      <t xml:space="preserve">your latest </t>
    </r>
    <r>
      <rPr>
        <i/>
        <sz val="12"/>
        <color indexed="8"/>
        <rFont val="Arial"/>
        <family val="2"/>
      </rPr>
      <t>Notice</t>
    </r>
  </si>
  <si>
    <t>Total RRSP contributions: Add lines 1 and 4.</t>
  </si>
  <si>
    <r>
      <t xml:space="preserve">line 9, </t>
    </r>
    <r>
      <rPr>
        <b/>
        <sz val="12"/>
        <color indexed="8"/>
        <rFont val="Arial"/>
        <family val="2"/>
      </rPr>
      <t>excluding transfers</t>
    </r>
    <r>
      <rPr>
        <sz val="12"/>
        <color indexed="8"/>
        <rFont val="Arial"/>
        <family val="2"/>
      </rPr>
      <t>, and your RRSP deduction limit for</t>
    </r>
  </si>
  <si>
    <r>
      <t xml:space="preserve">" on your latest </t>
    </r>
    <r>
      <rPr>
        <i/>
        <sz val="12"/>
        <color indexed="8"/>
        <rFont val="Arial"/>
        <family val="2"/>
      </rPr>
      <t>Notice of Assessment, Notice of</t>
    </r>
  </si>
  <si>
    <r>
      <t>Reassessment,</t>
    </r>
    <r>
      <rPr>
        <sz val="12"/>
        <color indexed="8"/>
        <rFont val="Arial"/>
        <family val="2"/>
      </rPr>
      <t xml:space="preserve"> or Form T1028,  RRSP</t>
    </r>
  </si>
  <si>
    <t>Add lines 10 and 11.</t>
  </si>
  <si>
    <r>
      <t xml:space="preserve">enter the amount from line 9 or line 12, whichever is </t>
    </r>
    <r>
      <rPr>
        <b/>
        <sz val="12"/>
        <color indexed="8"/>
        <rFont val="Arial"/>
        <family val="2"/>
      </rPr>
      <t>less</t>
    </r>
  </si>
  <si>
    <t>Your unused RRSP contributions available to carry forward to a future year:  line 9 minus line 13</t>
  </si>
  <si>
    <r>
      <t xml:space="preserve">   Limit Statement" on your latest </t>
    </r>
    <r>
      <rPr>
        <i/>
        <sz val="12"/>
        <color indexed="8"/>
        <rFont val="Arial"/>
        <family val="2"/>
      </rPr>
      <t>Notice of Assessment, Notice of Reassessment</t>
    </r>
    <r>
      <rPr>
        <sz val="12"/>
        <color indexed="8"/>
        <rFont val="Arial"/>
        <family val="2"/>
      </rPr>
      <t xml:space="preserve">, or Form T1028, </t>
    </r>
    <r>
      <rPr>
        <i/>
        <sz val="12"/>
        <color indexed="8"/>
        <rFont val="Arial"/>
        <family val="2"/>
      </rPr>
      <t>RRSP information</t>
    </r>
  </si>
  <si>
    <r>
      <t>Do</t>
    </r>
    <r>
      <rPr>
        <b/>
        <sz val="12"/>
        <color indexed="8"/>
        <rFont val="Arial"/>
        <family val="2"/>
      </rPr>
      <t xml:space="preserve"> not</t>
    </r>
    <r>
      <rPr>
        <sz val="12"/>
        <color indexed="8"/>
        <rFont val="Arial"/>
        <family val="2"/>
      </rPr>
      <t xml:space="preserve"> include an amount you deducted or designated as a</t>
    </r>
  </si>
  <si>
    <t>Dependant's net income</t>
  </si>
  <si>
    <t>Spousal or common-law partner RRIF</t>
  </si>
  <si>
    <t>Social Insurance Number</t>
  </si>
  <si>
    <t>Line 4 minus line 5 (if negative, enter "0")</t>
  </si>
  <si>
    <r>
      <t xml:space="preserve">Provincial Worksheet </t>
    </r>
    <r>
      <rPr>
        <i/>
        <sz val="18"/>
        <color indexed="8"/>
        <rFont val="Arial"/>
        <family val="2"/>
      </rPr>
      <t>(continued)</t>
    </r>
  </si>
  <si>
    <t>Total child care and attendant care expenses claimed for you by anyone</t>
  </si>
  <si>
    <t>T1 GEN-2</t>
  </si>
  <si>
    <t>Spreadsheet</t>
  </si>
  <si>
    <t>Total Amt</t>
  </si>
  <si>
    <t>104</t>
  </si>
  <si>
    <t>T1 GEN-3</t>
  </si>
  <si>
    <t>314</t>
  </si>
  <si>
    <t>416</t>
  </si>
  <si>
    <t>417</t>
  </si>
  <si>
    <t>418</t>
  </si>
  <si>
    <t>19</t>
  </si>
  <si>
    <t>420</t>
  </si>
  <si>
    <t>5824</t>
  </si>
  <si>
    <t>5828</t>
  </si>
  <si>
    <t>15</t>
  </si>
  <si>
    <t>21</t>
  </si>
  <si>
    <t>23</t>
  </si>
  <si>
    <t>Amounts deemed received on</t>
  </si>
  <si>
    <t>deregistration</t>
  </si>
  <si>
    <t>Other income or deductions</t>
  </si>
  <si>
    <t>129,232</t>
  </si>
  <si>
    <t>Withdrawal and commutation</t>
  </si>
  <si>
    <t xml:space="preserve"> payments</t>
  </si>
  <si>
    <t>BC</t>
  </si>
  <si>
    <t>AB</t>
  </si>
  <si>
    <t>NS</t>
  </si>
  <si>
    <t>L428</t>
  </si>
  <si>
    <t>L479</t>
  </si>
  <si>
    <t>Schedule 2</t>
  </si>
  <si>
    <t>Destination Spreadsheet</t>
  </si>
  <si>
    <t>Allocated Slip # 1</t>
  </si>
  <si>
    <t>Allocated Slip # 2</t>
  </si>
  <si>
    <t>Allocated Slip # 3</t>
  </si>
  <si>
    <t>Allocated Slip # 4</t>
  </si>
  <si>
    <t>Attach Schedule 5 to your return to provide details for each dependant.</t>
  </si>
  <si>
    <t>CPP Contributions</t>
  </si>
  <si>
    <t xml:space="preserve">  (amount from line 308 of your federal Schedule 1)</t>
  </si>
  <si>
    <t xml:space="preserve">Employment Insurance premiums </t>
  </si>
  <si>
    <r>
      <t xml:space="preserve">Keep this </t>
    </r>
    <r>
      <rPr>
        <i/>
        <sz val="12"/>
        <color indexed="8"/>
        <rFont val="Arial"/>
        <family val="2"/>
      </rPr>
      <t xml:space="preserve">Provincial Worksheet </t>
    </r>
    <r>
      <rPr>
        <sz val="12"/>
        <color indexed="8"/>
        <rFont val="Arial"/>
        <family val="2"/>
      </rPr>
      <t xml:space="preserve">for your records.  </t>
    </r>
    <r>
      <rPr>
        <b/>
        <sz val="12"/>
        <color indexed="8"/>
        <rFont val="Arial"/>
        <family val="2"/>
      </rPr>
      <t xml:space="preserve">Do not attach </t>
    </r>
    <r>
      <rPr>
        <sz val="12"/>
        <color indexed="8"/>
        <rFont val="Arial"/>
        <family val="2"/>
      </rPr>
      <t>it to the return you send us.</t>
    </r>
    <r>
      <rPr>
        <i/>
        <sz val="12"/>
        <color indexed="8"/>
        <rFont val="Arial"/>
        <family val="2"/>
      </rPr>
      <t xml:space="preserve"> </t>
    </r>
  </si>
  <si>
    <t>Tuition, Educational and Textbook Amounts</t>
  </si>
  <si>
    <t>attached is correct, complete, and fully discloses all my income.</t>
  </si>
  <si>
    <t>Sign here</t>
  </si>
  <si>
    <r>
      <t xml:space="preserve">Deduction for elected split-pension amount (see the guide and </t>
    </r>
    <r>
      <rPr>
        <b/>
        <sz val="12"/>
        <color indexed="8"/>
        <rFont val="Arial"/>
        <family val="2"/>
      </rPr>
      <t>attach</t>
    </r>
    <r>
      <rPr>
        <sz val="12"/>
        <color indexed="8"/>
        <rFont val="Arial"/>
        <family val="2"/>
      </rPr>
      <t xml:space="preserve"> Form T1032)</t>
    </r>
  </si>
  <si>
    <t>Use the federal worksheet to calculate your repayment.</t>
  </si>
  <si>
    <t>Other payments deduction 
(if you reported income on lin147, see line 250 in the guide)</t>
  </si>
  <si>
    <r>
      <t xml:space="preserve">Net federal tax: enter the amount from line 52 of Schedule 1 </t>
    </r>
    <r>
      <rPr>
        <b/>
        <sz val="12"/>
        <color indexed="8"/>
        <rFont val="Arial"/>
        <family val="2"/>
      </rPr>
      <t>(attach</t>
    </r>
    <r>
      <rPr>
        <sz val="12"/>
        <color indexed="8"/>
        <rFont val="Arial"/>
        <family val="2"/>
      </rPr>
      <t xml:space="preserve"> Schedule 1 even if the result is "0")</t>
    </r>
  </si>
  <si>
    <t>Refundable medical expense supplement (use federal worksheet)</t>
  </si>
  <si>
    <r>
      <t xml:space="preserve">Provincial or territorial tax credits </t>
    </r>
    <r>
      <rPr>
        <sz val="12"/>
        <rFont val="Arial MT"/>
        <family val="0"/>
      </rPr>
      <t>(</t>
    </r>
    <r>
      <rPr>
        <b/>
        <sz val="12"/>
        <rFont val="Arial MT"/>
        <family val="0"/>
      </rPr>
      <t>attach</t>
    </r>
    <r>
      <rPr>
        <sz val="12"/>
        <rFont val="Arial MT"/>
        <family val="2"/>
      </rPr>
      <t xml:space="preserve"> Form 479)</t>
    </r>
  </si>
  <si>
    <r>
      <t xml:space="preserve">  </t>
    </r>
    <r>
      <rPr>
        <b/>
        <sz val="12"/>
        <color indexed="8"/>
        <rFont val="Arial"/>
        <family val="2"/>
      </rPr>
      <t>Result</t>
    </r>
    <r>
      <rPr>
        <sz val="12"/>
        <color indexed="8"/>
        <rFont val="Arial"/>
        <family val="2"/>
      </rPr>
      <t xml:space="preserve"> (if negative, enter "0") </t>
    </r>
  </si>
  <si>
    <r>
      <t xml:space="preserve">Amounts transferred from your spouse or </t>
    </r>
    <r>
      <rPr>
        <sz val="11"/>
        <color indexed="8"/>
        <rFont val="Arial"/>
        <family val="2"/>
      </rPr>
      <t xml:space="preserve">common-law partner </t>
    </r>
  </si>
  <si>
    <t xml:space="preserve">  Amount from line 345 of your federal Schedule 9 </t>
  </si>
  <si>
    <t xml:space="preserve">  Amount from line 347 of your federal Schedule 9 </t>
  </si>
  <si>
    <t>It is important that you set each QUALIFICATION correctly because MyTAX uses these settings for its calculations.</t>
  </si>
  <si>
    <t>Enter non-taxable part of the income earned on a reserve or an allowance</t>
  </si>
  <si>
    <t>received as an emergency volunteer.</t>
  </si>
  <si>
    <t>Universal Child Care Benefit repayment:</t>
  </si>
  <si>
    <t>Enter the amount from line 213 of the return.</t>
  </si>
  <si>
    <t>Add lines 9, 10, and 11.</t>
  </si>
  <si>
    <t>Universal Child Care Benefit:</t>
  </si>
  <si>
    <t>Enter the amount from line 117 of the return.</t>
  </si>
  <si>
    <t>Part B – Adjusted family net income</t>
  </si>
  <si>
    <t>Step 1 – Calculating your working income and adjusted family net income</t>
  </si>
  <si>
    <t>You</t>
  </si>
  <si>
    <t>Your eligible</t>
  </si>
  <si>
    <t>spouse</t>
  </si>
  <si>
    <t>Part A – Working income</t>
  </si>
  <si>
    <t>Complete columns 1 and 2 if you had an eligible spouse on</t>
  </si>
  <si>
    <t>If you were single with no eligible dependants, you qualify for the disability amount and the amount on line 15 in Step 1 is less than</t>
  </si>
  <si>
    <t>$14,500, complete Step 3 to calculate your WITB disability supplement. Otherwise, enter the amount from line 28 on line 453 of your</t>
  </si>
  <si>
    <t>return.</t>
  </si>
  <si>
    <t>Multiply line 18 by line 19.</t>
  </si>
  <si>
    <t>Step 2 – Calculating your basic WITB</t>
  </si>
  <si>
    <t>Enter the amount from line 8 in Step 1.</t>
  </si>
  <si>
    <t>Enter the amount from line 15 in Step 1.</t>
  </si>
  <si>
    <t>Base amount:</t>
  </si>
  <si>
    <t>If you were single and did not have any eligible dependants, enter $9,500.</t>
  </si>
  <si>
    <t>Line 23 minus line 24, (if negative, enter "0")</t>
  </si>
  <si>
    <t>Multiply line 25 by line 26.</t>
  </si>
  <si>
    <t>Line 22 minus line 27 (if negative, enter "0")</t>
  </si>
  <si>
    <t>If you qualify for the disability amount, you had an eligible spouse or an eligible dependant, and the amount on line 15 in Step 1 is less</t>
  </si>
  <si>
    <t>complete Step 3 to calculate your WITB disability supplement. Your eligible spouse must complete Step 1 and Step 3 on a separate</t>
  </si>
  <si>
    <t>Schedule 6 to calculate his or her WITB disability supplement. Otherwise, enter the amount from line 28 on line 453 of your return.</t>
  </si>
  <si>
    <t>Line 34 minus line 39 (if negative, enter "0")</t>
  </si>
  <si>
    <t>Rate (see note below)</t>
  </si>
  <si>
    <t>Multiply line 37 by line 38.</t>
  </si>
  <si>
    <t>Line 29 minus line 30 (if negative, enter "0")</t>
  </si>
  <si>
    <t>Multiply line 31 by line 32.</t>
  </si>
  <si>
    <t>Add lines 40 and 41.</t>
  </si>
  <si>
    <t xml:space="preserve">Taxable amount of dividends (eligible and other than eligible) Total </t>
  </si>
  <si>
    <t xml:space="preserve">Enter this amount on line 121 of your return. </t>
  </si>
  <si>
    <t xml:space="preserve">Enter this amount on line 122 of your return. </t>
  </si>
  <si>
    <t xml:space="preserve">Enter this amount on line 221 of your return. </t>
  </si>
  <si>
    <t>Interest and other investment income Total</t>
  </si>
  <si>
    <t xml:space="preserve">Net partnership income (loss) Total </t>
  </si>
  <si>
    <t xml:space="preserve">Carrying charges and interest expenses Total </t>
  </si>
  <si>
    <t>Details of Statement of Investment Income for Schedule 4</t>
  </si>
  <si>
    <t>Details of Statement of Investment Income for Schedule 4 Cont'd</t>
  </si>
  <si>
    <t>Federal Amounts Transferred From</t>
  </si>
  <si>
    <t>Tuition, education and textbook amounts:</t>
  </si>
  <si>
    <t>Call the Canada Revenue Agency for more details.</t>
  </si>
  <si>
    <t>Transfer / Carryforward of unused amount</t>
  </si>
  <si>
    <t xml:space="preserve"> Minus his or her net income 
 from page 1 of your return</t>
  </si>
  <si>
    <r>
      <t xml:space="preserve">Pension income amount </t>
    </r>
    <r>
      <rPr>
        <b/>
        <sz val="12"/>
        <color indexed="8"/>
        <rFont val="Arial"/>
        <family val="2"/>
      </rPr>
      <t>(maximum $1,000)</t>
    </r>
  </si>
  <si>
    <r>
      <t>●</t>
    </r>
    <r>
      <rPr>
        <b/>
        <sz val="12"/>
        <color indexed="8"/>
        <rFont val="Arial"/>
        <family val="2"/>
      </rPr>
      <t>42</t>
    </r>
  </si>
  <si>
    <r>
      <t>●</t>
    </r>
    <r>
      <rPr>
        <b/>
        <sz val="12"/>
        <color indexed="8"/>
        <rFont val="Arial"/>
        <family val="2"/>
      </rPr>
      <t>43</t>
    </r>
  </si>
  <si>
    <r>
      <t xml:space="preserve">Determine the amount to enter on line 6152 of Form BC428 by completing </t>
    </r>
    <r>
      <rPr>
        <b/>
        <sz val="12"/>
        <color indexed="8"/>
        <rFont val="Arial"/>
        <family val="2"/>
      </rPr>
      <t>one</t>
    </r>
    <r>
      <rPr>
        <sz val="12"/>
        <color indexed="8"/>
        <rFont val="Arial"/>
        <family val="2"/>
      </rPr>
      <t xml:space="preserve"> of the </t>
    </r>
    <r>
      <rPr>
        <b/>
        <sz val="12"/>
        <color indexed="8"/>
        <rFont val="Arial"/>
        <family val="2"/>
      </rPr>
      <t>two</t>
    </r>
    <r>
      <rPr>
        <sz val="12"/>
        <color indexed="8"/>
        <rFont val="Arial"/>
        <family val="2"/>
      </rPr>
      <t xml:space="preserve"> following calculations:</t>
    </r>
  </si>
  <si>
    <t xml:space="preserve">   Enter the result on line 6152 of Form BC428.</t>
  </si>
  <si>
    <t>X 12%</t>
  </si>
  <si>
    <t xml:space="preserve">You must enter your T5007 data into this form.  As your enter data, it is posted to the cells in the schedules and forms </t>
  </si>
  <si>
    <t>where they are needed.  If you have more than one T5007 slip, then enter the amounts from each T5007.</t>
  </si>
  <si>
    <t>or</t>
  </si>
  <si>
    <r>
      <t xml:space="preserve">CPP contributions payable on self-employment and other earnings </t>
    </r>
    <r>
      <rPr>
        <b/>
        <sz val="12"/>
        <color indexed="8"/>
        <rFont val="Arial"/>
        <family val="2"/>
      </rPr>
      <t>(attach</t>
    </r>
    <r>
      <rPr>
        <sz val="12"/>
        <color indexed="8"/>
        <rFont val="Arial"/>
        <family val="2"/>
      </rPr>
      <t xml:space="preserve"> Schedule 8)</t>
    </r>
  </si>
  <si>
    <t>Quebec income tax deducted</t>
  </si>
  <si>
    <t>146,250</t>
  </si>
  <si>
    <t xml:space="preserve">from there.  The form will tell you what line in the main set of tax forms to enter the data. </t>
  </si>
  <si>
    <t>24</t>
  </si>
  <si>
    <t>EI insurable earnings</t>
  </si>
  <si>
    <t>26</t>
  </si>
  <si>
    <t>Complete this form if you meet both of the following conditions:</t>
  </si>
  <si>
    <t>By completing this form, you will calculate how much of the amount to include in your income on your own return, and how</t>
  </si>
  <si>
    <t>much your spouse or common-law partner has to include in income. If your RRSP or RRIF has been deregistered, we</t>
  </si>
  <si>
    <t>consider that you received an amount from it in the year it was deregistered. The amount we consider that you received is the</t>
  </si>
  <si>
    <t>fair market value of the plan or fund calculated immediately before it was deregistered. This requirement does not apply to</t>
  </si>
  <si>
    <t>deregistered RRIFs that were established before March 1986, unless they were amended after February 1986.</t>
  </si>
  <si>
    <t>You and your spouse or common-law partner each have to attach a copy of this form to your own income tax return for the</t>
  </si>
  <si>
    <t>year. Keep a copy for your records.</t>
  </si>
  <si>
    <t>Do not complete this form if any of the following apply:</t>
  </si>
  <si>
    <t>In any of the situations listed above, include the amounts in your own income.</t>
  </si>
  <si>
    <t>Spousal or common-law partner RRSP and RRIF</t>
  </si>
  <si>
    <t>An RRSP or RRIF is a spousal or common-law partner plan or fund if it meets any of the following conditions:</t>
  </si>
  <si>
    <t>RRIF.</t>
  </si>
  <si>
    <t>For more details, see "Amounts from a spousal or common-law partner RRSP or RRIF" in Chapter 4 of Guide T4040, RRSPs</t>
  </si>
  <si>
    <t>and Other Registered Plans for Retirement.</t>
  </si>
  <si>
    <t>Lines 5 and 16</t>
  </si>
  <si>
    <t>PLAN ALLOCATIONS AND PAYMENTS</t>
  </si>
  <si>
    <t>provincial or territorial supplements</t>
  </si>
  <si>
    <r>
      <t xml:space="preserve">You must enter your T4 data into </t>
    </r>
    <r>
      <rPr>
        <b/>
        <sz val="14"/>
        <color indexed="8"/>
        <rFont val="Arial"/>
        <family val="2"/>
      </rPr>
      <t>this</t>
    </r>
    <r>
      <rPr>
        <sz val="14"/>
        <color indexed="8"/>
        <rFont val="Arial"/>
        <family val="2"/>
      </rPr>
      <t xml:space="preserve"> form.  As you enter data, it is posted to the cells in the schedules and forms </t>
    </r>
  </si>
  <si>
    <r>
      <t xml:space="preserve">You must enter your T4A data into </t>
    </r>
    <r>
      <rPr>
        <b/>
        <sz val="14"/>
        <color indexed="8"/>
        <rFont val="Arial"/>
        <family val="2"/>
      </rPr>
      <t>this</t>
    </r>
    <r>
      <rPr>
        <sz val="14"/>
        <color indexed="8"/>
        <rFont val="Arial"/>
        <family val="2"/>
      </rPr>
      <t xml:space="preserve"> form.  As you enter data, it is posted to the cells in the schedules and forms </t>
    </r>
  </si>
  <si>
    <t>Address or legal description</t>
  </si>
  <si>
    <r>
      <t xml:space="preserve">● </t>
    </r>
    <r>
      <rPr>
        <sz val="12"/>
        <color indexed="8"/>
        <rFont val="Arial"/>
        <family val="2"/>
      </rPr>
      <t>calculate your British Columbia tuition and educational amounts to claim on line 5856 of your Form BC428;</t>
    </r>
  </si>
  <si>
    <t>Foreign pension income included on line 115 and deducted on line 256</t>
  </si>
  <si>
    <t>Income from a U.S. individual retirement account (IRA) included on line 115</t>
  </si>
  <si>
    <t>Excess amounts from a RRIF included on line 115 and</t>
  </si>
  <si>
    <t>transferred to an RRSP, another RRIF, or an annuity.</t>
  </si>
  <si>
    <t>If you claimed this dependant on line 305 of Schedule 1, enter the amount claimed</t>
  </si>
  <si>
    <t xml:space="preserve">Enter on line 315 of Schedule 1, the total amount claimed for all dependants. </t>
  </si>
  <si>
    <t>_</t>
  </si>
  <si>
    <r>
      <t xml:space="preserve">determine which </t>
    </r>
    <r>
      <rPr>
        <b/>
        <sz val="11"/>
        <color indexed="8"/>
        <rFont val="Arial"/>
        <family val="2"/>
      </rPr>
      <t>ONE</t>
    </r>
    <r>
      <rPr>
        <sz val="11"/>
        <color indexed="8"/>
        <rFont val="Arial"/>
        <family val="2"/>
      </rPr>
      <t xml:space="preserve"> of the</t>
    </r>
  </si>
  <si>
    <r>
      <t xml:space="preserve">on the </t>
    </r>
    <r>
      <rPr>
        <i/>
        <sz val="12"/>
        <color indexed="8"/>
        <rFont val="Arial"/>
        <family val="2"/>
      </rPr>
      <t>Provincial Worksheet</t>
    </r>
  </si>
  <si>
    <t>Yes</t>
  </si>
  <si>
    <t xml:space="preserve"> 2</t>
  </si>
  <si>
    <t>T3012A,T2205</t>
  </si>
  <si>
    <t>Number of Children:</t>
  </si>
  <si>
    <t xml:space="preserve">You can work in one section of the screen, having scrolled the other screen for viewing the result. </t>
  </si>
  <si>
    <t>All screens are updated whenever a change occurs.</t>
  </si>
  <si>
    <t>You can also adjust the top &amp; bottom and left &amp; right margins to suit your printer.</t>
  </si>
  <si>
    <t>If a sheet has user related data, then you will likely want to print it sometime.</t>
  </si>
  <si>
    <r>
      <t>Age amount</t>
    </r>
    <r>
      <rPr>
        <sz val="12"/>
        <rFont val="Arial MT"/>
        <family val="0"/>
      </rPr>
      <t xml:space="preserve"> </t>
    </r>
  </si>
  <si>
    <r>
      <t xml:space="preserve">Enter your venture capital tax credit from Certificate </t>
    </r>
    <r>
      <rPr>
        <b/>
        <sz val="12"/>
        <color indexed="8"/>
        <rFont val="Arial"/>
        <family val="2"/>
      </rPr>
      <t>SBVC10</t>
    </r>
  </si>
  <si>
    <t>You can use MyTAX to prepare an unlimited number of income tax returns.</t>
  </si>
  <si>
    <t>(maximum $60,000)</t>
  </si>
  <si>
    <t>Enter your mining exploration tax credit from Form T88</t>
  </si>
  <si>
    <t>130 T1172</t>
  </si>
  <si>
    <t>N/A</t>
  </si>
  <si>
    <t xml:space="preserve">Schedule 5 </t>
  </si>
  <si>
    <t>Your donation to the Ontario Opportunities</t>
  </si>
  <si>
    <t>Fund</t>
  </si>
  <si>
    <t>Net refund (line1 minus 2)</t>
  </si>
  <si>
    <t>You can help reduce Ontario's debt by completing this area to</t>
  </si>
  <si>
    <t>Opportunities Fund.  Please see the provincial pages for details.</t>
  </si>
  <si>
    <t>Part A – Total child care expenses</t>
  </si>
  <si>
    <t>Additional credit for your spouse or common-law partner</t>
  </si>
  <si>
    <t>Enter the amount from line 9 (in Part B) or line 14 (in Part C), whichever applies to you</t>
  </si>
  <si>
    <t>If you completed Part C: line 13 (in Part C) minus line 6 (in Part B)</t>
  </si>
  <si>
    <r>
      <t xml:space="preserve">Enter the amount from line 18, 19, 20, 21, or (if it applies) 22, whichever is </t>
    </r>
    <r>
      <rPr>
        <b/>
        <sz val="12"/>
        <rFont val="Arial MT"/>
        <family val="0"/>
      </rPr>
      <t>less</t>
    </r>
  </si>
  <si>
    <t>Complete Step 1 to claim your federal non-refundable tax credits, Step 2 to calculate your federal tax on taxable</t>
  </si>
  <si>
    <t>income and Step 3 to calculate your net federal tax.</t>
  </si>
  <si>
    <t>Employment from lines 101 and 104</t>
  </si>
  <si>
    <t>a</t>
  </si>
  <si>
    <t>Amounts received from a wage-loss replacement</t>
  </si>
  <si>
    <t>b</t>
  </si>
  <si>
    <t>Amounts on line 207, 212, 229, 231</t>
  </si>
  <si>
    <t>Form T746, Calculating Your Deduction for Refund of Unused RRSP Contributions.</t>
  </si>
  <si>
    <t>Tax deducted</t>
  </si>
  <si>
    <t>Only the person who is shown as the annuitant on the T4RSP or T4RIF slip can claim the income tax deducted. The amount</t>
  </si>
  <si>
    <t>of tax deducted is shown in box 30 of the T4RSP or box 28 of the T4RIF slip.</t>
  </si>
  <si>
    <t>_xDBC0__xDC7A_</t>
  </si>
  <si>
    <t>Printed in Canada</t>
  </si>
  <si>
    <t>Employment Insurance premiums from box 18 and box 55 on all T4 slips</t>
  </si>
  <si>
    <t>PPIP Insurable Earnings</t>
  </si>
  <si>
    <t>81</t>
  </si>
  <si>
    <t>82</t>
  </si>
  <si>
    <t>83</t>
  </si>
  <si>
    <t>Placement or employment agency Workers</t>
  </si>
  <si>
    <t>Drivers of taxis and other passenger-carrying vehicles</t>
  </si>
  <si>
    <t>Barbers or hairdressers</t>
  </si>
  <si>
    <t>Use paper Form T2124   (Do not enter this amount on line 101)</t>
  </si>
  <si>
    <r>
      <t>Fishers - Gross earnings -  Use</t>
    </r>
    <r>
      <rPr>
        <sz val="14"/>
        <rFont val="Arial MT"/>
        <family val="0"/>
      </rPr>
      <t xml:space="preserve"> paper Form T2121</t>
    </r>
  </si>
  <si>
    <r>
      <t xml:space="preserve">Fishers - Net partnership amount - </t>
    </r>
    <r>
      <rPr>
        <sz val="14"/>
        <rFont val="Arial MT"/>
        <family val="0"/>
      </rPr>
      <t>Use paper Form T2121.</t>
    </r>
  </si>
  <si>
    <r>
      <t xml:space="preserve">Fishers - Shareperson amount - </t>
    </r>
    <r>
      <rPr>
        <sz val="14"/>
        <rFont val="Arial MT"/>
        <family val="0"/>
      </rPr>
      <t>Use paper Form T2121</t>
    </r>
  </si>
  <si>
    <t>Enter gross income from item 8299 on line 170 of T1GEN-2-3-4 sheet of MyTAX</t>
  </si>
  <si>
    <t>Enter gross income from item 8299 on line 162 of T1GEN-2-3-4 sheet of MyTAX</t>
  </si>
  <si>
    <t>Enter net income from item 9946 on line 135 of T1 GEN-2-3-4 sheet of MyTAX</t>
  </si>
  <si>
    <t>364</t>
  </si>
  <si>
    <t>84</t>
  </si>
  <si>
    <t>162</t>
  </si>
  <si>
    <t>143</t>
  </si>
  <si>
    <t>See line 330 in your tax guide</t>
  </si>
  <si>
    <t>330</t>
  </si>
  <si>
    <t>85</t>
  </si>
  <si>
    <t>Employee-paid premiums for private health service plans</t>
  </si>
  <si>
    <r>
      <t xml:space="preserve">Enter, on line 5848 of Form BC428, the amount on line 3 or line 7, whichever is </t>
    </r>
    <r>
      <rPr>
        <b/>
        <sz val="12"/>
        <color indexed="8"/>
        <rFont val="Arial"/>
        <family val="2"/>
      </rPr>
      <t>less.</t>
    </r>
  </si>
  <si>
    <t>Enter the amount you are transferring (cannot be more than line 19)</t>
  </si>
  <si>
    <t>Provincial amount transferred</t>
  </si>
  <si>
    <t>Enter the amount from 4 on lines 235 and 422 of your return.  However,</t>
  </si>
  <si>
    <t>if you also received Old Age Security benefits and the amount on line 234</t>
  </si>
  <si>
    <t>Required contribution: Multiply line 3 by 4.95%</t>
  </si>
  <si>
    <r>
      <t xml:space="preserve">Enter your </t>
    </r>
    <r>
      <rPr>
        <b/>
        <sz val="12"/>
        <rFont val="Arial MT"/>
        <family val="0"/>
      </rPr>
      <t xml:space="preserve">net income </t>
    </r>
    <r>
      <rPr>
        <sz val="12"/>
        <rFont val="Arial MT"/>
        <family val="0"/>
      </rPr>
      <t>not including amounts on line 214 or 235</t>
    </r>
  </si>
  <si>
    <r>
      <t xml:space="preserve">MyTAX does </t>
    </r>
    <r>
      <rPr>
        <b/>
        <sz val="14"/>
        <color indexed="8"/>
        <rFont val="Arial"/>
        <family val="2"/>
      </rPr>
      <t>NOT</t>
    </r>
    <r>
      <rPr>
        <sz val="14"/>
        <color indexed="8"/>
        <rFont val="Arial"/>
        <family val="2"/>
      </rPr>
      <t xml:space="preserve"> allow you to enter T4 data directly to other sheets and forms and schedules</t>
    </r>
  </si>
  <si>
    <t>City</t>
  </si>
  <si>
    <t>Prov./Ter.</t>
  </si>
  <si>
    <t>Postal code</t>
  </si>
  <si>
    <t>Employee's CPP contributions</t>
  </si>
  <si>
    <t xml:space="preserve"> For example, if you have the following amounts in three box 18's:  21500.00, 1467.33, 991.56, </t>
  </si>
  <si>
    <t>you would position the cursor to line 115 below, and then key in</t>
  </si>
  <si>
    <t>Line 435 minus line 482</t>
  </si>
  <si>
    <t>Enter the amount below  on whichever line applies.</t>
  </si>
  <si>
    <t>you would position the cursor the data entry line 115 below, and then key in</t>
  </si>
  <si>
    <t>Line 314 - Pension income amount</t>
  </si>
  <si>
    <t>Amount from line 115 of your return</t>
  </si>
  <si>
    <t>X</t>
  </si>
  <si>
    <t>Attach Schedule 5 to your return to provide details for each dependent.</t>
  </si>
  <si>
    <t>Total expenses for child care and attendant care claimed by you or for you by anyone</t>
  </si>
  <si>
    <t>Enter his or her SIN</t>
  </si>
  <si>
    <t>Employment Insurance and other benefits (box 14 on the T4E slip)</t>
  </si>
  <si>
    <t>Add lines 6 and 7.</t>
  </si>
  <si>
    <t>Disability amount (for self)</t>
  </si>
  <si>
    <r>
      <t>continue on the back</t>
    </r>
    <r>
      <rPr>
        <b/>
        <sz val="12"/>
        <color indexed="8"/>
        <rFont val="Arial"/>
        <family val="0"/>
      </rPr>
      <t>→</t>
    </r>
  </si>
  <si>
    <t xml:space="preserve"> For example, if you have the following amounts for box 32:  21500.00, 1467.33, 991.56, </t>
  </si>
  <si>
    <t>you would position the cursor to line 120 below, and then key in</t>
  </si>
  <si>
    <t>claim $75</t>
  </si>
  <si>
    <t>Dividend tax credit for dividends other than eligible dividends</t>
  </si>
  <si>
    <t>Actual amount of eligible dividends</t>
  </si>
  <si>
    <t>Taxable amount of eligible dividends</t>
  </si>
  <si>
    <r>
      <t xml:space="preserve">Dividend tax credit for eligible dividends                                 </t>
    </r>
    <r>
      <rPr>
        <sz val="14"/>
        <color indexed="8"/>
        <rFont val="Arial"/>
        <family val="2"/>
      </rPr>
      <t>Sch1</t>
    </r>
  </si>
  <si>
    <t>180</t>
  </si>
  <si>
    <r>
      <t xml:space="preserve">i) Rent:   </t>
    </r>
    <r>
      <rPr>
        <sz val="14"/>
        <rFont val="Arial MT"/>
        <family val="0"/>
      </rPr>
      <t>Manitoba=MB479;  item 6110</t>
    </r>
  </si>
  <si>
    <r>
      <t xml:space="preserve">i) Rent    </t>
    </r>
    <r>
      <rPr>
        <sz val="14"/>
        <rFont val="Arial MT"/>
        <family val="0"/>
      </rPr>
      <t>Ontario = ON479, item 6110</t>
    </r>
  </si>
  <si>
    <r>
      <t>j) Property Tax:</t>
    </r>
    <r>
      <rPr>
        <sz val="14"/>
        <color indexed="8"/>
        <rFont val="Arial"/>
        <family val="2"/>
      </rPr>
      <t xml:space="preserve">    Ontario=ON479, item 6112</t>
    </r>
  </si>
  <si>
    <t>(see line 5836 in the forms book)</t>
  </si>
  <si>
    <t>(see line 5844 in the forms book)</t>
  </si>
  <si>
    <t>Line 318 - Disability amount transferred from a dependant</t>
  </si>
  <si>
    <t>Dependant's taxable income from line 260 of his or her return</t>
  </si>
  <si>
    <r>
      <t xml:space="preserve">Enter on line 318 of Schedule 1 the amount on line 3 or 7, whichever is </t>
    </r>
    <r>
      <rPr>
        <b/>
        <sz val="14"/>
        <color indexed="8"/>
        <rFont val="Arial"/>
        <family val="2"/>
      </rPr>
      <t>less</t>
    </r>
    <r>
      <rPr>
        <sz val="14"/>
        <color indexed="8"/>
        <rFont val="Arial"/>
        <family val="2"/>
      </rPr>
      <t>.</t>
    </r>
  </si>
  <si>
    <r>
      <t>and Benefit Guide</t>
    </r>
    <r>
      <rPr>
        <sz val="14"/>
        <color indexed="8"/>
        <rFont val="Arial"/>
        <family val="2"/>
      </rPr>
      <t xml:space="preserve">.  Keep this worksheet for your records.  </t>
    </r>
    <r>
      <rPr>
        <b/>
        <sz val="14"/>
        <color indexed="8"/>
        <rFont val="Arial"/>
        <family val="2"/>
      </rPr>
      <t>Do not attach it to the return you send us.</t>
    </r>
  </si>
  <si>
    <r>
      <t xml:space="preserve">Use the following charts to make your calculations according to the line instructions contained in your </t>
    </r>
    <r>
      <rPr>
        <i/>
        <sz val="14"/>
        <color indexed="8"/>
        <rFont val="Arial"/>
        <family val="2"/>
      </rPr>
      <t xml:space="preserve">General Income Tax </t>
    </r>
  </si>
  <si>
    <t>Line 410 - Federal political contribution tax credit</t>
  </si>
  <si>
    <t>Line 452 - Refundable medical expense supplement</t>
  </si>
  <si>
    <t>Capital loss from a reduction in your business investment loss</t>
  </si>
  <si>
    <r>
      <t xml:space="preserve">Enter the amount from line 4 or line 7, whichever is </t>
    </r>
    <r>
      <rPr>
        <b/>
        <sz val="9"/>
        <color indexed="8"/>
        <rFont val="Arial"/>
        <family val="2"/>
      </rPr>
      <t>greater</t>
    </r>
  </si>
  <si>
    <r>
      <t>4.</t>
    </r>
    <r>
      <rPr>
        <sz val="14"/>
        <color indexed="8"/>
        <rFont val="Arial"/>
        <family val="2"/>
      </rPr>
      <t xml:space="preserve">  To enter data into a schedule, go to the desired schedule, position the cursor to the appropriate box / cell and</t>
    </r>
  </si>
  <si>
    <t xml:space="preserve">British Columbia non-refundable tax credits </t>
  </si>
  <si>
    <t xml:space="preserve">Telephone   </t>
  </si>
  <si>
    <t>Your net Income from line 236 of your return</t>
  </si>
  <si>
    <t xml:space="preserve">Taxable amount of dividends eligible Subtotal </t>
  </si>
  <si>
    <t>Add lines 1 to 3 and enter this amount on line 180 of your return</t>
  </si>
  <si>
    <t>Add lines 4 to 7 and enter this amount on line 120 of your return</t>
  </si>
  <si>
    <t xml:space="preserve">Other than eligible dividends Subtotal </t>
  </si>
  <si>
    <r>
      <t>5.</t>
    </r>
    <r>
      <rPr>
        <sz val="14"/>
        <color indexed="8"/>
        <rFont val="Arial"/>
        <family val="2"/>
      </rPr>
      <t xml:space="preserve"> Then proceed to enter your data into the T1 General sheet, Federal worksheet, provincial worksheet &amp; the schedules.</t>
    </r>
  </si>
  <si>
    <t>Spouse or common-law partner's taxable income:</t>
  </si>
  <si>
    <t>Enter the amount from line 5, if it is more than $5,000, enter $5,000.</t>
  </si>
  <si>
    <r>
      <t>specify the provincial amount</t>
    </r>
    <r>
      <rPr>
        <sz val="12"/>
        <color indexed="8"/>
        <rFont val="Arial"/>
        <family val="2"/>
      </rPr>
      <t xml:space="preserve"> that you are transferring to him or her on Form T2202, T2202A, TL11A or</t>
    </r>
  </si>
  <si>
    <t>TL11C.  Enter the amount on line 20 below.</t>
  </si>
  <si>
    <t>Line 3 minus line 4</t>
  </si>
  <si>
    <t>If you have more than five T3 forms, you can add the data from the extra ones as a sum rather than a single #.</t>
  </si>
  <si>
    <t>or her chart for line 316.  Otherwise, enter "0".</t>
  </si>
  <si>
    <t>Usage Tips:</t>
  </si>
  <si>
    <t>If you have more than four slips, you can add the data from the extra ones as a sum rather than a single #.</t>
  </si>
  <si>
    <t>Allocated Data</t>
  </si>
  <si>
    <t>Description</t>
  </si>
  <si>
    <t>Enter your net income from line 236 of your return</t>
  </si>
  <si>
    <t xml:space="preserve">Line 235 - Social benefits repayment </t>
  </si>
  <si>
    <t>Amount from line 113 of your return</t>
  </si>
  <si>
    <t>Amount from line 146 of your return</t>
  </si>
  <si>
    <t>British Columbia tuition and education</t>
  </si>
  <si>
    <r>
      <t>●</t>
    </r>
    <r>
      <rPr>
        <sz val="10.8"/>
        <rFont val="Arial MT"/>
        <family val="0"/>
      </rPr>
      <t xml:space="preserve">  </t>
    </r>
    <r>
      <rPr>
        <sz val="12"/>
        <rFont val="Arial MT"/>
        <family val="0"/>
      </rPr>
      <t>you were confined to a prison or similar institution for a period of 90 days or more during the year.</t>
    </r>
  </si>
  <si>
    <t>Do you have an eligible dependant?</t>
  </si>
  <si>
    <t>Do you have an eligible spouse?</t>
  </si>
  <si>
    <t>and line 104 of the return</t>
  </si>
  <si>
    <t>Add the amounts from line 7 in columns 1 and 2.</t>
  </si>
  <si>
    <t>Line 12 minus line 13 (if negative, enter "0")</t>
  </si>
  <si>
    <t>Add the amounts from line 14 in columns 1 and 2.</t>
  </si>
  <si>
    <t>Are you claiming the basic WITB?</t>
  </si>
  <si>
    <t>for yourself?</t>
  </si>
  <si>
    <t>amount for himself or herself?</t>
  </si>
  <si>
    <t>381</t>
  </si>
  <si>
    <t>382</t>
  </si>
  <si>
    <t>383</t>
  </si>
  <si>
    <r>
      <t>Note:</t>
    </r>
    <r>
      <rPr>
        <sz val="12"/>
        <rFont val="Arial MT"/>
        <family val="0"/>
      </rPr>
      <t xml:space="preserve"> If you are completing a final return for a deceased person who met the above conditions, you can claim the WITB for that</t>
    </r>
  </si>
  <si>
    <t>384</t>
  </si>
  <si>
    <t>391</t>
  </si>
  <si>
    <t>392</t>
  </si>
  <si>
    <t xml:space="preserve">  If yes, complete Step 2 on the back.</t>
  </si>
  <si>
    <t xml:space="preserve">  If yes, complete Step 3 on the back.</t>
  </si>
  <si>
    <t>continue on the back  =&gt;</t>
  </si>
  <si>
    <t xml:space="preserve">  If yes, he or she must complete Step 1 and</t>
  </si>
  <si>
    <t xml:space="preserve">  Step 3 on a separate Schedule 6.</t>
  </si>
  <si>
    <t>388</t>
  </si>
  <si>
    <t>389</t>
  </si>
  <si>
    <t>390</t>
  </si>
  <si>
    <t>385</t>
  </si>
  <si>
    <t>386</t>
  </si>
  <si>
    <t>387</t>
  </si>
  <si>
    <t>Working Income Tax Benefit</t>
  </si>
  <si>
    <r>
      <t xml:space="preserve">    income (Step 1, Part B) is </t>
    </r>
    <r>
      <rPr>
        <b/>
        <sz val="12"/>
        <rFont val="Arial MT"/>
        <family val="0"/>
      </rPr>
      <t>less than</t>
    </r>
    <r>
      <rPr>
        <sz val="12"/>
        <rFont val="Arial MT"/>
        <family val="0"/>
      </rPr>
      <t xml:space="preserve"> $24,500.</t>
    </r>
  </si>
  <si>
    <r>
      <t xml:space="preserve">    (Step 1, Part B) is </t>
    </r>
    <r>
      <rPr>
        <b/>
        <sz val="12"/>
        <rFont val="Arial MT"/>
        <family val="0"/>
      </rPr>
      <t>less than</t>
    </r>
    <r>
      <rPr>
        <sz val="12"/>
        <rFont val="Arial MT"/>
        <family val="0"/>
      </rPr>
      <t xml:space="preserve"> $14,500; or</t>
    </r>
  </si>
  <si>
    <r>
      <t>Note:</t>
    </r>
    <r>
      <rPr>
        <sz val="12"/>
        <rFont val="Arial MT"/>
        <family val="0"/>
      </rPr>
      <t xml:space="preserve"> If you were married or living in a common-law relationship but did not have an eligible spouse or an eligible dependant, complete</t>
    </r>
  </si>
  <si>
    <t xml:space="preserve">          this schedule using the instructions as if you were single.</t>
  </si>
  <si>
    <r>
      <t xml:space="preserve">of the return </t>
    </r>
    <r>
      <rPr>
        <b/>
        <sz val="12"/>
        <rFont val="Arial MT"/>
        <family val="0"/>
      </rPr>
      <t>(excluding</t>
    </r>
    <r>
      <rPr>
        <sz val="12"/>
        <rFont val="Arial MT"/>
        <family val="0"/>
      </rPr>
      <t xml:space="preserve"> losses)</t>
    </r>
  </si>
  <si>
    <t>Working Income</t>
  </si>
  <si>
    <t>Adjusted family net income</t>
  </si>
  <si>
    <t>394</t>
  </si>
  <si>
    <t>box 21 minus box 30</t>
  </si>
  <si>
    <t>STATEMENT OF TRUST INCOME ALLOCATIONS &amp; DESIGNATIONS</t>
  </si>
  <si>
    <t>Line 5840 - Caregiver amount</t>
  </si>
  <si>
    <t>Enter the amount from box 26 (or if blank, box 14) on all T4 slips</t>
  </si>
  <si>
    <t>ON WRK</t>
  </si>
  <si>
    <t>ON(S2)</t>
  </si>
  <si>
    <t>ON(S11)</t>
  </si>
  <si>
    <t>T778</t>
  </si>
  <si>
    <t>Sch2</t>
  </si>
  <si>
    <t>Sch5</t>
  </si>
  <si>
    <t>Sch4-2</t>
  </si>
  <si>
    <t>Sch11</t>
  </si>
  <si>
    <t>SHEETS NAVIGATION &amp; STATUS</t>
  </si>
  <si>
    <t>GO TO</t>
  </si>
  <si>
    <t xml:space="preserve">Employment benefits &amp; </t>
  </si>
  <si>
    <t>support measures paid</t>
  </si>
  <si>
    <t>Federal income tax deducted</t>
  </si>
  <si>
    <t>where they are needed.  If you have more than one T5 slip, then enter the amounts from each T5.</t>
  </si>
  <si>
    <t>CPP contributions payable on self-employment and other earnings:</t>
  </si>
  <si>
    <t>Income Tax and Benefit Return</t>
  </si>
  <si>
    <t>Identification</t>
  </si>
  <si>
    <t>If, at the end of the year, you and your dependant were not residents of the same province or territory, special</t>
  </si>
  <si>
    <t>Reserves from line 6706 of Form T2017 (if negative, show it in brackets and subtract it)</t>
  </si>
  <si>
    <t>(if it applies)</t>
  </si>
  <si>
    <t>Net</t>
  </si>
  <si>
    <t>Use this form to calculate the amount you can deduct from federal tax for 2002 or a later year. If this claim is for a year before 2002, get a copy of the previous</t>
  </si>
  <si>
    <t>version of this form. You can claim this credit if you were resident in Canada at any time in the tax year and you had to include, on your Canadian return,</t>
  </si>
  <si>
    <t>income that came from a foreign country and for which you paid non-business or business taxes to that foreign country. If the total of the foreign taxes you paid</t>
  </si>
  <si>
    <t>to all foreign countries is more than $200, do a calculation on a separate sheet for each foreign country to which you paid taxes, and add the totals to</t>
  </si>
  <si>
    <t>Country or countries for which you are making this claim:</t>
  </si>
  <si>
    <r>
      <t>Non-business income tax paid to a foreign country</t>
    </r>
    <r>
      <rPr>
        <vertAlign val="superscript"/>
        <sz val="12"/>
        <rFont val="Arial MT"/>
        <family val="0"/>
      </rPr>
      <t>(a)</t>
    </r>
  </si>
  <si>
    <r>
      <t>Net foreign non-business income</t>
    </r>
    <r>
      <rPr>
        <vertAlign val="superscript"/>
        <sz val="12"/>
        <rFont val="Arial MT"/>
        <family val="0"/>
      </rPr>
      <t>(b)</t>
    </r>
  </si>
  <si>
    <r>
      <t>Divided by: net income</t>
    </r>
    <r>
      <rPr>
        <vertAlign val="superscript"/>
        <sz val="12"/>
        <rFont val="Arial MT"/>
        <family val="0"/>
      </rPr>
      <t>(c)</t>
    </r>
  </si>
  <si>
    <t>Foreign business income</t>
  </si>
  <si>
    <r>
      <t>Business income tax paid to a foreign country</t>
    </r>
    <r>
      <rPr>
        <vertAlign val="superscript"/>
        <sz val="12"/>
        <rFont val="Arial MT"/>
        <family val="0"/>
      </rPr>
      <t>(e)</t>
    </r>
    <r>
      <rPr>
        <sz val="12"/>
        <rFont val="Arial MT"/>
        <family val="0"/>
      </rPr>
      <t xml:space="preserve"> for the year, plus any unused foreign tax credits</t>
    </r>
  </si>
  <si>
    <r>
      <t>for that country for the seven</t>
    </r>
    <r>
      <rPr>
        <vertAlign val="superscript"/>
        <sz val="12"/>
        <rFont val="Arial MT"/>
        <family val="0"/>
      </rPr>
      <t>(f)</t>
    </r>
    <r>
      <rPr>
        <sz val="12"/>
        <rFont val="Arial MT"/>
        <family val="0"/>
      </rPr>
      <t xml:space="preserve"> years before, and the three years after this year</t>
    </r>
  </si>
  <si>
    <r>
      <t xml:space="preserve">Net foreign business income </t>
    </r>
    <r>
      <rPr>
        <vertAlign val="superscript"/>
        <sz val="12"/>
        <rFont val="Arial MT"/>
        <family val="0"/>
      </rPr>
      <t>(g)</t>
    </r>
  </si>
  <si>
    <r>
      <t xml:space="preserve">Divided by: net income </t>
    </r>
    <r>
      <rPr>
        <vertAlign val="superscript"/>
        <sz val="12"/>
        <rFont val="Arial MT"/>
        <family val="0"/>
      </rPr>
      <t>(c)</t>
    </r>
  </si>
  <si>
    <t>the country or countries that you have identified at the top of this page</t>
  </si>
  <si>
    <r>
      <t xml:space="preserve">Add basic federal tax </t>
    </r>
    <r>
      <rPr>
        <vertAlign val="superscript"/>
        <sz val="12"/>
        <rFont val="Arial MT"/>
        <family val="0"/>
      </rPr>
      <t>(h)</t>
    </r>
    <r>
      <rPr>
        <sz val="12"/>
        <rFont val="Arial MT"/>
        <family val="0"/>
      </rPr>
      <t xml:space="preserve"> and the amount from line 6</t>
    </r>
  </si>
  <si>
    <t>Enter the amount from line 3, if any</t>
  </si>
  <si>
    <t>Enter the amount from line 4, 7, or 8, whichever is less</t>
  </si>
  <si>
    <t>Add lines 3 and 9</t>
  </si>
  <si>
    <r>
      <t>X</t>
    </r>
    <r>
      <rPr>
        <sz val="12"/>
        <rFont val="Arial MT"/>
        <family val="0"/>
      </rPr>
      <t xml:space="preserve">   Basic federal tax </t>
    </r>
    <r>
      <rPr>
        <vertAlign val="superscript"/>
        <sz val="12"/>
        <rFont val="Arial MT"/>
        <family val="0"/>
      </rPr>
      <t>(d)</t>
    </r>
  </si>
  <si>
    <t>● 1</t>
  </si>
  <si>
    <r>
      <t xml:space="preserve">Form T2209. Only submit one Form T2209. For more information, see Interpretation Bulletin IT- 270, </t>
    </r>
    <r>
      <rPr>
        <i/>
        <sz val="12"/>
        <rFont val="Arial MT"/>
        <family val="0"/>
      </rPr>
      <t>Foreign Tax Credit</t>
    </r>
    <r>
      <rPr>
        <sz val="12"/>
        <rFont val="Arial MT"/>
        <family val="0"/>
      </rPr>
      <t>.</t>
    </r>
  </si>
  <si>
    <t>FEDERAL FOREIGN TAX CREDITS</t>
  </si>
  <si>
    <t>Federal non-business foreign tax credit</t>
  </si>
  <si>
    <t>The amount on line 3 should not be more than the amount on line 429 of your Schedule 1.</t>
  </si>
  <si>
    <r>
      <t>X</t>
    </r>
    <r>
      <rPr>
        <sz val="12"/>
        <rFont val="Arial MT"/>
        <family val="0"/>
      </rPr>
      <t xml:space="preserve">   Basic federal tax </t>
    </r>
    <r>
      <rPr>
        <vertAlign val="superscript"/>
        <sz val="12"/>
        <rFont val="Arial MT"/>
        <family val="0"/>
      </rPr>
      <t>(h)</t>
    </r>
  </si>
  <si>
    <r>
      <t xml:space="preserve">Federal surtax on income you earned outside Canada: amount from line 10 of Part 2 of Form T2203, </t>
    </r>
    <r>
      <rPr>
        <i/>
        <sz val="12"/>
        <rFont val="Arial MT"/>
        <family val="0"/>
      </rPr>
      <t>Provincial and Territorial</t>
    </r>
  </si>
  <si>
    <t>Federal business foreign tax credit</t>
  </si>
  <si>
    <t>Federal foreign tax credit</t>
  </si>
  <si>
    <t>The amount on line 10 should not be more than the amount on line 429 of your Schedule 1.</t>
  </si>
  <si>
    <t>Enter the amount from line 10 on line 405 of your Schedule 1.</t>
  </si>
  <si>
    <t>country or to a political subdivision of that country for the year, minus any part of this tax that is deductible under subsection 20(11) or</t>
  </si>
  <si>
    <t>deducted under subsection 20(12) of the Canadian Income Tax Act. Non-business income tax paid to a foreign country does not include</t>
  </si>
  <si>
    <t>tax that can reasonably be attributed to an amount that:</t>
  </si>
  <si>
    <t>for that income;</t>
  </si>
  <si>
    <r>
      <t xml:space="preserve">Q3. </t>
    </r>
    <r>
      <rPr>
        <sz val="14"/>
        <color indexed="8"/>
        <rFont val="Arial"/>
        <family val="2"/>
      </rPr>
      <t>Can I still use MyTAX if the form I need is not included in MyTAX?</t>
    </r>
  </si>
  <si>
    <t xml:space="preserve">of paper forms mailed by Canada Customs and Revenue to taxpayers.  Just as in the manual preparation case </t>
  </si>
  <si>
    <t xml:space="preserve">enter the "bottom line" data from that form into the appropriate line in MyTAX which will crunch the arithmetic </t>
  </si>
  <si>
    <t>Basic personal amount</t>
  </si>
  <si>
    <t>5804</t>
  </si>
  <si>
    <t>5808</t>
  </si>
  <si>
    <t>9</t>
  </si>
  <si>
    <t>Northern residents deductions (line 255) – See page 32 for</t>
  </si>
  <si>
    <t>Amount for children born in 1990 or later (line 367) – You</t>
  </si>
  <si>
    <t>can claim $2,000 for each child who is under 18 years of age</t>
  </si>
  <si>
    <t>at the end of the year. See page 35 for details. Also, you</t>
  </si>
  <si>
    <t>may be able to transfer this amount to your spouse or</t>
  </si>
  <si>
    <t>common-law partner or to claim his or her amount. See</t>
  </si>
  <si>
    <t>line 326 on page 42 for details.</t>
  </si>
  <si>
    <t>Canada employment amount (line 363) – See page 37 for</t>
  </si>
  <si>
    <t>Public transit amount (line 364) – See page 37 for details.</t>
  </si>
  <si>
    <t>Children’s fitness amount (line 365) – You can claim an</t>
  </si>
  <si>
    <t>amount for fees paid for registering your child in a</t>
  </si>
  <si>
    <t>prescribed program of physical activity. See page 37 for</t>
  </si>
  <si>
    <t>Investment tax credit (line 412) – See page 46 for details.</t>
  </si>
  <si>
    <t>Working income tax benefit (WITB) (line 453) – You may</t>
  </si>
  <si>
    <t>be able to claim this new refundable tax credit that is</t>
  </si>
  <si>
    <t>available to low-income individuals and families who have</t>
  </si>
  <si>
    <t>earned income from employment or business. See page 49</t>
  </si>
  <si>
    <t>Amount enclosed</t>
  </si>
  <si>
    <t xml:space="preserve">         </t>
  </si>
  <si>
    <t>Federal Worksheet</t>
  </si>
  <si>
    <t>1 No</t>
  </si>
  <si>
    <t>Gain (or loss)</t>
  </si>
  <si>
    <t>acquisition</t>
  </si>
  <si>
    <t>disposition</t>
  </si>
  <si>
    <t>X 75% =</t>
  </si>
  <si>
    <t>Gifts of depreciable property</t>
  </si>
  <si>
    <t>Add lines 3 and 4</t>
  </si>
  <si>
    <t>X 25% =</t>
  </si>
  <si>
    <t>From Box 20 for T2205</t>
  </si>
  <si>
    <t>From Box 22 for T2205</t>
  </si>
  <si>
    <t>Situation Index for boxes 20,22,26</t>
  </si>
  <si>
    <t>From Box 26 for T2205</t>
  </si>
  <si>
    <t>Situation Index for box 16</t>
  </si>
  <si>
    <t>AND</t>
  </si>
  <si>
    <t>PROV SWITCH AREA</t>
  </si>
  <si>
    <t>Foreign busniess income</t>
  </si>
  <si>
    <t>Foreign non-business income</t>
  </si>
  <si>
    <t>Capital gains eligible for deduction</t>
  </si>
  <si>
    <t>Qualifying pension income</t>
  </si>
  <si>
    <t>Foreign business income paid</t>
  </si>
  <si>
    <t xml:space="preserve">Insurance segragated </t>
  </si>
  <si>
    <t>fund capital losses</t>
  </si>
  <si>
    <t>Part XII.2 tax credit</t>
  </si>
  <si>
    <t>Investment tax credit</t>
  </si>
  <si>
    <t>Investment cost or expenditures</t>
  </si>
  <si>
    <t>Employment Insurance overpayment (enter your excess contributions)</t>
  </si>
  <si>
    <r>
      <t xml:space="preserve">T5, T5013, T5013A and T4PS information slips - </t>
    </r>
    <r>
      <rPr>
        <sz val="12"/>
        <color indexed="8"/>
        <rFont val="Arial"/>
        <family val="2"/>
      </rPr>
      <t>Capital gains (or losses)</t>
    </r>
  </si>
  <si>
    <r>
      <t>T3 information slips</t>
    </r>
    <r>
      <rPr>
        <sz val="12"/>
        <color indexed="8"/>
        <rFont val="Arial"/>
        <family val="2"/>
      </rPr>
      <t xml:space="preserve"> - Capital gains (or losses)</t>
    </r>
  </si>
  <si>
    <r>
      <t xml:space="preserve">Line 16 minus line 20                                   </t>
    </r>
    <r>
      <rPr>
        <b/>
        <sz val="12"/>
        <color indexed="8"/>
        <rFont val="Arial"/>
        <family val="2"/>
      </rPr>
      <t>Unused provincial amount available to carry forward to a future year</t>
    </r>
  </si>
  <si>
    <t>5912</t>
  </si>
  <si>
    <t>Provincial amounts transferred from</t>
  </si>
  <si>
    <t>Line 8 minus line 9 (if negative, enter "0") Enter this amount on line 421 of your return.</t>
  </si>
  <si>
    <t>T2032</t>
  </si>
  <si>
    <t>(details on following sheet,  Sch4-2)</t>
  </si>
  <si>
    <r>
      <t xml:space="preserve">Multiply the amount on line 10 by the number of </t>
    </r>
    <r>
      <rPr>
        <b/>
        <sz val="12"/>
        <rFont val="Arial MT"/>
        <family val="0"/>
      </rPr>
      <t>months</t>
    </r>
  </si>
  <si>
    <r>
      <t xml:space="preserve">Multiply the amount on line 10 by the number of </t>
    </r>
    <r>
      <rPr>
        <b/>
        <sz val="12"/>
        <rFont val="Arial MT"/>
        <family val="0"/>
      </rPr>
      <t>weeks</t>
    </r>
    <r>
      <rPr>
        <sz val="12"/>
        <rFont val="Arial MT"/>
        <family val="0"/>
      </rPr>
      <t xml:space="preserve"> </t>
    </r>
  </si>
  <si>
    <t>(maximum  $43,700)</t>
  </si>
  <si>
    <t>(maximum  $40,200)</t>
  </si>
  <si>
    <t>(maximum  $1,989.90)</t>
  </si>
  <si>
    <t xml:space="preserve">             (maximum $40,000. If $2,000 or less, enter "0")</t>
  </si>
  <si>
    <t>(maximum  $720.00)</t>
  </si>
  <si>
    <r>
      <t xml:space="preserve">Required premium: </t>
    </r>
    <r>
      <rPr>
        <b/>
        <sz val="9"/>
        <color indexed="8"/>
        <rFont val="Arial"/>
        <family val="2"/>
      </rPr>
      <t>Residents of other than Quebec</t>
    </r>
    <r>
      <rPr>
        <sz val="9"/>
        <color indexed="8"/>
        <rFont val="Arial"/>
        <family val="2"/>
      </rPr>
      <t xml:space="preserve"> (multiply line 1 by 1.80%)</t>
    </r>
  </si>
  <si>
    <t>(maximum  $584.00)</t>
  </si>
  <si>
    <t>(not to exceed the amount on line 236 of your return)</t>
  </si>
  <si>
    <r>
      <t>Q2</t>
    </r>
    <r>
      <rPr>
        <sz val="14"/>
        <color indexed="8"/>
        <rFont val="Arial"/>
        <family val="2"/>
      </rPr>
      <t>.  I have a "T" slip for which MyTAX doesn't have a "T" input form.  What do I do?</t>
    </r>
  </si>
  <si>
    <t>If you have more than five T5007 forms, you can add the data from the extra ones as a sum rather than a single #.</t>
  </si>
  <si>
    <t xml:space="preserve">           Quebec residents (multiply line 1 by 1.46%)</t>
  </si>
  <si>
    <r>
      <t xml:space="preserve">contributions.  See "Making additional CPP contributions" on page 36 of the </t>
    </r>
    <r>
      <rPr>
        <i/>
        <sz val="9"/>
        <color indexed="8"/>
        <rFont val="Arial"/>
        <family val="2"/>
      </rPr>
      <t>General Income Tax and Benefit Guide.</t>
    </r>
  </si>
  <si>
    <t>or RRIF is such a plan or fund, see box 24 of your T4RSP, or box 26 of your T4RIF slip. For more information and instructions, see the back of this form.</t>
  </si>
  <si>
    <t>On the line in the title of this form, enter the calendar year indicated on your spousal or common-law partner T4RSP or T4RIF slips. To find out if your RRSP</t>
  </si>
  <si>
    <t>10. Enter the total of the amounts in box 20 of your T4RIF slips that you received from spousal or</t>
  </si>
  <si>
    <t xml:space="preserve"> common-law partner RRIFs in the year you indicated in the title.</t>
  </si>
  <si>
    <r>
      <t xml:space="preserve">19. Enter the amount from line 14 or line 17, </t>
    </r>
    <r>
      <rPr>
        <b/>
        <sz val="9"/>
        <color indexed="8"/>
        <rFont val="Arial"/>
        <family val="2"/>
      </rPr>
      <t>whichever is less.</t>
    </r>
    <r>
      <rPr>
        <sz val="9"/>
        <color indexed="8"/>
        <rFont val="Arial"/>
        <family val="2"/>
      </rPr>
      <t xml:space="preserve"> If spouse or common-law partner was 65 or older at the end</t>
    </r>
  </si>
  <si>
    <t xml:space="preserve"> of the year you indicated in the title, he or she reports this income on line 115 of his or her return for that year. Otherwise, your</t>
  </si>
  <si>
    <t>T2205 E (07)</t>
  </si>
  <si>
    <r>
      <t>●</t>
    </r>
    <r>
      <rPr>
        <sz val="9"/>
        <rFont val="Arial"/>
        <family val="0"/>
      </rPr>
      <t xml:space="preserve">  </t>
    </r>
    <r>
      <rPr>
        <sz val="12"/>
        <rFont val="Arial"/>
        <family val="0"/>
      </rPr>
      <t>you received an amount from a spousal or common-law partner RRSP or RRIF; and</t>
    </r>
  </si>
  <si>
    <r>
      <t>●</t>
    </r>
    <r>
      <rPr>
        <sz val="9"/>
        <rFont val="Arial"/>
        <family val="0"/>
      </rPr>
      <t xml:space="preserve">  </t>
    </r>
    <r>
      <rPr>
        <sz val="12"/>
        <rFont val="Arial"/>
        <family val="0"/>
      </rPr>
      <t>your spouse or common-law partner made a contribution to a spousal or common-law partner RRSP for you in the year</t>
    </r>
  </si>
  <si>
    <t xml:space="preserve">    you received the amount or in the two preceding years.</t>
  </si>
  <si>
    <r>
      <t>●</t>
    </r>
    <r>
      <rPr>
        <sz val="9"/>
        <rFont val="Arial"/>
        <family val="0"/>
      </rPr>
      <t xml:space="preserve">  </t>
    </r>
    <r>
      <rPr>
        <sz val="12"/>
        <rFont val="Arial"/>
        <family val="0"/>
      </rPr>
      <t>the amount you received is a periodic annuity payment from an RRSP;</t>
    </r>
  </si>
  <si>
    <t>●  the amount you received is a minimum amount payment from a RRIF; or</t>
  </si>
  <si>
    <r>
      <t>●</t>
    </r>
    <r>
      <rPr>
        <sz val="9"/>
        <rFont val="Arial"/>
        <family val="0"/>
      </rPr>
      <t xml:space="preserve">  </t>
    </r>
    <r>
      <rPr>
        <sz val="12"/>
        <rFont val="Arial"/>
        <family val="0"/>
      </rPr>
      <t>your spouse or common-law partner died in the year.</t>
    </r>
  </si>
  <si>
    <r>
      <t>●</t>
    </r>
    <r>
      <rPr>
        <sz val="9"/>
        <rFont val="Arial"/>
        <family val="0"/>
      </rPr>
      <t xml:space="preserve">  </t>
    </r>
    <r>
      <rPr>
        <sz val="12"/>
        <rFont val="Arial"/>
        <family val="0"/>
      </rPr>
      <t>you and your spouse or common-law partner were living separate and apart because of your relationship breakdown; or</t>
    </r>
  </si>
  <si>
    <r>
      <t>●</t>
    </r>
    <r>
      <rPr>
        <sz val="9"/>
        <rFont val="Arial"/>
        <family val="0"/>
      </rPr>
      <t xml:space="preserve">  </t>
    </r>
    <r>
      <rPr>
        <sz val="12"/>
        <rFont val="Arial"/>
        <family val="0"/>
      </rPr>
      <t>you or your spouse or common-law partner was a non-resident.</t>
    </r>
  </si>
  <si>
    <r>
      <t>●</t>
    </r>
    <r>
      <rPr>
        <sz val="9"/>
        <rFont val="Arial"/>
        <family val="0"/>
      </rPr>
      <t xml:space="preserve">  </t>
    </r>
    <r>
      <rPr>
        <sz val="12"/>
        <rFont val="Arial"/>
        <family val="0"/>
      </rPr>
      <t>Your spouse or common-law partner contributed an amount to the RRSP while you were the annuitant.</t>
    </r>
  </si>
  <si>
    <t>●  It is an RRSP that has received a payment or a transfer of property from a spousal or common-law partner RRSP or</t>
  </si>
  <si>
    <r>
      <t>●</t>
    </r>
    <r>
      <rPr>
        <sz val="9"/>
        <rFont val="Arial"/>
        <family val="0"/>
      </rPr>
      <t xml:space="preserve">  </t>
    </r>
    <r>
      <rPr>
        <sz val="12"/>
        <rFont val="Arial"/>
        <family val="0"/>
      </rPr>
      <t>It is a RRIF that has received a payment or a transfer of property from a spousal or common-law partner RRSP or RRIF.</t>
    </r>
  </si>
  <si>
    <t>2004: $3,000</t>
  </si>
  <si>
    <t>2005: $8,000</t>
  </si>
  <si>
    <t>2007: $ 0</t>
  </si>
  <si>
    <t>2006: $5,000</t>
  </si>
  <si>
    <t>2007: $4,000</t>
  </si>
  <si>
    <t>James had to include $5,000 in income for 2006. That $5,000 represented, in order, $3,000 from 2004, and</t>
  </si>
  <si>
    <t>$2,000 from the 2005 contribution of $8,000.</t>
  </si>
  <si>
    <t>When Tania completes this form for 2007, the amount on line 5 will be $2,000 (the amount James included in</t>
  </si>
  <si>
    <t>income for the 2005 contribution).</t>
  </si>
  <si>
    <t>12. Enter the part of the amount on line 11 that was directly transferred</t>
  </si>
  <si>
    <t>for details.</t>
  </si>
  <si>
    <t>British Columbia additional tax for minimum tax purposes</t>
  </si>
  <si>
    <t>RRSPs for the year you indicated in the title. Enter the total.</t>
  </si>
  <si>
    <t xml:space="preserve">2. Enter the part of the line 1 amount that was directly transferred to another RSP or RRIF, or used </t>
  </si>
  <si>
    <t xml:space="preserve"> to buy an annuity that cannot be commuted for at least three years from the day it was bought.</t>
  </si>
  <si>
    <t>&gt;&gt;</t>
  </si>
  <si>
    <t>(see note below)</t>
  </si>
  <si>
    <t>Check this box if the address shown on page 1 of your return is the same as the</t>
  </si>
  <si>
    <r>
      <t xml:space="preserve">Enter $200, or the amount from line 344, whichever is </t>
    </r>
    <r>
      <rPr>
        <b/>
        <sz val="12"/>
        <color indexed="8"/>
        <rFont val="Arial"/>
        <family val="2"/>
      </rPr>
      <t>less</t>
    </r>
  </si>
  <si>
    <t>Transfers on breakdown of</t>
  </si>
  <si>
    <t>marriage or common-law part.</t>
  </si>
  <si>
    <t>Control-F will pop up a search box for you to enter a text string or number.</t>
  </si>
  <si>
    <t>Please tell your friends and contacts about MyTAX.</t>
  </si>
  <si>
    <t xml:space="preserve">This page as well as the other spreadsheets in MyTAX are searchable.  </t>
  </si>
  <si>
    <t>Line 18 minus line 19</t>
  </si>
  <si>
    <t>If you are transferring an amount to another individual, continue on line 21.</t>
  </si>
  <si>
    <r>
      <t>Otherwise</t>
    </r>
    <r>
      <rPr>
        <sz val="13"/>
        <color indexed="8"/>
        <rFont val="Arial"/>
        <family val="2"/>
      </rPr>
      <t>, enter the amount from line 20 on line 25.</t>
    </r>
  </si>
  <si>
    <t>Enter the amount from line 9;  If it is more than $5000, enter $5000.</t>
  </si>
  <si>
    <t>Amount from line 16</t>
  </si>
  <si>
    <t>Line 21 minus line 22 (if negative, enter "0")</t>
  </si>
  <si>
    <t>You can transfer all or part of the amount on line 23 to your spouse or common-law partner, or to your or your</t>
  </si>
  <si>
    <t xml:space="preserve">Form T2202 or T2202A, TL11A or TL11C and specify the federal amount that you are transferring to him or her.  </t>
  </si>
  <si>
    <r>
      <t>If your marital status changed during the tax year,</t>
    </r>
    <r>
      <rPr>
        <sz val="12"/>
        <rFont val="Arial MT"/>
        <family val="0"/>
      </rPr>
      <t xml:space="preserve"> calculate the eligible pension income for the period that you were married or</t>
    </r>
  </si>
  <si>
    <t>6802</t>
  </si>
  <si>
    <t>A</t>
  </si>
  <si>
    <t>complete the chart for line 314 on the Federal Worksheet which you will find in the forms book.</t>
  </si>
  <si>
    <r>
      <t xml:space="preserve">Enter on this line, the amount from line P of the chart for line 314 of your </t>
    </r>
    <r>
      <rPr>
        <i/>
        <sz val="12"/>
        <rFont val="Arial MT"/>
        <family val="0"/>
      </rPr>
      <t>Federal Worksheet.</t>
    </r>
  </si>
  <si>
    <t>Amount on</t>
  </si>
  <si>
    <t>line A</t>
  </si>
  <si>
    <t>12 *</t>
  </si>
  <si>
    <t>B</t>
  </si>
  <si>
    <t>married or living common-law</t>
  </si>
  <si>
    <t>in the tax year</t>
  </si>
  <si>
    <t xml:space="preserve">  Number of months you were</t>
  </si>
  <si>
    <t>X         50%</t>
  </si>
  <si>
    <t>D</t>
  </si>
  <si>
    <t>*For a deceased pensioner, use the number of months up to and including the month of death.</t>
  </si>
  <si>
    <t>Step 3: Elected split-pension amount</t>
  </si>
  <si>
    <t>Enter the amount, not exceeding the amount from line D, that you (Pensioner) and your</t>
  </si>
  <si>
    <t>spouse or common-law partner (Pension Transferee) jointly elect to be your split-pension</t>
  </si>
  <si>
    <t>amount for the year.</t>
  </si>
  <si>
    <t>E</t>
  </si>
  <si>
    <r>
      <t xml:space="preserve">If you are the Pensioner, deduct this amount on </t>
    </r>
    <r>
      <rPr>
        <b/>
        <sz val="12"/>
        <rFont val="Arial MT"/>
        <family val="0"/>
      </rPr>
      <t>line 210</t>
    </r>
    <r>
      <rPr>
        <sz val="12"/>
        <rFont val="Arial MT"/>
        <family val="0"/>
      </rPr>
      <t xml:space="preserve"> of your return.</t>
    </r>
  </si>
  <si>
    <r>
      <t xml:space="preserve">If you are the Pension Transferee, report this amount on </t>
    </r>
    <r>
      <rPr>
        <b/>
        <sz val="12"/>
        <rFont val="Arial MT"/>
        <family val="0"/>
      </rPr>
      <t>line 116</t>
    </r>
    <r>
      <rPr>
        <sz val="12"/>
        <rFont val="Arial MT"/>
        <family val="0"/>
      </rPr>
      <t xml:space="preserve"> of your return.</t>
    </r>
  </si>
  <si>
    <t>continue on the back =&gt;</t>
  </si>
  <si>
    <t>T1032 E</t>
  </si>
  <si>
    <t>(Vous pouvez obtenir ce formulaire en français à www.arc.gc.ca ou au 1-800-959-3376.)</t>
  </si>
  <si>
    <t>Step 4: Pension income amount (line 314 of Schedule 1)</t>
  </si>
  <si>
    <r>
      <t>If you are the Pensioner</t>
    </r>
    <r>
      <rPr>
        <sz val="12"/>
        <rFont val="Arial MT"/>
        <family val="0"/>
      </rPr>
      <t>, complete the following calculation:</t>
    </r>
  </si>
  <si>
    <t>Amount from line A</t>
  </si>
  <si>
    <t>Amount from line E</t>
  </si>
  <si>
    <t>Line F minus line G</t>
  </si>
  <si>
    <r>
      <t>If you are the Pension Transferee</t>
    </r>
    <r>
      <rPr>
        <sz val="12"/>
        <rFont val="Arial MT"/>
        <family val="0"/>
      </rPr>
      <t>, complete the following calculation:</t>
    </r>
  </si>
  <si>
    <t>do not have an amount on line 115 or line 129 of your return, enter "0" on line J.</t>
  </si>
  <si>
    <t>Enter the amount from line E unless the note below applies.</t>
  </si>
  <si>
    <t>Add lines J and K.</t>
  </si>
  <si>
    <t>Enter on line 314 of your Schedule 1, the amount from line L or $2,000, whichever is less.</t>
  </si>
  <si>
    <r>
      <t xml:space="preserve">Multiply the amount on line 15 by the number of </t>
    </r>
    <r>
      <rPr>
        <b/>
        <sz val="12"/>
        <rFont val="Arial MT"/>
        <family val="0"/>
      </rPr>
      <t>months</t>
    </r>
    <r>
      <rPr>
        <sz val="12"/>
        <rFont val="Arial MT"/>
        <family val="0"/>
      </rPr>
      <t xml:space="preserve"> </t>
    </r>
  </si>
  <si>
    <t>Data
T4 # 5</t>
  </si>
  <si>
    <t>Total</t>
  </si>
  <si>
    <t>10</t>
  </si>
  <si>
    <t>Province of employment</t>
  </si>
  <si>
    <t>14</t>
  </si>
  <si>
    <t>101</t>
  </si>
  <si>
    <t>16</t>
  </si>
  <si>
    <t>308</t>
  </si>
  <si>
    <t>17</t>
  </si>
  <si>
    <t>18</t>
  </si>
  <si>
    <t>312</t>
  </si>
  <si>
    <t>20</t>
  </si>
  <si>
    <t>207</t>
  </si>
  <si>
    <t>22</t>
  </si>
  <si>
    <t>437</t>
  </si>
  <si>
    <t>37</t>
  </si>
  <si>
    <t>Employee home relocation loan deduction</t>
  </si>
  <si>
    <t>Add lines 6 and 7</t>
  </si>
  <si>
    <t>When you come to a line on the return that applies to you, look up the line number in the guide for more information.</t>
  </si>
  <si>
    <t>For forms not finished yet or not included you can use a hybrid MyTAX - paper form approach as follows.</t>
  </si>
  <si>
    <t>Enter the amount you are transferring on line 24 below.</t>
  </si>
  <si>
    <r>
      <t>Federal amount transferred</t>
    </r>
    <r>
      <rPr>
        <sz val="13"/>
        <color indexed="8"/>
        <rFont val="Arial"/>
        <family val="2"/>
      </rPr>
      <t xml:space="preserve"> (cannot be more than the amount on line 23)</t>
    </r>
  </si>
  <si>
    <t>Line 20 minus line 24</t>
  </si>
  <si>
    <t xml:space="preserve"> add lines 14 and 16</t>
  </si>
  <si>
    <t>Transfer/Carry forward of unused amount</t>
  </si>
  <si>
    <r>
      <t>Elections Canada</t>
    </r>
    <r>
      <rPr>
        <b/>
        <sz val="12"/>
        <color indexed="57"/>
        <rFont val="Arial"/>
        <family val="2"/>
      </rPr>
      <t xml:space="preserve"> </t>
    </r>
  </si>
  <si>
    <r>
      <t>This is your</t>
    </r>
    <r>
      <rPr>
        <b/>
        <sz val="12"/>
        <color indexed="8"/>
        <rFont val="Arial"/>
        <family val="2"/>
      </rPr>
      <t xml:space="preserve"> </t>
    </r>
    <r>
      <rPr>
        <b/>
        <sz val="12"/>
        <color indexed="57"/>
        <rFont val="Arial"/>
        <family val="2"/>
      </rPr>
      <t>total income.</t>
    </r>
  </si>
  <si>
    <r>
      <t>This is your</t>
    </r>
    <r>
      <rPr>
        <b/>
        <sz val="12"/>
        <color indexed="8"/>
        <rFont val="Arial"/>
        <family val="2"/>
      </rPr>
      <t xml:space="preserve"> </t>
    </r>
    <r>
      <rPr>
        <b/>
        <sz val="12"/>
        <color indexed="57"/>
        <rFont val="Arial"/>
        <family val="2"/>
      </rPr>
      <t>net income.</t>
    </r>
  </si>
  <si>
    <t>Line 2 minus line 3 (if negative, enter "0")</t>
  </si>
  <si>
    <t>Applicable rate</t>
  </si>
  <si>
    <t>Personal Income Tax Calculator for Canadians</t>
  </si>
  <si>
    <t>MyTAX</t>
  </si>
  <si>
    <t>Types of Fields</t>
  </si>
  <si>
    <t>350</t>
  </si>
  <si>
    <t>426</t>
  </si>
  <si>
    <r>
      <t xml:space="preserve">Enter on line 314 of your Schedule 1, the amount from line H or $2,000, whichever is </t>
    </r>
    <r>
      <rPr>
        <b/>
        <sz val="12"/>
        <rFont val="Arial MT"/>
        <family val="0"/>
      </rPr>
      <t>less.</t>
    </r>
  </si>
  <si>
    <t>F</t>
  </si>
  <si>
    <t>G</t>
  </si>
  <si>
    <t>H</t>
  </si>
  <si>
    <r>
      <t xml:space="preserve">Enter the amount from line P, if any, from the chart for line 314 on your </t>
    </r>
    <r>
      <rPr>
        <i/>
        <sz val="12"/>
        <rFont val="Arial MT"/>
        <family val="0"/>
      </rPr>
      <t>Federal Worksheet</t>
    </r>
    <r>
      <rPr>
        <sz val="12"/>
        <rFont val="Arial MT"/>
        <family val="0"/>
      </rPr>
      <t>. However, if you</t>
    </r>
  </si>
  <si>
    <t>J</t>
  </si>
  <si>
    <t>K</t>
  </si>
  <si>
    <t>L</t>
  </si>
  <si>
    <r>
      <t xml:space="preserve">If the amount on line J is less than $2,000, you were under age 65 on December 31 of the year </t>
    </r>
    <r>
      <rPr>
        <b/>
        <sz val="12"/>
        <rFont val="Arial MT"/>
        <family val="0"/>
      </rPr>
      <t>and</t>
    </r>
    <r>
      <rPr>
        <sz val="12"/>
        <rFont val="Arial MT"/>
        <family val="0"/>
      </rPr>
      <t xml:space="preserve"> the Pensioner is</t>
    </r>
  </si>
  <si>
    <t>Step 5: Income tax deducted (line 437)</t>
  </si>
  <si>
    <t>Enter the total tax deducted from the information slips for the pension income</t>
  </si>
  <si>
    <t>entered on line A.</t>
  </si>
  <si>
    <t>6804</t>
  </si>
  <si>
    <r>
      <t>●</t>
    </r>
    <r>
      <rPr>
        <b/>
        <sz val="12"/>
        <rFont val="Arial MT"/>
        <family val="0"/>
      </rPr>
      <t>M</t>
    </r>
  </si>
  <si>
    <t>Complete the following calculation to determine the part of the tax deducted that relates to the split-pension amount:</t>
  </si>
  <si>
    <t>Amount on Line E</t>
  </si>
  <si>
    <t>Amount on line A</t>
  </si>
  <si>
    <t>Amount on line M</t>
  </si>
  <si>
    <t>6805</t>
  </si>
  <si>
    <t>●N</t>
  </si>
  <si>
    <t>If you are the Pensioner, subtract the amount on line N from the total of your income tax deducted from all of your information slips.</t>
  </si>
  <si>
    <t>Enter the difference on line 437 of your return.</t>
  </si>
  <si>
    <t>If you are the Pension Transferee, add the amount on line N to the total of your income tax deducted from all of your information</t>
  </si>
  <si>
    <t>slips. Enter the result on line 437 of your return.</t>
  </si>
  <si>
    <t>Step 6: Joint Certification</t>
  </si>
  <si>
    <t>By completing this form and signing below, we jointly elect and agree that the split-pension amount on line E above will be deducted</t>
  </si>
  <si>
    <t>in computing the net income of the Pensioner and reported as income by the Pension Transferee on our income tax returns for</t>
  </si>
  <si>
    <t>owing as a result of this election.</t>
  </si>
  <si>
    <t>Pensioner</t>
  </si>
  <si>
    <t>Date</t>
  </si>
  <si>
    <t>It is a serious offence to make a false statement.</t>
  </si>
  <si>
    <t>Pension Transferee</t>
  </si>
  <si>
    <t>Spouse or common-law partner's signature</t>
  </si>
  <si>
    <t>Add lines 5 and 6</t>
  </si>
  <si>
    <t>Column 2</t>
  </si>
  <si>
    <t>Column 1</t>
  </si>
  <si>
    <t>Schedule 8</t>
  </si>
  <si>
    <t>on Self-Employment and Other Earnings</t>
  </si>
  <si>
    <t>Complete this schedule to determine the amount of your Canada Pension Plan (CPP) contributions if:</t>
  </si>
  <si>
    <t>NS428</t>
  </si>
  <si>
    <t>Line 14 minus line 15</t>
  </si>
  <si>
    <t>Part D.  Otherwise, enter this amount on line 214 of your return</t>
  </si>
  <si>
    <r>
      <t xml:space="preserve">*  Attach Form T2201, </t>
    </r>
    <r>
      <rPr>
        <i/>
        <sz val="12"/>
        <rFont val="Arial MT"/>
        <family val="0"/>
      </rPr>
      <t>Disability Tax Credit Certificate</t>
    </r>
    <r>
      <rPr>
        <sz val="12"/>
        <rFont val="Arial MT"/>
        <family val="0"/>
      </rPr>
      <t>. If this form has already been filed for the child, attach a note to your return</t>
    </r>
  </si>
  <si>
    <t>ON</t>
  </si>
  <si>
    <t>Enter his or her first name:</t>
  </si>
  <si>
    <t xml:space="preserve">Social assistance payments </t>
  </si>
  <si>
    <t>150</t>
  </si>
  <si>
    <t>Pension adjustment</t>
  </si>
  <si>
    <t xml:space="preserve">Saskatchewan Pension Plan deduction </t>
  </si>
  <si>
    <t>(maximum $600)</t>
  </si>
  <si>
    <t>where they are needed.  If you have more than one T4 slip, then enter the amounts from each T4 into one set of columns.</t>
  </si>
  <si>
    <t>If you have more than five T4 forms, you can add the data from the extra ones as a sum rather than a single #.</t>
  </si>
  <si>
    <t>THIS</t>
  </si>
  <si>
    <t>SUMMARY</t>
  </si>
  <si>
    <t>DATA</t>
  </si>
  <si>
    <t>IS</t>
  </si>
  <si>
    <t>PICKED</t>
  </si>
  <si>
    <t>UP</t>
  </si>
  <si>
    <t>BY</t>
  </si>
  <si>
    <t>UP BY</t>
  </si>
  <si>
    <t>THE</t>
  </si>
  <si>
    <t>SHEET</t>
  </si>
  <si>
    <t>DATA IS</t>
  </si>
  <si>
    <t>THE MISC</t>
  </si>
  <si>
    <t>MISC TOTALS</t>
  </si>
  <si>
    <t>UP THE DATA</t>
  </si>
  <si>
    <t>SHEETS AND</t>
  </si>
  <si>
    <t>ALLOCATES</t>
  </si>
  <si>
    <t>IT.</t>
  </si>
  <si>
    <t>&amp; T2205</t>
  </si>
  <si>
    <t>THE INPUT</t>
  </si>
  <si>
    <t>FROM ALL</t>
  </si>
  <si>
    <t>Employer's Name</t>
  </si>
  <si>
    <t>death</t>
  </si>
  <si>
    <t>From Box 40 (See T4040 Guide)</t>
  </si>
  <si>
    <t>From Box 34 for T1 GEN-2</t>
  </si>
  <si>
    <t>From Box 28 for T1 GEN-2</t>
  </si>
  <si>
    <t>From Box 28 for T1 GEN-3</t>
  </si>
  <si>
    <r>
      <t>3.</t>
    </r>
    <r>
      <rPr>
        <sz val="14"/>
        <color indexed="8"/>
        <rFont val="Arial"/>
        <family val="2"/>
      </rPr>
      <t xml:space="preserve">  You can click the sheet name on the GO TO sheet to activate it.  From there you can use Excel's print command.</t>
    </r>
  </si>
  <si>
    <t>you can copy a cell in the source window, switch to destination spreadsheet window and then paste.</t>
  </si>
  <si>
    <t xml:space="preserve">Move the cursor over the invisible bar and click this bar to send you to the GO TO sheet.  </t>
  </si>
  <si>
    <t>MyTAX upgrades throughout the year are free.  Visit www.peeltech.ca to download the appropriate update procedure.</t>
  </si>
  <si>
    <r>
      <t xml:space="preserve">If it looks like you have hit a </t>
    </r>
    <r>
      <rPr>
        <b/>
        <sz val="14"/>
        <color indexed="8"/>
        <rFont val="Arial"/>
        <family val="2"/>
      </rPr>
      <t>bug,</t>
    </r>
    <r>
      <rPr>
        <sz val="14"/>
        <color indexed="8"/>
        <rFont val="Arial"/>
        <family val="2"/>
      </rPr>
      <t xml:space="preserve"> then please email us with a few details at the email address above.</t>
    </r>
  </si>
  <si>
    <r>
      <t xml:space="preserve">section "Are you enrolled in an educational program?".  </t>
    </r>
    <r>
      <rPr>
        <b/>
        <sz val="12"/>
        <rFont val="Arial MT"/>
        <family val="0"/>
      </rPr>
      <t>But first, complete Part C.</t>
    </r>
  </si>
  <si>
    <r>
      <t xml:space="preserve">claim child care expenses?"), he or she must also have been enrolled in a  </t>
    </r>
    <r>
      <rPr>
        <b/>
        <sz val="12"/>
        <rFont val="Arial MT"/>
        <family val="0"/>
      </rPr>
      <t>full-time</t>
    </r>
    <r>
      <rPr>
        <sz val="12"/>
        <rFont val="Arial MT"/>
        <family val="0"/>
      </rPr>
      <t xml:space="preserve"> educational program</t>
    </r>
  </si>
  <si>
    <r>
      <t xml:space="preserve">and you were enrolled in a  </t>
    </r>
    <r>
      <rPr>
        <b/>
        <sz val="12"/>
        <rFont val="Arial MT"/>
        <family val="0"/>
      </rPr>
      <t>part-time</t>
    </r>
    <r>
      <rPr>
        <sz val="12"/>
        <rFont val="Arial MT"/>
        <family val="0"/>
      </rPr>
      <t xml:space="preserve"> educational program; or</t>
    </r>
  </si>
  <si>
    <t>The split pension transferee must not enter any data above.  The split pension pensioner must not enter any data in this section.</t>
  </si>
  <si>
    <r>
      <t xml:space="preserve">Note:      </t>
    </r>
    <r>
      <rPr>
        <sz val="13"/>
        <color indexed="8"/>
        <rFont val="Arial"/>
        <family val="2"/>
      </rPr>
      <t xml:space="preserve">  If your spouse or common-law partner is claiming an amount for you on line 303 or line 326 of his or</t>
    </r>
  </si>
  <si>
    <r>
      <t xml:space="preserve">Medical expenses for </t>
    </r>
    <r>
      <rPr>
        <b/>
        <sz val="12"/>
        <color indexed="8"/>
        <rFont val="Arial"/>
        <family val="2"/>
      </rPr>
      <t>self, spouse or common-law partner, and your</t>
    </r>
  </si>
  <si>
    <t>Dependant's net income (from line 236 of his or her return)</t>
  </si>
  <si>
    <t>STATEMENT(S) OF REMUNERATION PAID</t>
  </si>
  <si>
    <t>Welcome to the data entry interface for your T4 slips.</t>
  </si>
  <si>
    <t>If you are transferring an amount to another individual, continue on line 17.</t>
  </si>
  <si>
    <t>406</t>
  </si>
  <si>
    <t>Basic sales tax credit</t>
  </si>
  <si>
    <r>
      <t xml:space="preserve">Read line 127 in the </t>
    </r>
    <r>
      <rPr>
        <i/>
        <sz val="12"/>
        <color indexed="8"/>
        <rFont val="Arial"/>
        <family val="2"/>
      </rPr>
      <t>General Income Tax and Benefit Guide</t>
    </r>
    <r>
      <rPr>
        <sz val="12"/>
        <color indexed="8"/>
        <rFont val="Arial"/>
        <family val="2"/>
      </rPr>
      <t>.  For more information, read Chapter 2 in guide T4037,</t>
    </r>
    <r>
      <rPr>
        <i/>
        <sz val="12"/>
        <color indexed="8"/>
        <rFont val="Arial"/>
        <family val="2"/>
      </rPr>
      <t>Capital Gains</t>
    </r>
    <r>
      <rPr>
        <sz val="12"/>
        <color indexed="8"/>
        <rFont val="Arial"/>
        <family val="2"/>
      </rPr>
      <t>.</t>
    </r>
  </si>
  <si>
    <t>The total 23958.89 will show in the cell.  The cell status line will still show the individual amounts in the formula you entered.</t>
  </si>
  <si>
    <t>that you will be including on the line 10 or 11 below.</t>
  </si>
  <si>
    <t>Line 5 minus line 8</t>
  </si>
  <si>
    <t xml:space="preserve">RRSP contributions available to deduct: </t>
  </si>
  <si>
    <t>PART C - RRSP deduction</t>
  </si>
  <si>
    <t>From Box 26 for T1 GEN-2</t>
  </si>
  <si>
    <t>248</t>
  </si>
  <si>
    <t>39</t>
  </si>
  <si>
    <t>249</t>
  </si>
  <si>
    <t>41</t>
  </si>
  <si>
    <t>MISC TOTALS UP THE DATA FROM ALL</t>
  </si>
  <si>
    <t>THE INPUT SHEETS AND ALLOCATES IT.</t>
  </si>
  <si>
    <t>you would position the cursor the data entry line 114 below, and then key in</t>
  </si>
  <si>
    <t>Box #</t>
  </si>
  <si>
    <t>See line 323 in the guide for more information.</t>
  </si>
  <si>
    <t>Part XII.2 trust tax credit (box 38 on all T3 slips)</t>
  </si>
  <si>
    <t xml:space="preserve">Add lines 437 to 479  </t>
  </si>
  <si>
    <r>
      <t xml:space="preserve">Disability amount (for self) (claim </t>
    </r>
    <r>
      <rPr>
        <b/>
        <sz val="12"/>
        <color indexed="8"/>
        <rFont val="Arial"/>
        <family val="2"/>
      </rPr>
      <t>$6,890</t>
    </r>
    <r>
      <rPr>
        <sz val="12"/>
        <color indexed="8"/>
        <rFont val="Arial"/>
        <family val="2"/>
      </rPr>
      <t xml:space="preserve"> or if you were under age 18, use federal worksheet)</t>
    </r>
  </si>
  <si>
    <r>
      <t xml:space="preserve">  Minus: $1,926 or 3% of line 236, whichever is </t>
    </r>
    <r>
      <rPr>
        <b/>
        <sz val="12"/>
        <color indexed="8"/>
        <rFont val="Arial"/>
        <family val="2"/>
      </rPr>
      <t>less</t>
    </r>
  </si>
  <si>
    <t xml:space="preserve">Add lines 1 to 22. </t>
  </si>
  <si>
    <r>
      <t xml:space="preserve">Multiply the amount on line 23 by </t>
    </r>
    <r>
      <rPr>
        <b/>
        <sz val="12"/>
        <color indexed="10"/>
        <rFont val="Arial"/>
        <family val="2"/>
      </rPr>
      <t>15%.</t>
    </r>
    <r>
      <rPr>
        <b/>
        <sz val="12"/>
        <color indexed="8"/>
        <rFont val="Arial"/>
        <family val="2"/>
      </rPr>
      <t xml:space="preserve"> </t>
    </r>
  </si>
  <si>
    <r>
      <t xml:space="preserve">Total federal non-refundable tax credits: </t>
    </r>
    <r>
      <rPr>
        <sz val="12"/>
        <color indexed="8"/>
        <rFont val="Arial"/>
        <family val="2"/>
      </rPr>
      <t>Add Lines 24 and 25.</t>
    </r>
  </si>
  <si>
    <t>If line 27 is</t>
  </si>
  <si>
    <t>Line 28 minus line 29 (cannot be negative)</t>
  </si>
  <si>
    <t>Multiply line 30 by line 31.</t>
  </si>
  <si>
    <t>Add lines 32 and 33.</t>
  </si>
  <si>
    <t>Enter the amount from line 27.</t>
  </si>
  <si>
    <t>If line 27 is more</t>
  </si>
  <si>
    <t>not more than</t>
  </si>
  <si>
    <t xml:space="preserve"> $37,178 or less</t>
  </si>
  <si>
    <t>than $37,178 but</t>
  </si>
  <si>
    <t>$74,357</t>
  </si>
  <si>
    <t>than $74,357 but</t>
  </si>
  <si>
    <t>$120,887</t>
  </si>
  <si>
    <t>than $120,887</t>
  </si>
  <si>
    <t>Use the amount on line 27 to determine</t>
  </si>
  <si>
    <r>
      <t>which</t>
    </r>
    <r>
      <rPr>
        <b/>
        <sz val="12"/>
        <color indexed="8"/>
        <rFont val="Arial"/>
        <family val="2"/>
      </rPr>
      <t xml:space="preserve"> ONE</t>
    </r>
    <r>
      <rPr>
        <sz val="12"/>
        <color indexed="8"/>
        <rFont val="Arial"/>
        <family val="2"/>
      </rPr>
      <t xml:space="preserve"> of the following columns you</t>
    </r>
  </si>
  <si>
    <t>have to complete.</t>
  </si>
  <si>
    <t xml:space="preserve">Add lines 35 and 36. </t>
  </si>
  <si>
    <t>Add lines 38 to 41.</t>
  </si>
  <si>
    <r>
      <t>Basic federal tax</t>
    </r>
    <r>
      <rPr>
        <sz val="12"/>
        <color indexed="8"/>
        <rFont val="Arial"/>
        <family val="2"/>
      </rPr>
      <t xml:space="preserve">: Line 37 minus line 42 (if negative, enter "0")  </t>
    </r>
  </si>
  <si>
    <r>
      <t>Federal tax</t>
    </r>
    <r>
      <rPr>
        <sz val="12"/>
        <color indexed="8"/>
        <rFont val="Arial"/>
        <family val="2"/>
      </rPr>
      <t>: Line 43 minus line 44 (if negative, enter "0")</t>
    </r>
  </si>
  <si>
    <r>
      <t xml:space="preserve">Federal foreign tax credit </t>
    </r>
    <r>
      <rPr>
        <b/>
        <sz val="12"/>
        <color indexed="8"/>
        <rFont val="Arial"/>
        <family val="2"/>
      </rPr>
      <t>(attach</t>
    </r>
    <r>
      <rPr>
        <sz val="12"/>
        <color indexed="8"/>
        <rFont val="Arial"/>
        <family val="2"/>
      </rPr>
      <t xml:space="preserve"> Form T2209)</t>
    </r>
  </si>
  <si>
    <t xml:space="preserve">  Federal political contribution tax credit (use federal worksheet)</t>
  </si>
  <si>
    <t xml:space="preserve">Net cost  </t>
  </si>
  <si>
    <t>Add lines 46 to 48.</t>
  </si>
  <si>
    <t>Line 45 minus line 49 (if negative, enter "0")</t>
  </si>
  <si>
    <t>(if you have an amount on line 36 above, see Form T1206)</t>
  </si>
  <si>
    <t>Enter the amount from line 26 on the other side.</t>
  </si>
  <si>
    <r>
      <t>Net federal tax:</t>
    </r>
    <r>
      <rPr>
        <sz val="12"/>
        <color indexed="8"/>
        <rFont val="Arial"/>
        <family val="2"/>
      </rPr>
      <t xml:space="preserve"> add lines 50 and 51</t>
    </r>
  </si>
  <si>
    <r>
      <t>REVISED</t>
    </r>
    <r>
      <rPr>
        <b/>
        <sz val="18"/>
        <color indexed="57"/>
        <rFont val="Arial"/>
        <family val="2"/>
      </rPr>
      <t xml:space="preserve">   Schedule 9</t>
    </r>
  </si>
  <si>
    <r>
      <t xml:space="preserve">X </t>
    </r>
    <r>
      <rPr>
        <sz val="12"/>
        <color indexed="10"/>
        <rFont val="Arial"/>
        <family val="2"/>
      </rPr>
      <t>15%</t>
    </r>
    <r>
      <rPr>
        <sz val="12"/>
        <color indexed="8"/>
        <rFont val="Arial"/>
        <family val="2"/>
      </rPr>
      <t xml:space="preserve"> =</t>
    </r>
  </si>
  <si>
    <t>Earnings subject to contribution: line 5 minus line 6 (if negative, enter "0")</t>
  </si>
  <si>
    <t xml:space="preserve"> (maximum $40,200)</t>
  </si>
  <si>
    <t>Your Spouse or Common-Law Partner</t>
  </si>
  <si>
    <t>Complete this schedule to claim a transfer of the unused amount from your spouse or common-law partner's age amount, amount for</t>
  </si>
  <si>
    <t>children born in 1990 or later, pension income amount, disability amount, and tuition, education, and textbook amounts.</t>
  </si>
  <si>
    <t>(maximum $2000)</t>
  </si>
  <si>
    <t>Amount for children born in 1990 or later:</t>
  </si>
  <si>
    <t>Enter his or her amount for line 367.</t>
  </si>
  <si>
    <t>Add lines 1 to 5.</t>
  </si>
  <si>
    <t>Enter the total of lines 300, 308, 310, 312, 363, 364, 365, and 313 of his or her</t>
  </si>
  <si>
    <t>Schedule 1, plus line 17 of his or her Schedule 11.</t>
  </si>
  <si>
    <t>His or her adjusted taxable income: line 7 minus line 8 (if negative, enter "0")</t>
  </si>
  <si>
    <t>Enter the federal amount designated in your name on his or her Form T2202 or T2202A, TL11A or TL11C.</t>
  </si>
  <si>
    <t>Enter his or her claim for the disability amount (see line 316 in the guide).</t>
  </si>
  <si>
    <t>If his or her net income is $30,936 or less, enter $5,177; otherwise enter his or her amount for line 301.</t>
  </si>
  <si>
    <t>line 6 minus line 9 (if negative, enter "0")</t>
  </si>
  <si>
    <t>Are you claiming the WITB disability supplement</t>
  </si>
  <si>
    <t>Does your eligible spouse qualify for the disability</t>
  </si>
  <si>
    <t>Total self-employment income reported on lines 135, 137, 139, 141, and 143</t>
  </si>
  <si>
    <t>Employment income and Other Employment income reported on line 101</t>
  </si>
  <si>
    <t>Non-taxable part of working income earned on a reserve or an allowance</t>
  </si>
  <si>
    <t>received as an emergency volunteer</t>
  </si>
  <si>
    <t>Taxable part of scholarship income reported at line 130</t>
  </si>
  <si>
    <t>Add lines 3 to 6.</t>
  </si>
  <si>
    <t>5000-S6</t>
  </si>
  <si>
    <t>Enter the net income amount from line 236 of the return.</t>
  </si>
  <si>
    <t>Foreign capital gains or losses</t>
  </si>
  <si>
    <r>
      <t xml:space="preserve">Answer the following question </t>
    </r>
    <r>
      <rPr>
        <b/>
        <sz val="12"/>
        <rFont val="Arial"/>
        <family val="0"/>
      </rPr>
      <t>only if you are a Canadian Citizen.</t>
    </r>
  </si>
  <si>
    <r>
      <t>only one of you</t>
    </r>
    <r>
      <rPr>
        <sz val="12"/>
        <color indexed="8"/>
        <rFont val="Arial"/>
        <family val="2"/>
      </rPr>
      <t xml:space="preserve"> can claim this credit for both of you.                             </t>
    </r>
  </si>
  <si>
    <t>in column 1 and column 2 (if applicable)</t>
  </si>
  <si>
    <t>Adjusted net family income</t>
  </si>
  <si>
    <t>If you had a spouse or common-law partner on December 31, 2007,</t>
  </si>
  <si>
    <t>enter $18,000. Otherwise, enter $15,000.</t>
  </si>
  <si>
    <r>
      <t>●</t>
    </r>
    <r>
      <rPr>
        <b/>
        <sz val="12"/>
        <color indexed="8"/>
        <rFont val="Arial"/>
        <family val="2"/>
      </rPr>
      <t>18</t>
    </r>
  </si>
  <si>
    <t>British Columbia training tax credit</t>
  </si>
  <si>
    <t>Enter your training tax credit for individuals from Form T1014</t>
  </si>
  <si>
    <t>Enter your training tax credit for employers from Form T1014-1</t>
  </si>
  <si>
    <t>Add lines 13, 17, 18, and 22. Enter the result on line 479 of your return.</t>
  </si>
  <si>
    <t>●21</t>
  </si>
  <si>
    <t>Add lines 9 and line 10</t>
  </si>
  <si>
    <t>Amount from line 8</t>
  </si>
  <si>
    <t>Line 11 minus line 12 (if negative, enter "0")</t>
  </si>
  <si>
    <r>
      <t>REVISED</t>
    </r>
    <r>
      <rPr>
        <b/>
        <sz val="12"/>
        <color indexed="8"/>
        <rFont val="Arial"/>
        <family val="2"/>
      </rPr>
      <t xml:space="preserve">   BC428</t>
    </r>
  </si>
  <si>
    <r>
      <t xml:space="preserve">Complete this form and </t>
    </r>
    <r>
      <rPr>
        <b/>
        <sz val="12"/>
        <color indexed="8"/>
        <rFont val="Arial"/>
        <family val="2"/>
      </rPr>
      <t xml:space="preserve">attach a copy </t>
    </r>
    <r>
      <rPr>
        <sz val="12"/>
        <color indexed="8"/>
        <rFont val="Arial"/>
        <family val="2"/>
      </rPr>
      <t>of it to your return.  For details, see the forms book.</t>
    </r>
  </si>
  <si>
    <t>Step 1 - British Columbia non-refundable tax credits</t>
  </si>
  <si>
    <t>Step 2 - British Columbia tax on taxable income</t>
  </si>
  <si>
    <t>claim $9,027</t>
  </si>
  <si>
    <t>(maximum $7,729)►</t>
  </si>
  <si>
    <t>Continue on the next page_xDBC0__xDC44_</t>
  </si>
  <si>
    <t>Step 3 – British Columbia tax (continued)</t>
  </si>
  <si>
    <r>
      <t>●</t>
    </r>
    <r>
      <rPr>
        <b/>
        <sz val="12"/>
        <color indexed="8"/>
        <rFont val="Arial"/>
        <family val="2"/>
      </rPr>
      <t>64</t>
    </r>
  </si>
  <si>
    <t>●68</t>
  </si>
  <si>
    <t xml:space="preserve">   Enter $1,877 or 3% of net income from line 236 of your</t>
  </si>
  <si>
    <r>
      <t xml:space="preserve">   return, whichever is </t>
    </r>
    <r>
      <rPr>
        <b/>
        <sz val="12"/>
        <color indexed="8"/>
        <rFont val="Arial"/>
        <family val="2"/>
      </rPr>
      <t>less:</t>
    </r>
  </si>
  <si>
    <t>x5.7%</t>
  </si>
  <si>
    <t>Add lines 25 and 28</t>
  </si>
  <si>
    <t xml:space="preserve">Use the amount on line 30 to </t>
  </si>
  <si>
    <t>Line 31 minus line 32</t>
  </si>
  <si>
    <r>
      <t xml:space="preserve">Add lines 35 &amp; 36
</t>
    </r>
    <r>
      <rPr>
        <b/>
        <sz val="12"/>
        <color indexed="8"/>
        <rFont val="Arial"/>
        <family val="2"/>
      </rPr>
      <t>Go to Step 3</t>
    </r>
  </si>
  <si>
    <t>If line 30 is more than</t>
  </si>
  <si>
    <t>if line 30 is more</t>
  </si>
  <si>
    <t>from line 30 in the applicable column.</t>
  </si>
  <si>
    <r>
      <t>$34,397</t>
    </r>
    <r>
      <rPr>
        <sz val="11"/>
        <color indexed="8"/>
        <rFont val="Arial"/>
        <family val="2"/>
      </rPr>
      <t xml:space="preserve"> or less</t>
    </r>
  </si>
  <si>
    <r>
      <t>$34,397,</t>
    </r>
    <r>
      <rPr>
        <sz val="10"/>
        <color indexed="8"/>
        <rFont val="Arial"/>
        <family val="2"/>
      </rPr>
      <t xml:space="preserve"> but not</t>
    </r>
  </si>
  <si>
    <r>
      <t xml:space="preserve">more than </t>
    </r>
    <r>
      <rPr>
        <b/>
        <sz val="10"/>
        <color indexed="8"/>
        <rFont val="Arial"/>
        <family val="2"/>
      </rPr>
      <t>$68,794</t>
    </r>
  </si>
  <si>
    <r>
      <t>$68,794</t>
    </r>
    <r>
      <rPr>
        <sz val="11"/>
        <color indexed="8"/>
        <rFont val="Arial"/>
        <family val="2"/>
      </rPr>
      <t>, but not</t>
    </r>
  </si>
  <si>
    <r>
      <t xml:space="preserve">more than </t>
    </r>
    <r>
      <rPr>
        <b/>
        <sz val="11"/>
        <color indexed="8"/>
        <rFont val="Arial"/>
        <family val="2"/>
      </rPr>
      <t>$78,984</t>
    </r>
  </si>
  <si>
    <r>
      <t>$78,984,</t>
    </r>
    <r>
      <rPr>
        <sz val="11"/>
        <color indexed="8"/>
        <rFont val="Arial"/>
        <family val="2"/>
      </rPr>
      <t xml:space="preserve"> but not</t>
    </r>
  </si>
  <si>
    <r>
      <t xml:space="preserve">more than </t>
    </r>
    <r>
      <rPr>
        <b/>
        <sz val="11"/>
        <color indexed="8"/>
        <rFont val="Arial"/>
        <family val="2"/>
      </rPr>
      <t>$95,909</t>
    </r>
  </si>
  <si>
    <r>
      <t xml:space="preserve">than </t>
    </r>
    <r>
      <rPr>
        <b/>
        <sz val="11"/>
        <color indexed="8"/>
        <rFont val="Arial"/>
        <family val="2"/>
      </rPr>
      <t>$95,909</t>
    </r>
  </si>
  <si>
    <t>Enter the amount from line 37</t>
  </si>
  <si>
    <t>Enter your British Columbia non-refundable tax credits from line 29</t>
  </si>
  <si>
    <r>
      <t xml:space="preserve">  Amount calculated for line 43 on the </t>
    </r>
    <r>
      <rPr>
        <i/>
        <sz val="12"/>
        <color indexed="8"/>
        <rFont val="Arial"/>
        <family val="2"/>
      </rPr>
      <t>Provincial Worksheet</t>
    </r>
  </si>
  <si>
    <t>x 38%</t>
  </si>
  <si>
    <t xml:space="preserve">   Amount from line 116 on Form T691</t>
  </si>
  <si>
    <t>Line 48 minus line 49</t>
  </si>
  <si>
    <t>Otherwise, enter "0" on line 57 and continue.</t>
  </si>
  <si>
    <r>
      <t xml:space="preserve">If your net income (line 236 of your return) is </t>
    </r>
    <r>
      <rPr>
        <b/>
        <sz val="12"/>
        <color indexed="8"/>
        <rFont val="Arial"/>
        <family val="2"/>
      </rPr>
      <t>less than $27,675</t>
    </r>
    <r>
      <rPr>
        <sz val="12"/>
        <color indexed="8"/>
        <rFont val="Arial"/>
        <family val="2"/>
      </rPr>
      <t>, complete the following calculation.</t>
    </r>
  </si>
  <si>
    <t>Claim $375</t>
  </si>
  <si>
    <t>Line 52 minus line 53 (if negative, enter "0")</t>
  </si>
  <si>
    <t>Multiply line 54 by line 55</t>
  </si>
  <si>
    <t>Line 51 minus line 56 (if negative, enter "0")</t>
  </si>
  <si>
    <t>Line 50 minus line 57 (if negative, enter "0")</t>
  </si>
  <si>
    <t>Line 58 minus line 59 (if negative, enter "0")</t>
  </si>
  <si>
    <t>Credit calculated for line 62</t>
  </si>
  <si>
    <t>Line 60 minus line 62 (if negative, enter "0")</t>
  </si>
  <si>
    <r>
      <t xml:space="preserve">Enter your employee share ownership plan tax credit from Certificate </t>
    </r>
    <r>
      <rPr>
        <b/>
        <sz val="12"/>
        <color indexed="8"/>
        <rFont val="Arial"/>
        <family val="2"/>
      </rPr>
      <t>ESOP 20</t>
    </r>
  </si>
  <si>
    <r>
      <t xml:space="preserve">Enter your employee venture capital tax credit from Certificate </t>
    </r>
    <r>
      <rPr>
        <b/>
        <sz val="12"/>
        <color indexed="8"/>
        <rFont val="Arial"/>
        <family val="2"/>
      </rPr>
      <t>EVCC 30</t>
    </r>
  </si>
  <si>
    <t>Add lines 64 and 65</t>
  </si>
  <si>
    <t>Line 63 minus line 66 (if negative, enter "0")</t>
  </si>
  <si>
    <t>Line 67 minus line 68 (if negative enter "0")</t>
  </si>
  <si>
    <t>You can find more information about completing these calculations in the forms book.</t>
  </si>
  <si>
    <r>
      <t>Enter, on line 5816 of Form BC428, $7,729 or the amount on line 3, whichever is</t>
    </r>
    <r>
      <rPr>
        <b/>
        <sz val="12"/>
        <color indexed="8"/>
        <rFont val="Arial"/>
        <family val="2"/>
      </rPr>
      <t xml:space="preserve"> less.</t>
    </r>
  </si>
  <si>
    <t>Line 1 minus line 2 (if negative, enter "0").  If it is more than $3,949, enter $3,949</t>
  </si>
  <si>
    <t>Line 1 minus line 2 (if negative, enter "0"; if it is more than $3,949, enter $3,949)</t>
  </si>
  <si>
    <r>
      <t xml:space="preserve">Line 5844 - Disability amount (supplement </t>
    </r>
    <r>
      <rPr>
        <sz val="14"/>
        <color indexed="8"/>
        <rFont val="Arial"/>
        <family val="2"/>
      </rPr>
      <t>calculation if you were</t>
    </r>
    <r>
      <rPr>
        <b/>
        <sz val="14"/>
        <color indexed="8"/>
        <rFont val="Arial"/>
        <family val="2"/>
      </rPr>
      <t xml:space="preserve"> under age 18 </t>
    </r>
    <r>
      <rPr>
        <sz val="14"/>
        <color indexed="8"/>
        <rFont val="Arial"/>
        <family val="2"/>
      </rPr>
      <t>on December 31,</t>
    </r>
  </si>
  <si>
    <r>
      <t xml:space="preserve">Enter, on line 5844 of Form BC428, </t>
    </r>
    <r>
      <rPr>
        <b/>
        <sz val="12"/>
        <color indexed="8"/>
        <rFont val="Arial"/>
        <family val="2"/>
      </rPr>
      <t>the amount on line 5 plus $6,770</t>
    </r>
    <r>
      <rPr>
        <sz val="12"/>
        <color indexed="8"/>
        <rFont val="Arial"/>
        <family val="2"/>
      </rPr>
      <t xml:space="preserve"> (maximum claim $10,720), </t>
    </r>
    <r>
      <rPr>
        <b/>
        <sz val="12"/>
        <color indexed="8"/>
        <rFont val="Arial"/>
        <family val="2"/>
      </rPr>
      <t>unless</t>
    </r>
    <r>
      <rPr>
        <sz val="12"/>
        <color indexed="8"/>
        <rFont val="Arial"/>
        <family val="2"/>
      </rPr>
      <t xml:space="preserve"> this</t>
    </r>
  </si>
  <si>
    <t>Line 6152 -  British Columbia dividend tax credit</t>
  </si>
  <si>
    <t>*     Amount from line 37, less the total of the amounts from lines 41 and 42 of Form BC428.</t>
  </si>
  <si>
    <t>**   Amount from line 34 of Schedule 1, less the total of the amounts from lines 350 and 425 of that schedule.</t>
  </si>
  <si>
    <t>Line 43 - British Columbia overseas employment tax credit</t>
  </si>
  <si>
    <t>Line 62 - British Columbia political contribution tax credit</t>
  </si>
  <si>
    <t>Enter the result on line 62 of Form BC428.</t>
  </si>
  <si>
    <t>Determine the amount to enter on line 62 of Form BC428 as follows:</t>
  </si>
  <si>
    <r>
      <t xml:space="preserve">Enter $1,877 or 3% of the dependant's net income (from line 236 of his or her return), whichever is </t>
    </r>
    <r>
      <rPr>
        <b/>
        <sz val="12"/>
        <color indexed="8"/>
        <rFont val="Arial"/>
        <family val="2"/>
      </rPr>
      <t>less</t>
    </r>
  </si>
</sst>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_)"/>
    <numFmt numFmtId="179" formatCode="0.00_)"/>
    <numFmt numFmtId="180" formatCode="dd\-mmm\-yy_)"/>
    <numFmt numFmtId="181" formatCode="0.000_)"/>
    <numFmt numFmtId="182" formatCode="00000"/>
    <numFmt numFmtId="183" formatCode="0.0%"/>
    <numFmt numFmtId="184" formatCode="0.0_)"/>
    <numFmt numFmtId="185" formatCode="mmmm\ d\,\ yyyy"/>
    <numFmt numFmtId="186" formatCode="mm/dd/yy"/>
    <numFmt numFmtId="187" formatCode="yyyy\-mm\-dd"/>
    <numFmt numFmtId="188" formatCode="mm\-dd"/>
    <numFmt numFmtId="189" formatCode="#.##"/>
    <numFmt numFmtId="190" formatCode="mm/dd/yyyy"/>
    <numFmt numFmtId="191" formatCode="0.000"/>
    <numFmt numFmtId="192" formatCode="00"/>
    <numFmt numFmtId="193" formatCode="\|00"/>
    <numFmt numFmtId="194" formatCode="\|.00"/>
    <numFmt numFmtId="195" formatCode="0000"/>
    <numFmt numFmtId="196" formatCode="000"/>
    <numFmt numFmtId="197" formatCode="#,###.00"/>
    <numFmt numFmtId="198" formatCode="0.0000"/>
    <numFmt numFmtId="199" formatCode="yyyy"/>
    <numFmt numFmtId="200" formatCode="000\-000\-000"/>
    <numFmt numFmtId="201" formatCode="m/d/yy\ h:mm\ AM/PM"/>
    <numFmt numFmtId="202" formatCode="0.00000000"/>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000"/>
    <numFmt numFmtId="209" formatCode="[$-409]dddd\,\ mmmm\ dd\,\ yyyy"/>
    <numFmt numFmtId="210" formatCode="[$-F800]dddd\,\ mmmm\ dd\,\ yyyy"/>
    <numFmt numFmtId="211" formatCode="[$-409]mmmm\ d\,\ yyyy;@"/>
    <numFmt numFmtId="212" formatCode="0.00;\(0.00\)"/>
    <numFmt numFmtId="213" formatCode="##\|00"/>
    <numFmt numFmtId="214" formatCode="##\|.00"/>
    <numFmt numFmtId="215" formatCode="0.000000"/>
    <numFmt numFmtId="216" formatCode="[&lt;=9999999]###\-####;###\-###\-####"/>
    <numFmt numFmtId="217" formatCode="000\ 000\ 000"/>
    <numFmt numFmtId="218" formatCode="[$-1009]mmmm\ d\,\ yyyy;@"/>
    <numFmt numFmtId="219" formatCode="[$-409]d\-mmm\-yy;@"/>
    <numFmt numFmtId="220" formatCode="&quot;$&quot;#,##0"/>
  </numFmts>
  <fonts count="124">
    <font>
      <sz val="12"/>
      <name val="Arial MT"/>
      <family val="0"/>
    </font>
    <font>
      <sz val="10"/>
      <name val="Arial"/>
      <family val="0"/>
    </font>
    <font>
      <sz val="12"/>
      <color indexed="8"/>
      <name val="Arial"/>
      <family val="2"/>
    </font>
    <font>
      <b/>
      <sz val="12"/>
      <color indexed="8"/>
      <name val="Arial"/>
      <family val="2"/>
    </font>
    <font>
      <b/>
      <sz val="14"/>
      <color indexed="8"/>
      <name val="Arial"/>
      <family val="2"/>
    </font>
    <font>
      <sz val="10"/>
      <color indexed="8"/>
      <name val="Arial"/>
      <family val="2"/>
    </font>
    <font>
      <b/>
      <sz val="10"/>
      <color indexed="8"/>
      <name val="Arial"/>
      <family val="2"/>
    </font>
    <font>
      <sz val="14"/>
      <color indexed="8"/>
      <name val="Arial"/>
      <family val="2"/>
    </font>
    <font>
      <b/>
      <sz val="18"/>
      <color indexed="8"/>
      <name val="Arial"/>
      <family val="2"/>
    </font>
    <font>
      <b/>
      <sz val="12"/>
      <color indexed="9"/>
      <name val="Arial"/>
      <family val="2"/>
    </font>
    <font>
      <sz val="11"/>
      <color indexed="8"/>
      <name val="Arial"/>
      <family val="2"/>
    </font>
    <font>
      <sz val="18"/>
      <color indexed="8"/>
      <name val="Arial"/>
      <family val="2"/>
    </font>
    <font>
      <sz val="12"/>
      <color indexed="8"/>
      <name val="Renfrew"/>
      <family val="2"/>
    </font>
    <font>
      <b/>
      <sz val="10"/>
      <color indexed="8"/>
      <name val="Renfrew"/>
      <family val="2"/>
    </font>
    <font>
      <i/>
      <sz val="12"/>
      <color indexed="8"/>
      <name val="Arial"/>
      <family val="2"/>
    </font>
    <font>
      <b/>
      <sz val="12"/>
      <name val="Arial"/>
      <family val="2"/>
    </font>
    <font>
      <b/>
      <sz val="16"/>
      <color indexed="8"/>
      <name val="Arial"/>
      <family val="2"/>
    </font>
    <font>
      <sz val="16"/>
      <color indexed="8"/>
      <name val="Arial"/>
      <family val="2"/>
    </font>
    <font>
      <b/>
      <sz val="20"/>
      <color indexed="8"/>
      <name val="Arial"/>
      <family val="2"/>
    </font>
    <font>
      <b/>
      <sz val="26"/>
      <name val="Arial"/>
      <family val="2"/>
    </font>
    <font>
      <b/>
      <sz val="16"/>
      <name val="Arial"/>
      <family val="2"/>
    </font>
    <font>
      <b/>
      <sz val="10"/>
      <name val="Arial"/>
      <family val="2"/>
    </font>
    <font>
      <b/>
      <sz val="13"/>
      <name val="Arial"/>
      <family val="2"/>
    </font>
    <font>
      <sz val="12"/>
      <name val="Arial"/>
      <family val="2"/>
    </font>
    <font>
      <sz val="14"/>
      <name val="Arial"/>
      <family val="2"/>
    </font>
    <font>
      <sz val="16"/>
      <name val="Arial"/>
      <family val="2"/>
    </font>
    <font>
      <b/>
      <sz val="14"/>
      <name val="Arial"/>
      <family val="2"/>
    </font>
    <font>
      <sz val="13"/>
      <color indexed="8"/>
      <name val="Arial"/>
      <family val="2"/>
    </font>
    <font>
      <b/>
      <sz val="13"/>
      <color indexed="8"/>
      <name val="Arial"/>
      <family val="2"/>
    </font>
    <font>
      <sz val="14"/>
      <name val="Arial MT"/>
      <family val="0"/>
    </font>
    <font>
      <sz val="10"/>
      <name val="Arial MT"/>
      <family val="0"/>
    </font>
    <font>
      <b/>
      <sz val="14"/>
      <name val="Arial MT"/>
      <family val="0"/>
    </font>
    <font>
      <b/>
      <sz val="14"/>
      <color indexed="10"/>
      <name val="Arial"/>
      <family val="2"/>
    </font>
    <font>
      <sz val="11.5"/>
      <color indexed="8"/>
      <name val="Arial"/>
      <family val="2"/>
    </font>
    <font>
      <sz val="10"/>
      <color indexed="10"/>
      <name val="Arial"/>
      <family val="2"/>
    </font>
    <font>
      <sz val="8"/>
      <name val="Tahoma"/>
      <family val="0"/>
    </font>
    <font>
      <sz val="12"/>
      <name val="Tahoma"/>
      <family val="2"/>
    </font>
    <font>
      <b/>
      <sz val="12"/>
      <name val="Tahoma"/>
      <family val="2"/>
    </font>
    <font>
      <b/>
      <sz val="12"/>
      <name val="Arial MT"/>
      <family val="0"/>
    </font>
    <font>
      <b/>
      <sz val="10"/>
      <name val="Tahoma"/>
      <family val="2"/>
    </font>
    <font>
      <b/>
      <sz val="11.5"/>
      <color indexed="8"/>
      <name val="Arial"/>
      <family val="2"/>
    </font>
    <font>
      <b/>
      <sz val="11"/>
      <color indexed="8"/>
      <name val="Arial"/>
      <family val="2"/>
    </font>
    <font>
      <i/>
      <sz val="18"/>
      <color indexed="8"/>
      <name val="Arial"/>
      <family val="2"/>
    </font>
    <font>
      <b/>
      <sz val="17"/>
      <color indexed="8"/>
      <name val="Arial"/>
      <family val="2"/>
    </font>
    <font>
      <b/>
      <sz val="8"/>
      <name val="Tahoma"/>
      <family val="0"/>
    </font>
    <font>
      <i/>
      <sz val="12"/>
      <name val="Arial MT"/>
      <family val="0"/>
    </font>
    <font>
      <b/>
      <sz val="16"/>
      <name val="Arial MT"/>
      <family val="0"/>
    </font>
    <font>
      <sz val="11"/>
      <name val="Arial MT"/>
      <family val="0"/>
    </font>
    <font>
      <b/>
      <sz val="11"/>
      <name val="Arial MT"/>
      <family val="0"/>
    </font>
    <font>
      <sz val="18"/>
      <name val="Bookman Old Style"/>
      <family val="1"/>
    </font>
    <font>
      <sz val="10"/>
      <name val="Tahoma"/>
      <family val="2"/>
    </font>
    <font>
      <u val="single"/>
      <sz val="7.8"/>
      <color indexed="12"/>
      <name val="Arial MT"/>
      <family val="0"/>
    </font>
    <font>
      <u val="single"/>
      <sz val="7.2"/>
      <color indexed="36"/>
      <name val="Arial MT"/>
      <family val="0"/>
    </font>
    <font>
      <sz val="12"/>
      <color indexed="9"/>
      <name val="Arial MT"/>
      <family val="0"/>
    </font>
    <font>
      <b/>
      <sz val="16"/>
      <color indexed="8"/>
      <name val="Renfrew"/>
      <family val="2"/>
    </font>
    <font>
      <b/>
      <sz val="18"/>
      <color indexed="10"/>
      <name val="Arial"/>
      <family val="2"/>
    </font>
    <font>
      <sz val="9"/>
      <color indexed="8"/>
      <name val="Arial"/>
      <family val="2"/>
    </font>
    <font>
      <b/>
      <sz val="9"/>
      <color indexed="8"/>
      <name val="Arial"/>
      <family val="2"/>
    </font>
    <font>
      <sz val="8"/>
      <color indexed="8"/>
      <name val="Arial"/>
      <family val="2"/>
    </font>
    <font>
      <b/>
      <sz val="8"/>
      <color indexed="8"/>
      <name val="Arial"/>
      <family val="2"/>
    </font>
    <font>
      <sz val="9"/>
      <color indexed="9"/>
      <name val="Arial"/>
      <family val="2"/>
    </font>
    <font>
      <sz val="20"/>
      <color indexed="8"/>
      <name val="Arial"/>
      <family val="2"/>
    </font>
    <font>
      <sz val="8"/>
      <name val="Arial"/>
      <family val="2"/>
    </font>
    <font>
      <sz val="10"/>
      <color indexed="9"/>
      <name val="Arial"/>
      <family val="2"/>
    </font>
    <font>
      <sz val="18"/>
      <name val="Arial"/>
      <family val="2"/>
    </font>
    <font>
      <b/>
      <sz val="12"/>
      <color indexed="10"/>
      <name val="Arial"/>
      <family val="2"/>
    </font>
    <font>
      <b/>
      <sz val="14"/>
      <color indexed="10"/>
      <name val="Arial MT"/>
      <family val="0"/>
    </font>
    <font>
      <b/>
      <sz val="11"/>
      <name val="Tahoma"/>
      <family val="2"/>
    </font>
    <font>
      <u val="single"/>
      <sz val="12"/>
      <color indexed="12"/>
      <name val="Arial MT"/>
      <family val="0"/>
    </font>
    <font>
      <sz val="9.8"/>
      <name val="Arial"/>
      <family val="2"/>
    </font>
    <font>
      <i/>
      <sz val="14"/>
      <color indexed="8"/>
      <name val="Arial"/>
      <family val="2"/>
    </font>
    <font>
      <sz val="6"/>
      <name val="Arial"/>
      <family val="2"/>
    </font>
    <font>
      <sz val="12"/>
      <color indexed="10"/>
      <name val="Arial"/>
      <family val="2"/>
    </font>
    <font>
      <sz val="12"/>
      <color indexed="9"/>
      <name val="Arial"/>
      <family val="2"/>
    </font>
    <font>
      <sz val="12"/>
      <color indexed="9"/>
      <name val="Coronet"/>
      <family val="4"/>
    </font>
    <font>
      <i/>
      <sz val="12"/>
      <name val="Arial"/>
      <family val="2"/>
    </font>
    <font>
      <sz val="11.5"/>
      <name val="Arial MT"/>
      <family val="0"/>
    </font>
    <font>
      <sz val="12"/>
      <color indexed="8"/>
      <name val="System"/>
      <family val="2"/>
    </font>
    <font>
      <sz val="13"/>
      <name val="Arial MT"/>
      <family val="0"/>
    </font>
    <font>
      <b/>
      <sz val="13"/>
      <color indexed="9"/>
      <name val="Arial"/>
      <family val="2"/>
    </font>
    <font>
      <i/>
      <sz val="13"/>
      <color indexed="8"/>
      <name val="Arial"/>
      <family val="2"/>
    </font>
    <font>
      <sz val="8"/>
      <name val="Arial MT"/>
      <family val="0"/>
    </font>
    <font>
      <sz val="12"/>
      <color indexed="12"/>
      <name val="Arial MT"/>
      <family val="0"/>
    </font>
    <font>
      <sz val="10"/>
      <color indexed="41"/>
      <name val="Arial"/>
      <family val="2"/>
    </font>
    <font>
      <u val="single"/>
      <sz val="16"/>
      <color indexed="12"/>
      <name val="Arial MT"/>
      <family val="0"/>
    </font>
    <font>
      <sz val="16"/>
      <name val="Arial MT"/>
      <family val="0"/>
    </font>
    <font>
      <sz val="14"/>
      <color indexed="8"/>
      <name val="Arial MT"/>
      <family val="0"/>
    </font>
    <font>
      <sz val="12"/>
      <color indexed="9"/>
      <name val="Renfrew"/>
      <family val="2"/>
    </font>
    <font>
      <b/>
      <sz val="12"/>
      <color indexed="9"/>
      <name val="Renfrew"/>
      <family val="0"/>
    </font>
    <font>
      <u val="single"/>
      <sz val="14"/>
      <color indexed="12"/>
      <name val="Arial MT"/>
      <family val="0"/>
    </font>
    <font>
      <sz val="13"/>
      <color indexed="9"/>
      <name val="Arial"/>
      <family val="0"/>
    </font>
    <font>
      <b/>
      <sz val="14"/>
      <color indexed="49"/>
      <name val="Arial"/>
      <family val="2"/>
    </font>
    <font>
      <b/>
      <sz val="12"/>
      <color indexed="48"/>
      <name val="Arial"/>
      <family val="2"/>
    </font>
    <font>
      <sz val="14"/>
      <color indexed="12"/>
      <name val="Arial MT"/>
      <family val="0"/>
    </font>
    <font>
      <u val="single"/>
      <sz val="11"/>
      <color indexed="12"/>
      <name val="Arial MT"/>
      <family val="0"/>
    </font>
    <font>
      <b/>
      <u val="single"/>
      <sz val="12"/>
      <color indexed="8"/>
      <name val="Arial"/>
      <family val="2"/>
    </font>
    <font>
      <u val="single"/>
      <sz val="12"/>
      <color indexed="8"/>
      <name val="Arial"/>
      <family val="2"/>
    </font>
    <font>
      <b/>
      <sz val="18"/>
      <color indexed="48"/>
      <name val="Arial"/>
      <family val="2"/>
    </font>
    <font>
      <i/>
      <sz val="9"/>
      <color indexed="8"/>
      <name val="Arial"/>
      <family val="2"/>
    </font>
    <font>
      <sz val="9"/>
      <name val="Arial"/>
      <family val="0"/>
    </font>
    <font>
      <b/>
      <sz val="9"/>
      <name val="Arial"/>
      <family val="0"/>
    </font>
    <font>
      <sz val="9"/>
      <name val="Arial MT"/>
      <family val="0"/>
    </font>
    <font>
      <sz val="12"/>
      <color indexed="8"/>
      <name val="Arial MT"/>
      <family val="0"/>
    </font>
    <font>
      <b/>
      <sz val="22"/>
      <color indexed="57"/>
      <name val="Arial"/>
      <family val="2"/>
    </font>
    <font>
      <b/>
      <sz val="16"/>
      <color indexed="57"/>
      <name val="Arial"/>
      <family val="2"/>
    </font>
    <font>
      <b/>
      <sz val="14"/>
      <color indexed="57"/>
      <name val="Arial"/>
      <family val="2"/>
    </font>
    <font>
      <b/>
      <sz val="12"/>
      <color indexed="57"/>
      <name val="Arial"/>
      <family val="2"/>
    </font>
    <font>
      <b/>
      <sz val="11"/>
      <color indexed="57"/>
      <name val="Arial"/>
      <family val="2"/>
    </font>
    <font>
      <sz val="11"/>
      <color indexed="9"/>
      <name val="Arial"/>
      <family val="0"/>
    </font>
    <font>
      <sz val="11"/>
      <name val="Arial"/>
      <family val="0"/>
    </font>
    <font>
      <b/>
      <sz val="26"/>
      <color indexed="8"/>
      <name val="Arial"/>
      <family val="2"/>
    </font>
    <font>
      <b/>
      <sz val="18"/>
      <color indexed="57"/>
      <name val="Arial"/>
      <family val="2"/>
    </font>
    <font>
      <b/>
      <sz val="19"/>
      <name val="Arial MT"/>
      <family val="0"/>
    </font>
    <font>
      <b/>
      <sz val="12"/>
      <color indexed="9"/>
      <name val="Arial MT"/>
      <family val="0"/>
    </font>
    <font>
      <sz val="14"/>
      <color indexed="57"/>
      <name val="Arial"/>
      <family val="2"/>
    </font>
    <font>
      <b/>
      <sz val="10"/>
      <name val="Arial MT"/>
      <family val="0"/>
    </font>
    <font>
      <sz val="10.8"/>
      <name val="Arial MT"/>
      <family val="0"/>
    </font>
    <font>
      <b/>
      <sz val="16"/>
      <color indexed="57"/>
      <name val="Arial MT"/>
      <family val="0"/>
    </font>
    <font>
      <sz val="12"/>
      <color indexed="10"/>
      <name val="Arial MT"/>
      <family val="0"/>
    </font>
    <font>
      <vertAlign val="superscript"/>
      <sz val="12"/>
      <name val="Arial MT"/>
      <family val="0"/>
    </font>
    <font>
      <b/>
      <sz val="18"/>
      <name val="Arial MT"/>
      <family val="0"/>
    </font>
    <font>
      <b/>
      <sz val="18"/>
      <color indexed="10"/>
      <name val="Arial MT"/>
      <family val="0"/>
    </font>
    <font>
      <sz val="10"/>
      <color indexed="10"/>
      <name val="Arial MT"/>
      <family val="0"/>
    </font>
    <font>
      <b/>
      <sz val="8"/>
      <name val="Arial MT"/>
      <family val="2"/>
    </font>
  </fonts>
  <fills count="17">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8"/>
        <bgColor indexed="64"/>
      </patternFill>
    </fill>
    <fill>
      <patternFill patternType="solid">
        <fgColor indexed="8"/>
        <bgColor indexed="64"/>
      </patternFill>
    </fill>
    <fill>
      <patternFill patternType="solid">
        <fgColor indexed="51"/>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indexed="45"/>
        <bgColor indexed="64"/>
      </patternFill>
    </fill>
    <fill>
      <patternFill patternType="solid">
        <fgColor indexed="9"/>
        <bgColor indexed="64"/>
      </patternFill>
    </fill>
    <fill>
      <patternFill patternType="solid">
        <fgColor indexed="45"/>
        <bgColor indexed="64"/>
      </patternFill>
    </fill>
    <fill>
      <patternFill patternType="solid">
        <fgColor indexed="26"/>
        <bgColor indexed="64"/>
      </patternFill>
    </fill>
    <fill>
      <patternFill patternType="solid">
        <fgColor indexed="46"/>
        <bgColor indexed="64"/>
      </patternFill>
    </fill>
  </fills>
  <borders count="65">
    <border>
      <left/>
      <right/>
      <top/>
      <bottom/>
      <diagonal/>
    </border>
    <border>
      <left>
        <color indexed="63"/>
      </left>
      <right>
        <color indexed="63"/>
      </right>
      <top>
        <color indexed="63"/>
      </top>
      <bottom style="thin">
        <color indexed="8"/>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color indexed="8"/>
      </top>
      <bottom style="thin">
        <color indexed="8"/>
      </bottom>
    </border>
    <border>
      <left style="thin"/>
      <right style="thin"/>
      <top>
        <color indexed="63"/>
      </top>
      <bottom style="thin"/>
    </border>
    <border>
      <left>
        <color indexed="63"/>
      </left>
      <right style="thin"/>
      <top style="thin"/>
      <bottom style="thin"/>
    </border>
    <border>
      <left>
        <color indexed="63"/>
      </left>
      <right>
        <color indexed="63"/>
      </right>
      <top style="thin">
        <color indexed="8"/>
      </top>
      <bottom>
        <color indexed="63"/>
      </bottom>
    </border>
    <border>
      <left style="thin"/>
      <right>
        <color indexed="63"/>
      </right>
      <top>
        <color indexed="63"/>
      </top>
      <bottom style="thin">
        <color indexed="8"/>
      </bottom>
    </border>
    <border>
      <left style="thin"/>
      <right style="thin"/>
      <top style="thin"/>
      <bottom>
        <color indexed="63"/>
      </bottom>
    </border>
    <border>
      <left>
        <color indexed="63"/>
      </left>
      <right style="thin"/>
      <top style="thin"/>
      <bottom style="thin">
        <color indexed="8"/>
      </bottom>
    </border>
    <border>
      <left>
        <color indexed="63"/>
      </left>
      <right style="thin"/>
      <top style="thin">
        <color indexed="8"/>
      </top>
      <bottom style="thin">
        <color indexed="8"/>
      </bottom>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medium"/>
    </border>
    <border>
      <left style="thin">
        <color indexed="8"/>
      </left>
      <right style="thin">
        <color indexed="8"/>
      </right>
      <top style="thin">
        <color indexed="8"/>
      </top>
      <bottom style="thin">
        <color indexed="8"/>
      </bottom>
    </border>
    <border>
      <left style="thin">
        <color indexed="8"/>
      </left>
      <right style="thin"/>
      <top>
        <color indexed="63"/>
      </top>
      <bottom style="thin"/>
    </border>
    <border>
      <left style="thin">
        <color indexed="8"/>
      </left>
      <right style="thin"/>
      <top style="thin"/>
      <bottom style="thin"/>
    </border>
    <border>
      <left style="thin">
        <color indexed="8"/>
      </left>
      <right style="thin">
        <color indexed="8"/>
      </right>
      <top>
        <color indexed="63"/>
      </top>
      <bottom style="thin"/>
    </border>
    <border>
      <left style="thin">
        <color indexed="8"/>
      </left>
      <right style="thin">
        <color indexed="8"/>
      </right>
      <top style="thin"/>
      <bottom style="thin"/>
    </border>
    <border>
      <left>
        <color indexed="63"/>
      </left>
      <right>
        <color indexed="63"/>
      </right>
      <top>
        <color indexed="63"/>
      </top>
      <bottom style="double"/>
    </border>
    <border>
      <left>
        <color indexed="63"/>
      </left>
      <right>
        <color indexed="63"/>
      </right>
      <top style="dotted"/>
      <bottom style="dotted"/>
    </border>
    <border>
      <left>
        <color indexed="63"/>
      </left>
      <right>
        <color indexed="63"/>
      </right>
      <top>
        <color indexed="63"/>
      </top>
      <bottom style="dotted"/>
    </border>
    <border>
      <left style="thin">
        <color indexed="8"/>
      </left>
      <right style="thin">
        <color indexed="8"/>
      </right>
      <top style="thin"/>
      <bottom>
        <color indexed="63"/>
      </bottom>
    </border>
    <border>
      <left style="thin">
        <color indexed="8"/>
      </left>
      <right style="thin"/>
      <top style="thin"/>
      <bottom>
        <color indexed="63"/>
      </bottom>
    </border>
    <border>
      <left style="medium">
        <color indexed="8"/>
      </left>
      <right style="thin">
        <color indexed="8"/>
      </right>
      <top style="medium">
        <color indexed="8"/>
      </top>
      <bottom style="thin"/>
    </border>
    <border>
      <left style="thin">
        <color indexed="8"/>
      </left>
      <right style="thin"/>
      <top style="medium">
        <color indexed="8"/>
      </top>
      <bottom style="thin"/>
    </border>
    <border>
      <left style="thin"/>
      <right style="thin"/>
      <top style="medium">
        <color indexed="8"/>
      </top>
      <bottom style="thin"/>
    </border>
    <border>
      <left style="medium">
        <color indexed="8"/>
      </left>
      <right style="thin">
        <color indexed="8"/>
      </right>
      <top style="thin"/>
      <bottom style="medium">
        <color indexed="8"/>
      </bottom>
    </border>
    <border>
      <left style="thin">
        <color indexed="8"/>
      </left>
      <right style="thin"/>
      <top style="thin"/>
      <bottom style="medium">
        <color indexed="8"/>
      </bottom>
    </border>
    <border>
      <left style="thin"/>
      <right style="thin"/>
      <top>
        <color indexed="63"/>
      </top>
      <bottom style="medium">
        <color indexed="8"/>
      </bottom>
    </border>
    <border>
      <left style="thin"/>
      <right style="medium">
        <color indexed="8"/>
      </right>
      <top>
        <color indexed="63"/>
      </top>
      <bottom style="medium">
        <color indexed="8"/>
      </botto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dotted"/>
      <bottom>
        <color indexed="63"/>
      </bottom>
    </border>
    <border>
      <left style="thin"/>
      <right style="thin"/>
      <top style="medium">
        <color indexed="8"/>
      </top>
      <bottom>
        <color indexed="63"/>
      </bottom>
    </border>
    <border>
      <left style="thin"/>
      <right style="medium">
        <color indexed="8"/>
      </right>
      <top style="medium">
        <color indexed="8"/>
      </top>
      <bottom style="thin"/>
    </border>
    <border>
      <left>
        <color indexed="63"/>
      </left>
      <right>
        <color indexed="63"/>
      </right>
      <top style="thin"/>
      <bottom style="medium"/>
    </border>
    <border>
      <left>
        <color indexed="63"/>
      </left>
      <right style="thin"/>
      <top style="thin">
        <color indexed="8"/>
      </top>
      <bottom>
        <color indexed="63"/>
      </bottom>
    </border>
    <border>
      <left>
        <color indexed="63"/>
      </left>
      <right>
        <color indexed="63"/>
      </right>
      <top style="medium"/>
      <bottom style="double"/>
    </border>
    <border>
      <left>
        <color indexed="63"/>
      </left>
      <right>
        <color indexed="63"/>
      </right>
      <top style="thin"/>
      <bottom style="double"/>
    </border>
    <border>
      <left>
        <color indexed="63"/>
      </left>
      <right>
        <color indexed="63"/>
      </right>
      <top style="medium"/>
      <bottom style="thin"/>
    </border>
    <border>
      <left>
        <color indexed="63"/>
      </left>
      <right style="double"/>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thin">
        <color indexed="8"/>
      </bottom>
    </border>
    <border>
      <left style="thin"/>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color indexed="63"/>
      </right>
      <top>
        <color indexed="63"/>
      </top>
      <bottom style="dashed"/>
    </border>
    <border>
      <left style="medium"/>
      <right>
        <color indexed="63"/>
      </right>
      <top>
        <color indexed="63"/>
      </top>
      <bottom style="medium"/>
    </border>
    <border>
      <left style="medium"/>
      <right>
        <color indexed="63"/>
      </right>
      <top style="thin"/>
      <bottom style="thin"/>
    </border>
    <border>
      <left style="medium"/>
      <right>
        <color indexed="63"/>
      </right>
      <top>
        <color indexed="63"/>
      </top>
      <bottom style="thin">
        <color indexed="8"/>
      </bottom>
    </border>
    <border>
      <left style="medium"/>
      <right style="medium"/>
      <top style="medium"/>
      <bottom style="medium"/>
    </border>
  </borders>
  <cellStyleXfs count="30">
    <xf numFmtId="179"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51" fillId="0" borderId="0" applyNumberFormat="0" applyFill="0" applyBorder="0" applyAlignment="0" applyProtection="0"/>
    <xf numFmtId="0" fontId="0" fillId="0" borderId="0">
      <alignment/>
      <protection/>
    </xf>
    <xf numFmtId="179"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179" fontId="2" fillId="3" borderId="0">
      <alignment/>
      <protection hidden="1"/>
    </xf>
    <xf numFmtId="0" fontId="2" fillId="4" borderId="0">
      <alignment/>
      <protection/>
    </xf>
  </cellStyleXfs>
  <cellXfs count="1712">
    <xf numFmtId="179" fontId="0" fillId="2" borderId="0" xfId="0" applyAlignment="1">
      <alignment/>
    </xf>
    <xf numFmtId="178" fontId="9" fillId="5" borderId="1" xfId="0" applyNumberFormat="1" applyFont="1" applyFill="1" applyBorder="1" applyAlignment="1" applyProtection="1">
      <alignment/>
      <protection/>
    </xf>
    <xf numFmtId="178" fontId="9" fillId="5" borderId="0" xfId="0" applyNumberFormat="1" applyFont="1" applyFill="1" applyAlignment="1" applyProtection="1">
      <alignment/>
      <protection/>
    </xf>
    <xf numFmtId="178" fontId="9" fillId="6" borderId="0" xfId="0" applyNumberFormat="1" applyFont="1" applyFill="1" applyAlignment="1" applyProtection="1">
      <alignment/>
      <protection/>
    </xf>
    <xf numFmtId="178" fontId="9" fillId="5" borderId="2" xfId="0" applyNumberFormat="1" applyFont="1" applyFill="1" applyBorder="1" applyAlignment="1" applyProtection="1">
      <alignment/>
      <protection/>
    </xf>
    <xf numFmtId="179" fontId="2" fillId="7" borderId="0" xfId="0" applyFont="1" applyFill="1" applyBorder="1" applyAlignment="1" applyProtection="1">
      <alignment/>
      <protection/>
    </xf>
    <xf numFmtId="179" fontId="3" fillId="7" borderId="0" xfId="0" applyFont="1" applyFill="1" applyBorder="1" applyAlignment="1" applyProtection="1">
      <alignment/>
      <protection/>
    </xf>
    <xf numFmtId="179" fontId="4" fillId="7" borderId="3" xfId="0" applyFont="1" applyFill="1" applyBorder="1" applyAlignment="1" applyProtection="1">
      <alignment/>
      <protection/>
    </xf>
    <xf numFmtId="0" fontId="1" fillId="8" borderId="0" xfId="24" applyFill="1">
      <alignment/>
      <protection/>
    </xf>
    <xf numFmtId="0" fontId="1" fillId="0" borderId="0" xfId="24">
      <alignment/>
      <protection/>
    </xf>
    <xf numFmtId="0" fontId="1" fillId="8" borderId="0" xfId="24" applyFill="1" applyAlignment="1">
      <alignment horizontal="left"/>
      <protection/>
    </xf>
    <xf numFmtId="0" fontId="1" fillId="8" borderId="0" xfId="24" applyFill="1" applyAlignment="1">
      <alignment vertical="top"/>
      <protection/>
    </xf>
    <xf numFmtId="0" fontId="19" fillId="8" borderId="0" xfId="24" applyFont="1" applyFill="1" applyAlignment="1">
      <alignment horizontal="right"/>
      <protection/>
    </xf>
    <xf numFmtId="0" fontId="1" fillId="8" borderId="4" xfId="24" applyFill="1" applyBorder="1">
      <alignment/>
      <protection/>
    </xf>
    <xf numFmtId="0" fontId="1" fillId="8" borderId="5" xfId="24" applyFill="1" applyBorder="1">
      <alignment/>
      <protection/>
    </xf>
    <xf numFmtId="0" fontId="1" fillId="8" borderId="6" xfId="24" applyFill="1" applyBorder="1">
      <alignment/>
      <protection/>
    </xf>
    <xf numFmtId="0" fontId="1" fillId="8" borderId="3" xfId="24" applyFill="1" applyBorder="1">
      <alignment/>
      <protection/>
    </xf>
    <xf numFmtId="0" fontId="1" fillId="8" borderId="0" xfId="24" applyFill="1" applyBorder="1">
      <alignment/>
      <protection/>
    </xf>
    <xf numFmtId="0" fontId="1" fillId="8" borderId="7" xfId="24" applyFill="1" applyBorder="1">
      <alignment/>
      <protection/>
    </xf>
    <xf numFmtId="0" fontId="23" fillId="8" borderId="8" xfId="24" applyFont="1" applyFill="1" applyBorder="1" applyAlignment="1">
      <alignment vertical="center"/>
      <protection/>
    </xf>
    <xf numFmtId="0" fontId="1" fillId="8" borderId="0" xfId="24" applyFill="1" applyBorder="1" applyAlignment="1">
      <alignment horizontal="center"/>
      <protection/>
    </xf>
    <xf numFmtId="0" fontId="1" fillId="8" borderId="8" xfId="24" applyFill="1" applyBorder="1">
      <alignment/>
      <protection/>
    </xf>
    <xf numFmtId="0" fontId="1" fillId="8" borderId="0" xfId="24" applyFill="1" applyBorder="1" applyAlignment="1">
      <alignment vertical="center"/>
      <protection/>
    </xf>
    <xf numFmtId="0" fontId="1" fillId="8" borderId="0" xfId="24" applyFill="1" applyBorder="1" applyAlignment="1">
      <alignment vertical="top"/>
      <protection/>
    </xf>
    <xf numFmtId="0" fontId="25" fillId="8" borderId="0" xfId="24" applyFont="1" applyFill="1" applyBorder="1" applyAlignment="1" applyProtection="1">
      <alignment horizontal="center" vertical="center"/>
      <protection/>
    </xf>
    <xf numFmtId="0" fontId="24" fillId="8" borderId="8" xfId="24" applyFont="1" applyFill="1" applyBorder="1" applyAlignment="1" applyProtection="1">
      <alignment vertical="center"/>
      <protection/>
    </xf>
    <xf numFmtId="0" fontId="1" fillId="8" borderId="9" xfId="24" applyFill="1" applyBorder="1">
      <alignment/>
      <protection/>
    </xf>
    <xf numFmtId="0" fontId="1" fillId="8" borderId="10" xfId="24" applyFill="1" applyBorder="1">
      <alignment/>
      <protection/>
    </xf>
    <xf numFmtId="0" fontId="1" fillId="8" borderId="8" xfId="24" applyFill="1" applyBorder="1" applyAlignment="1">
      <alignment vertical="center"/>
      <protection/>
    </xf>
    <xf numFmtId="49" fontId="24" fillId="8" borderId="10" xfId="24" applyNumberFormat="1" applyFont="1" applyFill="1" applyBorder="1">
      <alignment/>
      <protection/>
    </xf>
    <xf numFmtId="192" fontId="24" fillId="2" borderId="11" xfId="24" applyNumberFormat="1" applyFont="1" applyFill="1" applyBorder="1" applyAlignment="1" applyProtection="1">
      <alignment horizontal="center"/>
      <protection locked="0"/>
    </xf>
    <xf numFmtId="0" fontId="1" fillId="8" borderId="0" xfId="24" applyFill="1" applyBorder="1" applyAlignment="1">
      <alignment horizontal="right"/>
      <protection/>
    </xf>
    <xf numFmtId="0" fontId="1" fillId="9" borderId="11" xfId="24" applyFill="1" applyBorder="1">
      <alignment/>
      <protection/>
    </xf>
    <xf numFmtId="179" fontId="4" fillId="8" borderId="0" xfId="22" applyFont="1" applyFill="1" applyAlignment="1" applyProtection="1">
      <alignment horizontal="center"/>
      <protection/>
    </xf>
    <xf numFmtId="179" fontId="3" fillId="8" borderId="0" xfId="22" applyFont="1" applyFill="1" applyAlignment="1" applyProtection="1">
      <alignment horizontal="left"/>
      <protection/>
    </xf>
    <xf numFmtId="179" fontId="2" fillId="8" borderId="0" xfId="22" applyFont="1" applyFill="1" applyProtection="1">
      <alignment/>
      <protection/>
    </xf>
    <xf numFmtId="179" fontId="3" fillId="8" borderId="0" xfId="22" applyFont="1" applyFill="1" applyAlignment="1" applyProtection="1" quotePrefix="1">
      <alignment horizontal="right"/>
      <protection/>
    </xf>
    <xf numFmtId="179" fontId="3" fillId="8" borderId="0" xfId="22" applyFont="1" applyFill="1" applyAlignment="1" applyProtection="1">
      <alignment horizontal="center"/>
      <protection/>
    </xf>
    <xf numFmtId="179" fontId="7" fillId="8" borderId="0" xfId="22" applyFont="1" applyFill="1" applyProtection="1">
      <alignment/>
      <protection/>
    </xf>
    <xf numFmtId="179" fontId="2" fillId="8" borderId="1" xfId="22" applyFont="1" applyFill="1" applyBorder="1" applyProtection="1">
      <alignment/>
      <protection/>
    </xf>
    <xf numFmtId="179" fontId="3" fillId="8" borderId="1" xfId="22" applyFont="1" applyFill="1" applyBorder="1" applyAlignment="1" applyProtection="1">
      <alignment horizontal="center"/>
      <protection/>
    </xf>
    <xf numFmtId="179" fontId="4" fillId="8" borderId="12" xfId="22" applyFont="1" applyFill="1" applyBorder="1" applyAlignment="1" applyProtection="1">
      <alignment horizontal="center" vertical="center" wrapText="1"/>
      <protection/>
    </xf>
    <xf numFmtId="179" fontId="4" fillId="8" borderId="12" xfId="22" applyFont="1" applyFill="1" applyBorder="1" applyAlignment="1" applyProtection="1">
      <alignment horizontal="right" vertical="center" wrapText="1"/>
      <protection/>
    </xf>
    <xf numFmtId="49" fontId="2" fillId="8" borderId="0" xfId="22" applyNumberFormat="1" applyFont="1" applyFill="1" applyBorder="1" applyAlignment="1" applyProtection="1">
      <alignment horizontal="center" vertical="center"/>
      <protection/>
    </xf>
    <xf numFmtId="179" fontId="2" fillId="8" borderId="0" xfId="22" applyFont="1" applyFill="1" applyBorder="1" applyProtection="1">
      <alignment/>
      <protection/>
    </xf>
    <xf numFmtId="179" fontId="3" fillId="8" borderId="0" xfId="22" applyFont="1" applyFill="1" applyBorder="1" applyAlignment="1" applyProtection="1">
      <alignment horizontal="center"/>
      <protection/>
    </xf>
    <xf numFmtId="49" fontId="7" fillId="8" borderId="0" xfId="22" applyNumberFormat="1" applyFont="1" applyFill="1" applyBorder="1" applyAlignment="1" applyProtection="1">
      <alignment horizontal="center" vertical="center"/>
      <protection/>
    </xf>
    <xf numFmtId="179" fontId="4" fillId="8" borderId="0" xfId="22" applyFont="1" applyFill="1" applyBorder="1" applyProtection="1">
      <alignment/>
      <protection/>
    </xf>
    <xf numFmtId="179" fontId="7" fillId="8" borderId="0" xfId="22" applyFont="1" applyFill="1" applyBorder="1" applyProtection="1">
      <alignment/>
      <protection/>
    </xf>
    <xf numFmtId="179" fontId="26" fillId="8" borderId="0" xfId="22" applyFont="1" applyFill="1" applyAlignment="1" applyProtection="1">
      <alignment horizontal="left"/>
      <protection/>
    </xf>
    <xf numFmtId="179" fontId="7" fillId="8" borderId="0" xfId="22" applyFont="1" applyFill="1" applyBorder="1" applyAlignment="1" applyProtection="1">
      <alignment horizontal="left"/>
      <protection/>
    </xf>
    <xf numFmtId="179" fontId="4" fillId="8" borderId="0" xfId="22" applyFont="1" applyFill="1" applyBorder="1" applyAlignment="1" applyProtection="1">
      <alignment horizontal="center"/>
      <protection/>
    </xf>
    <xf numFmtId="179" fontId="26" fillId="8" borderId="0" xfId="22" applyFont="1" applyFill="1" applyAlignment="1" applyProtection="1">
      <alignment horizontal="left" wrapText="1"/>
      <protection/>
    </xf>
    <xf numFmtId="179" fontId="26" fillId="8" borderId="0" xfId="22" applyFont="1" applyFill="1" applyAlignment="1" applyProtection="1">
      <alignment horizontal="center"/>
      <protection/>
    </xf>
    <xf numFmtId="179" fontId="7" fillId="8" borderId="0" xfId="22" applyFont="1" applyFill="1" applyBorder="1" applyAlignment="1" applyProtection="1">
      <alignment vertical="center"/>
      <protection/>
    </xf>
    <xf numFmtId="49" fontId="2" fillId="0" borderId="0" xfId="22" applyNumberFormat="1" applyFont="1" applyFill="1" applyBorder="1" applyAlignment="1" applyProtection="1">
      <alignment horizontal="center" vertical="center"/>
      <protection/>
    </xf>
    <xf numFmtId="49" fontId="7" fillId="8" borderId="0" xfId="22" applyNumberFormat="1" applyFont="1" applyFill="1" applyBorder="1" applyAlignment="1" applyProtection="1">
      <alignment horizontal="center" vertical="center" shrinkToFit="1"/>
      <protection/>
    </xf>
    <xf numFmtId="0" fontId="34" fillId="8" borderId="0" xfId="24" applyFont="1" applyFill="1" applyBorder="1" applyAlignment="1">
      <alignment horizontal="right"/>
      <protection/>
    </xf>
    <xf numFmtId="195" fontId="25" fillId="2" borderId="11" xfId="24" applyNumberFormat="1" applyFont="1" applyFill="1" applyBorder="1" applyAlignment="1" applyProtection="1">
      <alignment horizontal="center" vertical="center"/>
      <protection locked="0"/>
    </xf>
    <xf numFmtId="0" fontId="1" fillId="8" borderId="0" xfId="24" applyFont="1" applyFill="1" quotePrefix="1">
      <alignment/>
      <protection/>
    </xf>
    <xf numFmtId="179" fontId="2" fillId="2" borderId="0" xfId="0" applyFont="1" applyFill="1" applyAlignment="1" applyProtection="1">
      <alignment/>
      <protection/>
    </xf>
    <xf numFmtId="179" fontId="3" fillId="2" borderId="0" xfId="0" applyFont="1" applyFill="1" applyAlignment="1" applyProtection="1">
      <alignment/>
      <protection/>
    </xf>
    <xf numFmtId="179" fontId="2" fillId="2" borderId="0" xfId="0" applyFont="1" applyFill="1" applyAlignment="1" applyProtection="1">
      <alignment horizontal="right"/>
      <protection/>
    </xf>
    <xf numFmtId="179" fontId="13" fillId="2" borderId="0" xfId="0" applyFont="1" applyFill="1" applyAlignment="1" applyProtection="1">
      <alignment horizontal="right"/>
      <protection/>
    </xf>
    <xf numFmtId="187" fontId="2" fillId="2" borderId="13" xfId="0" applyNumberFormat="1" applyFont="1" applyFill="1" applyBorder="1" applyAlignment="1" applyProtection="1">
      <alignment horizontal="center"/>
      <protection locked="0"/>
    </xf>
    <xf numFmtId="178" fontId="9" fillId="6" borderId="0" xfId="0" applyNumberFormat="1" applyFont="1" applyFill="1" applyBorder="1" applyAlignment="1" applyProtection="1">
      <alignment/>
      <protection/>
    </xf>
    <xf numFmtId="178" fontId="9" fillId="5" borderId="8" xfId="0" applyNumberFormat="1" applyFont="1" applyFill="1" applyBorder="1" applyAlignment="1" applyProtection="1">
      <alignment/>
      <protection/>
    </xf>
    <xf numFmtId="0" fontId="1" fillId="8" borderId="0" xfId="24" applyFont="1" applyFill="1" applyBorder="1" applyAlignment="1">
      <alignment vertical="center"/>
      <protection/>
    </xf>
    <xf numFmtId="0" fontId="1" fillId="8" borderId="0" xfId="24" applyFont="1" applyFill="1" applyBorder="1">
      <alignment/>
      <protection/>
    </xf>
    <xf numFmtId="179" fontId="2" fillId="10" borderId="0" xfId="0" applyFont="1" applyFill="1" applyAlignment="1" applyProtection="1">
      <alignment/>
      <protection/>
    </xf>
    <xf numFmtId="179" fontId="41" fillId="10" borderId="0" xfId="0" applyFont="1" applyFill="1" applyAlignment="1" applyProtection="1">
      <alignment horizontal="right"/>
      <protection/>
    </xf>
    <xf numFmtId="179" fontId="10" fillId="10" borderId="0" xfId="0" applyFont="1" applyFill="1" applyAlignment="1" applyProtection="1">
      <alignment vertical="center"/>
      <protection/>
    </xf>
    <xf numFmtId="178" fontId="9" fillId="5" borderId="0" xfId="0" applyNumberFormat="1" applyFont="1" applyFill="1" applyAlignment="1" applyProtection="1" quotePrefix="1">
      <alignment/>
      <protection/>
    </xf>
    <xf numFmtId="178" fontId="9" fillId="6" borderId="0" xfId="0" applyNumberFormat="1" applyFont="1" applyFill="1" applyAlignment="1" applyProtection="1" quotePrefix="1">
      <alignment/>
      <protection/>
    </xf>
    <xf numFmtId="179" fontId="16" fillId="8" borderId="0" xfId="0" applyFont="1" applyFill="1" applyAlignment="1" applyProtection="1">
      <alignment/>
      <protection/>
    </xf>
    <xf numFmtId="179" fontId="2" fillId="8" borderId="8" xfId="0" applyFont="1" applyFill="1" applyBorder="1" applyAlignment="1" applyProtection="1">
      <alignment/>
      <protection/>
    </xf>
    <xf numFmtId="179" fontId="2" fillId="8" borderId="2" xfId="0" applyFont="1" applyFill="1" applyBorder="1" applyAlignment="1" applyProtection="1">
      <alignment/>
      <protection/>
    </xf>
    <xf numFmtId="179" fontId="2" fillId="8" borderId="2" xfId="0" applyFont="1" applyFill="1" applyBorder="1" applyAlignment="1" applyProtection="1">
      <alignment wrapText="1"/>
      <protection/>
    </xf>
    <xf numFmtId="179" fontId="2" fillId="8" borderId="0" xfId="0" applyFont="1" applyFill="1" applyAlignment="1" applyProtection="1">
      <alignment/>
      <protection/>
    </xf>
    <xf numFmtId="179" fontId="2" fillId="8" borderId="0" xfId="0" applyFont="1" applyFill="1" applyAlignment="1" applyProtection="1">
      <alignment horizontal="right"/>
      <protection/>
    </xf>
    <xf numFmtId="179" fontId="2" fillId="8" borderId="0" xfId="0" applyFont="1" applyFill="1" applyAlignment="1" applyProtection="1">
      <alignment horizontal="left"/>
      <protection/>
    </xf>
    <xf numFmtId="179" fontId="16" fillId="8" borderId="0" xfId="0" applyFont="1" applyFill="1" applyAlignment="1" applyProtection="1">
      <alignment horizontal="left"/>
      <protection/>
    </xf>
    <xf numFmtId="179" fontId="2" fillId="8" borderId="5" xfId="0" applyFont="1" applyFill="1" applyBorder="1" applyAlignment="1" applyProtection="1">
      <alignment/>
      <protection/>
    </xf>
    <xf numFmtId="179" fontId="2" fillId="8" borderId="5" xfId="0" applyFont="1" applyFill="1" applyBorder="1" applyAlignment="1" applyProtection="1">
      <alignment/>
      <protection/>
    </xf>
    <xf numFmtId="179" fontId="2" fillId="8" borderId="2" xfId="0" applyFont="1" applyFill="1" applyBorder="1" applyAlignment="1" applyProtection="1">
      <alignment horizontal="left"/>
      <protection/>
    </xf>
    <xf numFmtId="179" fontId="33" fillId="8" borderId="0" xfId="0" applyFont="1" applyFill="1" applyAlignment="1" applyProtection="1">
      <alignment horizontal="left"/>
      <protection/>
    </xf>
    <xf numFmtId="179" fontId="4" fillId="8" borderId="0" xfId="0" applyFont="1" applyFill="1" applyAlignment="1" applyProtection="1">
      <alignment/>
      <protection/>
    </xf>
    <xf numFmtId="179" fontId="0" fillId="11" borderId="2" xfId="0" applyFont="1" applyFill="1" applyBorder="1" applyAlignment="1" applyProtection="1">
      <alignment/>
      <protection/>
    </xf>
    <xf numFmtId="179" fontId="3" fillId="8" borderId="0" xfId="0" applyFont="1" applyFill="1" applyAlignment="1" applyProtection="1">
      <alignment horizontal="right"/>
      <protection/>
    </xf>
    <xf numFmtId="179" fontId="2" fillId="8" borderId="2" xfId="0" applyFont="1" applyFill="1" applyBorder="1" applyAlignment="1" applyProtection="1">
      <alignment horizontal="right"/>
      <protection/>
    </xf>
    <xf numFmtId="179" fontId="2" fillId="8" borderId="8" xfId="0" applyFont="1" applyFill="1" applyBorder="1" applyAlignment="1" applyProtection="1">
      <alignment horizontal="right"/>
      <protection/>
    </xf>
    <xf numFmtId="179" fontId="0" fillId="11" borderId="0" xfId="0" applyFont="1" applyFill="1" applyBorder="1" applyAlignment="1" applyProtection="1">
      <alignment/>
      <protection/>
    </xf>
    <xf numFmtId="178" fontId="3" fillId="8" borderId="2" xfId="0" applyNumberFormat="1" applyFont="1" applyFill="1" applyBorder="1" applyAlignment="1" applyProtection="1">
      <alignment/>
      <protection/>
    </xf>
    <xf numFmtId="197" fontId="2" fillId="2" borderId="2" xfId="0" applyNumberFormat="1" applyFont="1" applyFill="1" applyBorder="1" applyAlignment="1" applyProtection="1">
      <alignment/>
      <protection locked="0"/>
    </xf>
    <xf numFmtId="179" fontId="3" fillId="8" borderId="2" xfId="0" applyFont="1" applyFill="1" applyBorder="1" applyAlignment="1" applyProtection="1">
      <alignment/>
      <protection/>
    </xf>
    <xf numFmtId="179" fontId="3" fillId="8" borderId="0" xfId="0" applyFont="1" applyFill="1" applyAlignment="1" applyProtection="1">
      <alignment/>
      <protection/>
    </xf>
    <xf numFmtId="179" fontId="3" fillId="8" borderId="8" xfId="0" applyFont="1" applyFill="1" applyBorder="1" applyAlignment="1" applyProtection="1">
      <alignment/>
      <protection/>
    </xf>
    <xf numFmtId="179" fontId="3" fillId="8" borderId="5" xfId="0" applyFont="1" applyFill="1" applyBorder="1" applyAlignment="1" applyProtection="1">
      <alignment/>
      <protection/>
    </xf>
    <xf numFmtId="178" fontId="3" fillId="8" borderId="8" xfId="0" applyNumberFormat="1" applyFont="1" applyFill="1" applyBorder="1" applyAlignment="1" applyProtection="1">
      <alignment/>
      <protection/>
    </xf>
    <xf numFmtId="179" fontId="3" fillId="8" borderId="0" xfId="0" applyFont="1" applyFill="1" applyBorder="1" applyAlignment="1" applyProtection="1">
      <alignment/>
      <protection/>
    </xf>
    <xf numFmtId="179" fontId="4" fillId="8" borderId="8" xfId="0" applyFont="1" applyFill="1" applyBorder="1" applyAlignment="1" applyProtection="1">
      <alignment/>
      <protection/>
    </xf>
    <xf numFmtId="179" fontId="2" fillId="8" borderId="0" xfId="0" applyFont="1" applyFill="1" applyBorder="1" applyAlignment="1" applyProtection="1">
      <alignment horizontal="right"/>
      <protection/>
    </xf>
    <xf numFmtId="179" fontId="2" fillId="8" borderId="5" xfId="0" applyFont="1" applyFill="1" applyBorder="1" applyAlignment="1" applyProtection="1">
      <alignment horizontal="right"/>
      <protection/>
    </xf>
    <xf numFmtId="179" fontId="2" fillId="8" borderId="0" xfId="0" applyFont="1" applyFill="1" applyAlignment="1" applyProtection="1">
      <alignment horizontal="center"/>
      <protection/>
    </xf>
    <xf numFmtId="197" fontId="2" fillId="2" borderId="8" xfId="0" applyNumberFormat="1" applyFont="1" applyFill="1" applyBorder="1" applyAlignment="1" applyProtection="1">
      <alignment/>
      <protection locked="0"/>
    </xf>
    <xf numFmtId="179" fontId="2" fillId="8" borderId="0" xfId="0" applyFont="1" applyFill="1" applyBorder="1" applyAlignment="1" applyProtection="1">
      <alignment horizontal="left"/>
      <protection/>
    </xf>
    <xf numFmtId="178" fontId="3" fillId="8" borderId="0" xfId="0" applyNumberFormat="1" applyFont="1" applyFill="1" applyAlignment="1" applyProtection="1">
      <alignment/>
      <protection/>
    </xf>
    <xf numFmtId="179" fontId="10" fillId="8" borderId="8" xfId="0" applyFont="1" applyFill="1" applyBorder="1" applyAlignment="1" applyProtection="1">
      <alignment horizontal="right"/>
      <protection/>
    </xf>
    <xf numFmtId="179" fontId="4" fillId="8" borderId="0" xfId="0" applyFont="1" applyFill="1" applyAlignment="1" applyProtection="1">
      <alignment horizontal="right"/>
      <protection/>
    </xf>
    <xf numFmtId="179" fontId="3" fillId="8" borderId="0" xfId="0" applyFont="1" applyFill="1" applyAlignment="1" applyProtection="1" quotePrefix="1">
      <alignment/>
      <protection/>
    </xf>
    <xf numFmtId="178" fontId="4" fillId="8" borderId="0" xfId="0" applyNumberFormat="1" applyFont="1" applyFill="1" applyAlignment="1" applyProtection="1">
      <alignment horizontal="left"/>
      <protection/>
    </xf>
    <xf numFmtId="178" fontId="4" fillId="8" borderId="0" xfId="0" applyNumberFormat="1" applyFont="1" applyFill="1" applyAlignment="1" applyProtection="1">
      <alignment/>
      <protection/>
    </xf>
    <xf numFmtId="179" fontId="0" fillId="8" borderId="0" xfId="0" applyFill="1" applyAlignment="1">
      <alignment/>
    </xf>
    <xf numFmtId="179" fontId="3" fillId="8" borderId="0" xfId="0" applyFont="1" applyFill="1" applyAlignment="1" applyProtection="1">
      <alignment horizontal="center"/>
      <protection/>
    </xf>
    <xf numFmtId="179" fontId="7" fillId="8" borderId="0" xfId="0" applyFont="1" applyFill="1" applyAlignment="1" applyProtection="1">
      <alignment/>
      <protection/>
    </xf>
    <xf numFmtId="179" fontId="13" fillId="8" borderId="0" xfId="0" applyFont="1" applyFill="1" applyAlignment="1" applyProtection="1">
      <alignment horizontal="right"/>
      <protection/>
    </xf>
    <xf numFmtId="179" fontId="12" fillId="8" borderId="0" xfId="0" applyFont="1" applyFill="1" applyAlignment="1" applyProtection="1">
      <alignment/>
      <protection/>
    </xf>
    <xf numFmtId="179" fontId="3" fillId="8" borderId="0" xfId="0" applyFont="1" applyFill="1" applyAlignment="1" applyProtection="1">
      <alignment horizontal="left"/>
      <protection/>
    </xf>
    <xf numFmtId="179" fontId="4" fillId="8" borderId="4" xfId="0" applyFont="1" applyFill="1" applyBorder="1" applyAlignment="1" applyProtection="1">
      <alignment/>
      <protection/>
    </xf>
    <xf numFmtId="179" fontId="4" fillId="8" borderId="5" xfId="0" applyFont="1" applyFill="1" applyBorder="1" applyAlignment="1" applyProtection="1">
      <alignment/>
      <protection/>
    </xf>
    <xf numFmtId="179" fontId="2" fillId="8" borderId="3" xfId="0" applyFont="1" applyFill="1" applyBorder="1" applyAlignment="1" applyProtection="1">
      <alignment/>
      <protection/>
    </xf>
    <xf numFmtId="179" fontId="2" fillId="8" borderId="0" xfId="0" applyFont="1" applyFill="1" applyBorder="1" applyAlignment="1" applyProtection="1">
      <alignment/>
      <protection/>
    </xf>
    <xf numFmtId="179" fontId="2" fillId="8" borderId="9" xfId="0" applyFont="1" applyFill="1" applyBorder="1" applyAlignment="1" applyProtection="1">
      <alignment/>
      <protection/>
    </xf>
    <xf numFmtId="179" fontId="2" fillId="8" borderId="0" xfId="0" applyFont="1" applyFill="1" applyBorder="1" applyAlignment="1" applyProtection="1">
      <alignment horizontal="center"/>
      <protection/>
    </xf>
    <xf numFmtId="179" fontId="0" fillId="8" borderId="0" xfId="0" applyFill="1" applyBorder="1" applyAlignment="1">
      <alignment/>
    </xf>
    <xf numFmtId="179" fontId="0" fillId="8" borderId="8" xfId="0" applyFill="1" applyBorder="1" applyAlignment="1">
      <alignment/>
    </xf>
    <xf numFmtId="179" fontId="0" fillId="8" borderId="2" xfId="0" applyFill="1" applyBorder="1" applyAlignment="1">
      <alignment/>
    </xf>
    <xf numFmtId="179" fontId="0" fillId="8" borderId="14" xfId="0" applyFill="1" applyBorder="1" applyAlignment="1">
      <alignment/>
    </xf>
    <xf numFmtId="179" fontId="0" fillId="8" borderId="7" xfId="0" applyFill="1" applyBorder="1" applyAlignment="1">
      <alignment/>
    </xf>
    <xf numFmtId="179" fontId="0" fillId="8" borderId="10" xfId="0" applyFill="1" applyBorder="1" applyAlignment="1">
      <alignment/>
    </xf>
    <xf numFmtId="4" fontId="2" fillId="2" borderId="8" xfId="0" applyNumberFormat="1" applyFont="1" applyFill="1" applyBorder="1" applyAlignment="1" applyProtection="1">
      <alignment/>
      <protection locked="0"/>
    </xf>
    <xf numFmtId="197" fontId="7" fillId="2" borderId="8" xfId="0" applyNumberFormat="1" applyFont="1" applyFill="1" applyBorder="1" applyAlignment="1" applyProtection="1">
      <alignment/>
      <protection locked="0"/>
    </xf>
    <xf numFmtId="197" fontId="7" fillId="2" borderId="2" xfId="0" applyNumberFormat="1" applyFont="1" applyFill="1" applyBorder="1" applyAlignment="1" applyProtection="1">
      <alignment/>
      <protection locked="0"/>
    </xf>
    <xf numFmtId="179" fontId="7" fillId="8" borderId="0" xfId="0" applyFont="1" applyFill="1" applyBorder="1" applyAlignment="1" applyProtection="1">
      <alignment/>
      <protection/>
    </xf>
    <xf numFmtId="179" fontId="7" fillId="8" borderId="5" xfId="0" applyFont="1" applyFill="1" applyBorder="1" applyAlignment="1" applyProtection="1">
      <alignment/>
      <protection/>
    </xf>
    <xf numFmtId="179" fontId="8" fillId="8" borderId="0" xfId="0" applyFont="1" applyFill="1" applyAlignment="1" applyProtection="1">
      <alignment/>
      <protection/>
    </xf>
    <xf numFmtId="1" fontId="2" fillId="8" borderId="0" xfId="0" applyNumberFormat="1" applyFont="1" applyFill="1" applyBorder="1" applyAlignment="1" applyProtection="1">
      <alignment horizontal="left"/>
      <protection/>
    </xf>
    <xf numFmtId="179" fontId="2" fillId="8" borderId="6" xfId="0" applyFont="1" applyFill="1" applyBorder="1" applyAlignment="1" applyProtection="1">
      <alignment/>
      <protection/>
    </xf>
    <xf numFmtId="179" fontId="2" fillId="8" borderId="7" xfId="0" applyFont="1" applyFill="1" applyBorder="1" applyAlignment="1" applyProtection="1">
      <alignment/>
      <protection/>
    </xf>
    <xf numFmtId="1" fontId="2" fillId="8" borderId="0" xfId="0" applyNumberFormat="1" applyFont="1" applyFill="1" applyAlignment="1" applyProtection="1">
      <alignment horizontal="left"/>
      <protection/>
    </xf>
    <xf numFmtId="179" fontId="2" fillId="8" borderId="10" xfId="0" applyFont="1" applyFill="1" applyBorder="1" applyAlignment="1" applyProtection="1">
      <alignment/>
      <protection/>
    </xf>
    <xf numFmtId="179" fontId="14" fillId="8" borderId="1" xfId="0" applyFont="1" applyFill="1" applyBorder="1" applyAlignment="1" applyProtection="1">
      <alignment/>
      <protection/>
    </xf>
    <xf numFmtId="179" fontId="2" fillId="8" borderId="15" xfId="0" applyFont="1" applyFill="1" applyBorder="1" applyAlignment="1" applyProtection="1">
      <alignment/>
      <protection/>
    </xf>
    <xf numFmtId="179" fontId="2" fillId="8" borderId="1" xfId="0" applyFont="1" applyFill="1" applyBorder="1" applyAlignment="1" applyProtection="1">
      <alignment/>
      <protection/>
    </xf>
    <xf numFmtId="179" fontId="2" fillId="8" borderId="12" xfId="0" applyFont="1" applyFill="1" applyBorder="1" applyAlignment="1" applyProtection="1">
      <alignment/>
      <protection/>
    </xf>
    <xf numFmtId="179" fontId="3" fillId="8" borderId="15" xfId="0" applyFont="1" applyFill="1" applyBorder="1" applyAlignment="1" applyProtection="1">
      <alignment/>
      <protection/>
    </xf>
    <xf numFmtId="179" fontId="3" fillId="8" borderId="1" xfId="0" applyFont="1" applyFill="1" applyBorder="1" applyAlignment="1" applyProtection="1">
      <alignment horizontal="right"/>
      <protection/>
    </xf>
    <xf numFmtId="179" fontId="3" fillId="8" borderId="15" xfId="0" applyFont="1" applyFill="1" applyBorder="1" applyAlignment="1" applyProtection="1">
      <alignment horizontal="right"/>
      <protection/>
    </xf>
    <xf numFmtId="179" fontId="3" fillId="8" borderId="4" xfId="0" applyFont="1" applyFill="1" applyBorder="1" applyAlignment="1" applyProtection="1">
      <alignment/>
      <protection/>
    </xf>
    <xf numFmtId="179" fontId="2" fillId="8" borderId="16" xfId="0" applyFont="1" applyFill="1" applyBorder="1" applyAlignment="1" applyProtection="1">
      <alignment/>
      <protection/>
    </xf>
    <xf numFmtId="179" fontId="2" fillId="8" borderId="1" xfId="0" applyFont="1" applyFill="1" applyBorder="1" applyAlignment="1" applyProtection="1">
      <alignment horizontal="right"/>
      <protection/>
    </xf>
    <xf numFmtId="179" fontId="2" fillId="8" borderId="12" xfId="0" applyFont="1" applyFill="1" applyBorder="1" applyAlignment="1" applyProtection="1">
      <alignment horizontal="right"/>
      <protection/>
    </xf>
    <xf numFmtId="179" fontId="2" fillId="8" borderId="15" xfId="0" applyFont="1" applyFill="1" applyBorder="1" applyAlignment="1" applyProtection="1">
      <alignment horizontal="right"/>
      <protection/>
    </xf>
    <xf numFmtId="197" fontId="2" fillId="2" borderId="8" xfId="0" applyNumberFormat="1" applyFont="1" applyFill="1" applyBorder="1" applyAlignment="1" applyProtection="1">
      <alignment vertical="center"/>
      <protection locked="0"/>
    </xf>
    <xf numFmtId="197" fontId="2" fillId="2" borderId="2" xfId="0" applyNumberFormat="1" applyFont="1" applyFill="1" applyBorder="1" applyAlignment="1" applyProtection="1">
      <alignment vertical="center"/>
      <protection locked="0"/>
    </xf>
    <xf numFmtId="178" fontId="3" fillId="8" borderId="0" xfId="0" applyNumberFormat="1" applyFont="1" applyFill="1" applyAlignment="1" applyProtection="1">
      <alignment horizontal="center"/>
      <protection/>
    </xf>
    <xf numFmtId="178" fontId="2" fillId="8" borderId="0" xfId="0" applyNumberFormat="1" applyFont="1" applyFill="1" applyAlignment="1" applyProtection="1">
      <alignment horizontal="center"/>
      <protection/>
    </xf>
    <xf numFmtId="178" fontId="3" fillId="8" borderId="5" xfId="0" applyNumberFormat="1" applyFont="1" applyFill="1" applyBorder="1" applyAlignment="1" applyProtection="1">
      <alignment horizontal="center"/>
      <protection/>
    </xf>
    <xf numFmtId="178" fontId="3" fillId="8" borderId="0" xfId="0" applyNumberFormat="1" applyFont="1" applyFill="1" applyBorder="1" applyAlignment="1" applyProtection="1">
      <alignment horizontal="center"/>
      <protection/>
    </xf>
    <xf numFmtId="197" fontId="0" fillId="2" borderId="8" xfId="0" applyNumberFormat="1" applyBorder="1" applyAlignment="1" applyProtection="1">
      <alignment/>
      <protection locked="0"/>
    </xf>
    <xf numFmtId="197" fontId="0" fillId="2" borderId="2" xfId="0" applyNumberFormat="1" applyBorder="1" applyAlignment="1" applyProtection="1">
      <alignment/>
      <protection locked="0"/>
    </xf>
    <xf numFmtId="179" fontId="3" fillId="8" borderId="8" xfId="0" applyFont="1" applyFill="1" applyBorder="1" applyAlignment="1" applyProtection="1">
      <alignment horizontal="right"/>
      <protection/>
    </xf>
    <xf numFmtId="179" fontId="2" fillId="8" borderId="1" xfId="0" applyFont="1" applyFill="1" applyBorder="1" applyAlignment="1" applyProtection="1">
      <alignment horizontal="center"/>
      <protection/>
    </xf>
    <xf numFmtId="179" fontId="3" fillId="8" borderId="2" xfId="0" applyFont="1" applyFill="1" applyBorder="1" applyAlignment="1" applyProtection="1">
      <alignment horizontal="right"/>
      <protection/>
    </xf>
    <xf numFmtId="179" fontId="2" fillId="8" borderId="8" xfId="0" applyFont="1" applyFill="1" applyBorder="1" applyAlignment="1" applyProtection="1">
      <alignment vertical="top"/>
      <protection/>
    </xf>
    <xf numFmtId="179" fontId="2" fillId="8" borderId="8" xfId="0" applyFont="1" applyFill="1" applyBorder="1" applyAlignment="1" applyProtection="1">
      <alignment horizontal="left"/>
      <protection/>
    </xf>
    <xf numFmtId="179" fontId="11" fillId="8" borderId="0" xfId="0" applyFont="1" applyFill="1" applyAlignment="1" applyProtection="1">
      <alignment/>
      <protection/>
    </xf>
    <xf numFmtId="179" fontId="5" fillId="8" borderId="0" xfId="0" applyFont="1" applyFill="1" applyBorder="1" applyAlignment="1" applyProtection="1">
      <alignment horizontal="center"/>
      <protection/>
    </xf>
    <xf numFmtId="179" fontId="5" fillId="8" borderId="0" xfId="0" applyFont="1" applyFill="1" applyBorder="1" applyAlignment="1" applyProtection="1" quotePrefix="1">
      <alignment/>
      <protection/>
    </xf>
    <xf numFmtId="179" fontId="2" fillId="8" borderId="8" xfId="0" applyFont="1" applyFill="1" applyBorder="1" applyAlignment="1" applyProtection="1">
      <alignment horizontal="center"/>
      <protection/>
    </xf>
    <xf numFmtId="179" fontId="3" fillId="8" borderId="5" xfId="0" applyFont="1" applyFill="1" applyBorder="1" applyAlignment="1" applyProtection="1">
      <alignment horizontal="right"/>
      <protection/>
    </xf>
    <xf numFmtId="179" fontId="6" fillId="8" borderId="0" xfId="0" applyFont="1" applyFill="1" applyBorder="1" applyAlignment="1" applyProtection="1">
      <alignment horizontal="center"/>
      <protection/>
    </xf>
    <xf numFmtId="179" fontId="4" fillId="8" borderId="2" xfId="0" applyFont="1" applyFill="1" applyBorder="1" applyAlignment="1" applyProtection="1">
      <alignment/>
      <protection/>
    </xf>
    <xf numFmtId="179" fontId="3" fillId="8" borderId="0" xfId="0" applyFont="1" applyFill="1" applyAlignment="1" applyProtection="1" quotePrefix="1">
      <alignment horizontal="center"/>
      <protection/>
    </xf>
    <xf numFmtId="178" fontId="3" fillId="8" borderId="0" xfId="0" applyNumberFormat="1" applyFont="1" applyFill="1" applyBorder="1" applyAlignment="1" applyProtection="1">
      <alignment/>
      <protection/>
    </xf>
    <xf numFmtId="179" fontId="40" fillId="8" borderId="5" xfId="0" applyFont="1" applyFill="1" applyBorder="1" applyAlignment="1" applyProtection="1">
      <alignment horizontal="left"/>
      <protection/>
    </xf>
    <xf numFmtId="178" fontId="3" fillId="8" borderId="0" xfId="0" applyNumberFormat="1" applyFont="1" applyFill="1" applyAlignment="1" applyProtection="1">
      <alignment horizontal="left"/>
      <protection/>
    </xf>
    <xf numFmtId="197" fontId="0" fillId="2" borderId="0" xfId="0" applyNumberFormat="1" applyBorder="1" applyAlignment="1">
      <alignment/>
    </xf>
    <xf numFmtId="179" fontId="2" fillId="8" borderId="17" xfId="0" applyFont="1" applyFill="1" applyBorder="1" applyAlignment="1" applyProtection="1">
      <alignment/>
      <protection/>
    </xf>
    <xf numFmtId="197" fontId="2" fillId="2" borderId="13" xfId="0" applyNumberFormat="1" applyFont="1" applyFill="1" applyBorder="1" applyAlignment="1" applyProtection="1">
      <alignment/>
      <protection locked="0"/>
    </xf>
    <xf numFmtId="179" fontId="10" fillId="8" borderId="4" xfId="0" applyFont="1" applyFill="1" applyBorder="1" applyAlignment="1" applyProtection="1">
      <alignment/>
      <protection/>
    </xf>
    <xf numFmtId="179" fontId="10" fillId="8" borderId="5" xfId="0" applyFont="1" applyFill="1" applyBorder="1" applyAlignment="1" applyProtection="1">
      <alignment/>
      <protection/>
    </xf>
    <xf numFmtId="179" fontId="2" fillId="8" borderId="6" xfId="0" applyFont="1" applyFill="1" applyBorder="1" applyAlignment="1" applyProtection="1">
      <alignment horizontal="center"/>
      <protection/>
    </xf>
    <xf numFmtId="179" fontId="5" fillId="8" borderId="17" xfId="0" applyFont="1" applyFill="1" applyBorder="1" applyAlignment="1" applyProtection="1">
      <alignment horizontal="center"/>
      <protection/>
    </xf>
    <xf numFmtId="179" fontId="5" fillId="8" borderId="13" xfId="0" applyFont="1" applyFill="1" applyBorder="1" applyAlignment="1" applyProtection="1">
      <alignment horizontal="center"/>
      <protection/>
    </xf>
    <xf numFmtId="197" fontId="2" fillId="2" borderId="11" xfId="0" applyNumberFormat="1" applyFont="1" applyFill="1" applyBorder="1" applyAlignment="1" applyProtection="1">
      <alignment/>
      <protection locked="0"/>
    </xf>
    <xf numFmtId="179" fontId="2" fillId="8" borderId="4" xfId="0" applyFont="1" applyFill="1" applyBorder="1" applyAlignment="1" applyProtection="1">
      <alignment horizontal="right"/>
      <protection/>
    </xf>
    <xf numFmtId="178" fontId="2" fillId="8" borderId="2" xfId="0" applyNumberFormat="1" applyFont="1" applyFill="1" applyBorder="1" applyAlignment="1" applyProtection="1">
      <alignment horizontal="right"/>
      <protection/>
    </xf>
    <xf numFmtId="178" fontId="2" fillId="8" borderId="8" xfId="0" applyNumberFormat="1" applyFont="1" applyFill="1" applyBorder="1" applyAlignment="1" applyProtection="1">
      <alignment/>
      <protection/>
    </xf>
    <xf numFmtId="179" fontId="16" fillId="8" borderId="0" xfId="0" applyFont="1" applyFill="1" applyAlignment="1" applyProtection="1">
      <alignment horizontal="right"/>
      <protection/>
    </xf>
    <xf numFmtId="178" fontId="2" fillId="8" borderId="0" xfId="0" applyNumberFormat="1" applyFont="1" applyFill="1" applyAlignment="1" applyProtection="1">
      <alignment horizontal="right"/>
      <protection/>
    </xf>
    <xf numFmtId="187" fontId="2" fillId="8" borderId="0" xfId="0" applyNumberFormat="1" applyFont="1" applyFill="1" applyAlignment="1" applyProtection="1">
      <alignment/>
      <protection/>
    </xf>
    <xf numFmtId="187" fontId="4" fillId="8" borderId="0" xfId="0" applyNumberFormat="1" applyFont="1" applyFill="1" applyAlignment="1" applyProtection="1">
      <alignment/>
      <protection/>
    </xf>
    <xf numFmtId="187" fontId="2" fillId="8" borderId="3" xfId="0" applyNumberFormat="1" applyFont="1" applyFill="1" applyBorder="1" applyAlignment="1" applyProtection="1">
      <alignment/>
      <protection/>
    </xf>
    <xf numFmtId="197" fontId="2" fillId="2" borderId="18" xfId="0" applyNumberFormat="1" applyFont="1" applyFill="1" applyBorder="1" applyAlignment="1" applyProtection="1">
      <alignment/>
      <protection locked="0"/>
    </xf>
    <xf numFmtId="197" fontId="2" fillId="2" borderId="19" xfId="0" applyNumberFormat="1" applyFont="1" applyFill="1" applyBorder="1" applyAlignment="1" applyProtection="1">
      <alignment/>
      <protection locked="0"/>
    </xf>
    <xf numFmtId="179" fontId="2" fillId="8" borderId="17" xfId="0" applyFont="1" applyFill="1" applyBorder="1" applyAlignment="1" applyProtection="1">
      <alignment horizontal="center"/>
      <protection/>
    </xf>
    <xf numFmtId="179" fontId="2" fillId="8" borderId="20" xfId="0" applyFont="1" applyFill="1" applyBorder="1" applyAlignment="1" applyProtection="1">
      <alignment horizontal="center"/>
      <protection/>
    </xf>
    <xf numFmtId="179" fontId="2" fillId="8" borderId="13" xfId="0" applyFont="1" applyFill="1" applyBorder="1" applyAlignment="1" applyProtection="1">
      <alignment/>
      <protection/>
    </xf>
    <xf numFmtId="197" fontId="2" fillId="2" borderId="11" xfId="0" applyNumberFormat="1" applyFont="1" applyFill="1" applyBorder="1" applyAlignment="1" applyProtection="1">
      <alignment horizontal="center"/>
      <protection locked="0"/>
    </xf>
    <xf numFmtId="197" fontId="2" fillId="2" borderId="13" xfId="0" applyNumberFormat="1" applyFont="1" applyFill="1" applyBorder="1" applyAlignment="1" applyProtection="1">
      <alignment horizontal="center"/>
      <protection locked="0"/>
    </xf>
    <xf numFmtId="197" fontId="2" fillId="2" borderId="13" xfId="28" applyNumberFormat="1" applyFill="1" applyBorder="1" applyAlignment="1" applyProtection="1">
      <alignment horizontal="center"/>
      <protection locked="0"/>
    </xf>
    <xf numFmtId="179" fontId="2" fillId="8" borderId="7" xfId="0" applyFont="1" applyFill="1" applyBorder="1" applyAlignment="1" applyProtection="1">
      <alignment horizontal="center"/>
      <protection/>
    </xf>
    <xf numFmtId="179" fontId="5" fillId="8" borderId="0" xfId="0" applyFont="1" applyFill="1" applyAlignment="1" applyProtection="1">
      <alignment/>
      <protection/>
    </xf>
    <xf numFmtId="179" fontId="16" fillId="8" borderId="0" xfId="0" applyFont="1" applyFill="1" applyAlignment="1" applyProtection="1">
      <alignment horizontal="center"/>
      <protection/>
    </xf>
    <xf numFmtId="178" fontId="2" fillId="8" borderId="0" xfId="0" applyNumberFormat="1" applyFont="1" applyFill="1" applyBorder="1" applyAlignment="1" applyProtection="1">
      <alignment/>
      <protection/>
    </xf>
    <xf numFmtId="178" fontId="3" fillId="8" borderId="0" xfId="0" applyNumberFormat="1" applyFont="1" applyFill="1" applyBorder="1" applyAlignment="1" applyProtection="1">
      <alignment horizontal="right"/>
      <protection/>
    </xf>
    <xf numFmtId="179" fontId="2" fillId="8" borderId="2" xfId="0" applyFont="1" applyFill="1" applyBorder="1" applyAlignment="1" applyProtection="1">
      <alignment horizontal="center"/>
      <protection/>
    </xf>
    <xf numFmtId="179" fontId="2" fillId="8" borderId="5" xfId="0" applyFont="1" applyFill="1" applyBorder="1" applyAlignment="1" applyProtection="1">
      <alignment horizontal="left"/>
      <protection/>
    </xf>
    <xf numFmtId="179" fontId="17" fillId="8" borderId="0" xfId="0" applyFont="1" applyFill="1" applyAlignment="1" applyProtection="1">
      <alignment/>
      <protection/>
    </xf>
    <xf numFmtId="179" fontId="0" fillId="12" borderId="0" xfId="0" applyFill="1" applyAlignment="1">
      <alignment/>
    </xf>
    <xf numFmtId="179" fontId="2" fillId="12" borderId="0" xfId="0" applyFont="1" applyFill="1" applyAlignment="1" applyProtection="1">
      <alignment/>
      <protection/>
    </xf>
    <xf numFmtId="179" fontId="16" fillId="12" borderId="0" xfId="0" applyFont="1" applyFill="1" applyAlignment="1" applyProtection="1">
      <alignment/>
      <protection/>
    </xf>
    <xf numFmtId="179" fontId="4" fillId="12" borderId="0" xfId="0" applyFont="1" applyFill="1" applyAlignment="1" applyProtection="1">
      <alignment/>
      <protection/>
    </xf>
    <xf numFmtId="179" fontId="2" fillId="12" borderId="8" xfId="0" applyFont="1" applyFill="1" applyBorder="1" applyAlignment="1" applyProtection="1">
      <alignment/>
      <protection/>
    </xf>
    <xf numFmtId="179" fontId="2" fillId="12" borderId="0" xfId="0" applyFont="1" applyFill="1" applyBorder="1" applyAlignment="1" applyProtection="1">
      <alignment/>
      <protection/>
    </xf>
    <xf numFmtId="179" fontId="3" fillId="12" borderId="0" xfId="0" applyFont="1" applyFill="1" applyAlignment="1" applyProtection="1">
      <alignment/>
      <protection/>
    </xf>
    <xf numFmtId="179" fontId="2" fillId="12" borderId="2" xfId="0" applyFont="1" applyFill="1" applyBorder="1" applyAlignment="1" applyProtection="1">
      <alignment/>
      <protection/>
    </xf>
    <xf numFmtId="179" fontId="10" fillId="12" borderId="8" xfId="0" applyFont="1" applyFill="1" applyBorder="1" applyAlignment="1" applyProtection="1">
      <alignment/>
      <protection/>
    </xf>
    <xf numFmtId="179" fontId="3" fillId="12" borderId="0" xfId="0" applyFont="1" applyFill="1" applyAlignment="1" applyProtection="1">
      <alignment horizontal="right"/>
      <protection/>
    </xf>
    <xf numFmtId="179" fontId="10" fillId="12" borderId="2" xfId="0" applyFont="1" applyFill="1" applyBorder="1" applyAlignment="1" applyProtection="1">
      <alignment horizontal="right"/>
      <protection/>
    </xf>
    <xf numFmtId="179" fontId="2" fillId="12" borderId="8" xfId="0" applyFont="1" applyFill="1" applyBorder="1" applyAlignment="1" applyProtection="1">
      <alignment horizontal="right"/>
      <protection/>
    </xf>
    <xf numFmtId="179" fontId="2" fillId="12" borderId="21" xfId="0" applyFont="1" applyFill="1" applyBorder="1" applyAlignment="1" applyProtection="1">
      <alignment/>
      <protection/>
    </xf>
    <xf numFmtId="179" fontId="10" fillId="12" borderId="8" xfId="0" applyFont="1" applyFill="1" applyBorder="1" applyAlignment="1" applyProtection="1">
      <alignment horizontal="right"/>
      <protection/>
    </xf>
    <xf numFmtId="179" fontId="2" fillId="12" borderId="0" xfId="0" applyFont="1" applyFill="1" applyBorder="1" applyAlignment="1" applyProtection="1">
      <alignment horizontal="center"/>
      <protection/>
    </xf>
    <xf numFmtId="179" fontId="2" fillId="12" borderId="14" xfId="0" applyFont="1" applyFill="1" applyBorder="1" applyAlignment="1" applyProtection="1">
      <alignment horizontal="right"/>
      <protection/>
    </xf>
    <xf numFmtId="179" fontId="3" fillId="12" borderId="8" xfId="0" applyFont="1" applyFill="1" applyBorder="1" applyAlignment="1" applyProtection="1">
      <alignment horizontal="right"/>
      <protection/>
    </xf>
    <xf numFmtId="179" fontId="2" fillId="12" borderId="5" xfId="0" applyFont="1" applyFill="1" applyBorder="1" applyAlignment="1" applyProtection="1">
      <alignment/>
      <protection/>
    </xf>
    <xf numFmtId="179" fontId="3" fillId="12" borderId="8" xfId="0" applyFont="1" applyFill="1" applyBorder="1" applyAlignment="1" applyProtection="1">
      <alignment/>
      <protection/>
    </xf>
    <xf numFmtId="179" fontId="2" fillId="12" borderId="0" xfId="0" applyFont="1" applyFill="1" applyAlignment="1" applyProtection="1">
      <alignment horizontal="center"/>
      <protection/>
    </xf>
    <xf numFmtId="179" fontId="3" fillId="12" borderId="0" xfId="0" applyFont="1" applyFill="1" applyBorder="1" applyAlignment="1" applyProtection="1" quotePrefix="1">
      <alignment horizontal="center"/>
      <protection/>
    </xf>
    <xf numFmtId="179" fontId="2" fillId="12" borderId="0" xfId="0" applyFont="1" applyFill="1" applyAlignment="1" applyProtection="1" quotePrefix="1">
      <alignment/>
      <protection/>
    </xf>
    <xf numFmtId="179" fontId="41" fillId="12" borderId="0" xfId="0" applyFont="1" applyFill="1" applyAlignment="1" applyProtection="1">
      <alignment horizontal="right"/>
      <protection/>
    </xf>
    <xf numFmtId="179" fontId="17" fillId="12" borderId="0" xfId="0" applyFont="1" applyFill="1" applyAlignment="1" applyProtection="1">
      <alignment/>
      <protection/>
    </xf>
    <xf numFmtId="179" fontId="8" fillId="12" borderId="0" xfId="0" applyFont="1" applyFill="1" applyAlignment="1" applyProtection="1">
      <alignment horizontal="center"/>
      <protection/>
    </xf>
    <xf numFmtId="179" fontId="3" fillId="12" borderId="0" xfId="0" applyFont="1" applyFill="1" applyAlignment="1" applyProtection="1" quotePrefix="1">
      <alignment horizontal="right"/>
      <protection/>
    </xf>
    <xf numFmtId="179" fontId="16" fillId="12" borderId="0" xfId="0" applyFont="1" applyFill="1" applyAlignment="1" applyProtection="1">
      <alignment horizontal="right"/>
      <protection/>
    </xf>
    <xf numFmtId="179" fontId="11" fillId="12" borderId="0" xfId="0" applyFont="1" applyFill="1" applyAlignment="1" applyProtection="1">
      <alignment/>
      <protection/>
    </xf>
    <xf numFmtId="179" fontId="2" fillId="12" borderId="0" xfId="0" applyFont="1" applyFill="1" applyAlignment="1" applyProtection="1">
      <alignment horizontal="right"/>
      <protection/>
    </xf>
    <xf numFmtId="179" fontId="43" fillId="12" borderId="0" xfId="0" applyFont="1" applyFill="1" applyAlignment="1" applyProtection="1">
      <alignment horizontal="center"/>
      <protection/>
    </xf>
    <xf numFmtId="179" fontId="4" fillId="12" borderId="0" xfId="0" applyFont="1" applyFill="1" applyAlignment="1" applyProtection="1">
      <alignment horizontal="right"/>
      <protection/>
    </xf>
    <xf numFmtId="179" fontId="16" fillId="12" borderId="0" xfId="0" applyFont="1" applyFill="1" applyAlignment="1" applyProtection="1">
      <alignment horizontal="left"/>
      <protection/>
    </xf>
    <xf numFmtId="179" fontId="16" fillId="12" borderId="0" xfId="0" applyFont="1" applyFill="1" applyAlignment="1" applyProtection="1">
      <alignment horizontal="center"/>
      <protection/>
    </xf>
    <xf numFmtId="179" fontId="2" fillId="12" borderId="4" xfId="0" applyFont="1" applyFill="1" applyBorder="1" applyAlignment="1" applyProtection="1">
      <alignment/>
      <protection/>
    </xf>
    <xf numFmtId="179" fontId="2" fillId="12" borderId="3" xfId="0" applyFont="1" applyFill="1" applyBorder="1" applyAlignment="1" applyProtection="1">
      <alignment/>
      <protection/>
    </xf>
    <xf numFmtId="179" fontId="3" fillId="12" borderId="3" xfId="0" applyFont="1" applyFill="1" applyBorder="1" applyAlignment="1" applyProtection="1">
      <alignment/>
      <protection/>
    </xf>
    <xf numFmtId="179" fontId="2" fillId="12" borderId="1" xfId="0" applyFont="1" applyFill="1" applyBorder="1" applyAlignment="1" applyProtection="1">
      <alignment/>
      <protection/>
    </xf>
    <xf numFmtId="179" fontId="3" fillId="12" borderId="1" xfId="0" applyFont="1" applyFill="1" applyBorder="1" applyAlignment="1" applyProtection="1">
      <alignment/>
      <protection/>
    </xf>
    <xf numFmtId="179" fontId="3" fillId="12" borderId="0" xfId="0" applyFont="1" applyFill="1" applyBorder="1" applyAlignment="1" applyProtection="1">
      <alignment/>
      <protection/>
    </xf>
    <xf numFmtId="179" fontId="2" fillId="12" borderId="0" xfId="0" applyFont="1" applyFill="1" applyBorder="1" applyAlignment="1" applyProtection="1">
      <alignment horizontal="right"/>
      <protection/>
    </xf>
    <xf numFmtId="179" fontId="2" fillId="12" borderId="1" xfId="0" applyFont="1" applyFill="1" applyBorder="1" applyAlignment="1" applyProtection="1">
      <alignment horizontal="right"/>
      <protection/>
    </xf>
    <xf numFmtId="179" fontId="3" fillId="12" borderId="0" xfId="0" applyFont="1" applyFill="1" applyBorder="1" applyAlignment="1" applyProtection="1">
      <alignment horizontal="right"/>
      <protection/>
    </xf>
    <xf numFmtId="179" fontId="3" fillId="12" borderId="1" xfId="0" applyFont="1" applyFill="1" applyBorder="1" applyAlignment="1" applyProtection="1">
      <alignment horizontal="right"/>
      <protection/>
    </xf>
    <xf numFmtId="178" fontId="3" fillId="12" borderId="0" xfId="0" applyNumberFormat="1" applyFont="1" applyFill="1" applyAlignment="1" applyProtection="1">
      <alignment/>
      <protection/>
    </xf>
    <xf numFmtId="179" fontId="2" fillId="12" borderId="7" xfId="0" applyFont="1" applyFill="1" applyBorder="1" applyAlignment="1" applyProtection="1">
      <alignment/>
      <protection/>
    </xf>
    <xf numFmtId="178" fontId="3" fillId="12" borderId="7" xfId="0" applyNumberFormat="1" applyFont="1" applyFill="1" applyBorder="1" applyAlignment="1" applyProtection="1">
      <alignment horizontal="center"/>
      <protection/>
    </xf>
    <xf numFmtId="197" fontId="0" fillId="2" borderId="0" xfId="0" applyNumberFormat="1" applyBorder="1" applyAlignment="1" quotePrefix="1">
      <alignment/>
    </xf>
    <xf numFmtId="179" fontId="38" fillId="12" borderId="0" xfId="0" applyFont="1" applyFill="1" applyAlignment="1">
      <alignment/>
    </xf>
    <xf numFmtId="179" fontId="0" fillId="12" borderId="0" xfId="0" applyFont="1" applyFill="1" applyAlignment="1">
      <alignment/>
    </xf>
    <xf numFmtId="179" fontId="0" fillId="12" borderId="8" xfId="0" applyFont="1" applyFill="1" applyBorder="1" applyAlignment="1">
      <alignment/>
    </xf>
    <xf numFmtId="179" fontId="0" fillId="12" borderId="2" xfId="0" applyFont="1" applyFill="1" applyBorder="1" applyAlignment="1">
      <alignment/>
    </xf>
    <xf numFmtId="179" fontId="2" fillId="12" borderId="1" xfId="0" applyFont="1" applyFill="1" applyBorder="1" applyAlignment="1" applyProtection="1">
      <alignment horizontal="left"/>
      <protection/>
    </xf>
    <xf numFmtId="179" fontId="2" fillId="12" borderId="0" xfId="0" applyFont="1" applyFill="1" applyAlignment="1" applyProtection="1">
      <alignment horizontal="left"/>
      <protection/>
    </xf>
    <xf numFmtId="179" fontId="3" fillId="12" borderId="2" xfId="0" applyFont="1" applyFill="1" applyBorder="1" applyAlignment="1" applyProtection="1">
      <alignment horizontal="right"/>
      <protection/>
    </xf>
    <xf numFmtId="197" fontId="2" fillId="3" borderId="8" xfId="0" applyNumberFormat="1" applyFont="1" applyFill="1" applyBorder="1" applyAlignment="1" applyProtection="1">
      <alignment/>
      <protection/>
    </xf>
    <xf numFmtId="197" fontId="2" fillId="2" borderId="2" xfId="0" applyNumberFormat="1" applyFont="1" applyFill="1" applyBorder="1" applyAlignment="1" applyProtection="1">
      <alignment/>
      <protection locked="0"/>
    </xf>
    <xf numFmtId="179" fontId="0" fillId="0" borderId="9" xfId="0" applyFill="1" applyBorder="1" applyAlignment="1" applyProtection="1">
      <alignment/>
      <protection locked="0"/>
    </xf>
    <xf numFmtId="49" fontId="4" fillId="2" borderId="0" xfId="22" applyNumberFormat="1" applyFont="1" applyFill="1" applyBorder="1" applyAlignment="1" applyProtection="1">
      <alignment horizontal="right" vertical="center"/>
      <protection locked="0"/>
    </xf>
    <xf numFmtId="49" fontId="4" fillId="2" borderId="3" xfId="22" applyNumberFormat="1" applyFont="1" applyFill="1" applyBorder="1" applyAlignment="1" applyProtection="1">
      <alignment horizontal="right" vertical="center"/>
      <protection locked="0"/>
    </xf>
    <xf numFmtId="49" fontId="4" fillId="2" borderId="20" xfId="22" applyNumberFormat="1" applyFont="1" applyFill="1" applyBorder="1" applyAlignment="1" applyProtection="1">
      <alignment horizontal="right" vertical="center"/>
      <protection locked="0"/>
    </xf>
    <xf numFmtId="197" fontId="4" fillId="2" borderId="0" xfId="22" applyNumberFormat="1" applyFont="1" applyFill="1" applyBorder="1" applyAlignment="1" applyProtection="1">
      <alignment horizontal="right"/>
      <protection locked="0"/>
    </xf>
    <xf numFmtId="197" fontId="4" fillId="2" borderId="3" xfId="22" applyNumberFormat="1" applyFont="1" applyFill="1" applyBorder="1" applyAlignment="1" applyProtection="1">
      <alignment horizontal="right"/>
      <protection locked="0"/>
    </xf>
    <xf numFmtId="197" fontId="4" fillId="2" borderId="20" xfId="22" applyNumberFormat="1" applyFont="1" applyFill="1" applyBorder="1" applyAlignment="1" applyProtection="1">
      <alignment horizontal="right"/>
      <protection locked="0"/>
    </xf>
    <xf numFmtId="197" fontId="4" fillId="2" borderId="0" xfId="22" applyNumberFormat="1" applyFont="1" applyFill="1" applyBorder="1" applyAlignment="1" applyProtection="1">
      <alignment horizontal="right" vertical="center"/>
      <protection locked="0"/>
    </xf>
    <xf numFmtId="197" fontId="4" fillId="2" borderId="3" xfId="22" applyNumberFormat="1" applyFont="1" applyFill="1" applyBorder="1" applyAlignment="1" applyProtection="1">
      <alignment horizontal="right" vertical="center"/>
      <protection locked="0"/>
    </xf>
    <xf numFmtId="197" fontId="4" fillId="2" borderId="20" xfId="22" applyNumberFormat="1" applyFont="1" applyFill="1" applyBorder="1" applyAlignment="1" applyProtection="1">
      <alignment horizontal="right" vertical="center"/>
      <protection locked="0"/>
    </xf>
    <xf numFmtId="179" fontId="2" fillId="0" borderId="0" xfId="0" applyNumberFormat="1" applyFont="1" applyFill="1" applyBorder="1" applyAlignment="1" applyProtection="1">
      <alignment/>
      <protection/>
    </xf>
    <xf numFmtId="0" fontId="20" fillId="2" borderId="11" xfId="24" applyFont="1" applyFill="1" applyBorder="1" applyAlignment="1" applyProtection="1">
      <alignment horizontal="center" vertical="center"/>
      <protection locked="0"/>
    </xf>
    <xf numFmtId="187" fontId="10" fillId="8" borderId="0" xfId="0" applyNumberFormat="1" applyFont="1" applyFill="1" applyAlignment="1" applyProtection="1">
      <alignment/>
      <protection/>
    </xf>
    <xf numFmtId="179" fontId="10" fillId="8" borderId="0" xfId="0" applyFont="1" applyFill="1" applyAlignment="1" applyProtection="1">
      <alignment/>
      <protection/>
    </xf>
    <xf numFmtId="0" fontId="24" fillId="8" borderId="8" xfId="24" applyFont="1" applyFill="1" applyBorder="1" applyAlignment="1" applyProtection="1">
      <alignment horizontal="left" vertical="center"/>
      <protection/>
    </xf>
    <xf numFmtId="179" fontId="3" fillId="12" borderId="0" xfId="0" applyFont="1" applyFill="1" applyAlignment="1" applyProtection="1" quotePrefix="1">
      <alignment horizontal="center" vertical="center"/>
      <protection/>
    </xf>
    <xf numFmtId="179" fontId="3" fillId="12" borderId="0" xfId="0" applyFont="1" applyFill="1" applyAlignment="1" applyProtection="1">
      <alignment horizontal="right" vertical="center"/>
      <protection/>
    </xf>
    <xf numFmtId="179" fontId="3" fillId="12" borderId="0" xfId="0" applyFont="1" applyFill="1" applyAlignment="1" applyProtection="1" quotePrefix="1">
      <alignment horizontal="right" vertical="center"/>
      <protection/>
    </xf>
    <xf numFmtId="179" fontId="2" fillId="12" borderId="8" xfId="0" applyFont="1" applyFill="1" applyBorder="1" applyAlignment="1" applyProtection="1">
      <alignment vertical="center"/>
      <protection/>
    </xf>
    <xf numFmtId="179" fontId="8" fillId="12" borderId="8" xfId="0" applyFont="1" applyFill="1" applyBorder="1" applyAlignment="1" applyProtection="1">
      <alignment horizontal="center"/>
      <protection/>
    </xf>
    <xf numFmtId="179" fontId="2" fillId="12" borderId="2" xfId="0" applyFont="1" applyFill="1" applyBorder="1" applyAlignment="1" applyProtection="1">
      <alignment vertical="center"/>
      <protection/>
    </xf>
    <xf numFmtId="179" fontId="8" fillId="12" borderId="2" xfId="0" applyFont="1" applyFill="1" applyBorder="1" applyAlignment="1" applyProtection="1">
      <alignment horizontal="center"/>
      <protection/>
    </xf>
    <xf numFmtId="179" fontId="2" fillId="12" borderId="0" xfId="0" applyFont="1" applyFill="1" applyAlignment="1" applyProtection="1">
      <alignment vertical="center"/>
      <protection/>
    </xf>
    <xf numFmtId="179" fontId="4" fillId="12" borderId="0" xfId="0" applyFont="1" applyFill="1" applyAlignment="1" applyProtection="1">
      <alignment vertical="center"/>
      <protection/>
    </xf>
    <xf numFmtId="179" fontId="2" fillId="12" borderId="5" xfId="0" applyFont="1" applyFill="1" applyBorder="1" applyAlignment="1" applyProtection="1">
      <alignment vertical="center"/>
      <protection/>
    </xf>
    <xf numFmtId="179" fontId="8" fillId="12" borderId="5" xfId="0" applyFont="1" applyFill="1" applyBorder="1" applyAlignment="1" applyProtection="1">
      <alignment horizontal="center"/>
      <protection/>
    </xf>
    <xf numFmtId="179" fontId="3" fillId="12" borderId="0" xfId="0" applyFont="1" applyFill="1" applyAlignment="1" applyProtection="1">
      <alignment vertical="center"/>
      <protection/>
    </xf>
    <xf numFmtId="179" fontId="8" fillId="12" borderId="0" xfId="0" applyFont="1" applyFill="1" applyAlignment="1" applyProtection="1">
      <alignment horizontal="center" vertical="center"/>
      <protection/>
    </xf>
    <xf numFmtId="179" fontId="8" fillId="12" borderId="8" xfId="0" applyFont="1" applyFill="1" applyBorder="1" applyAlignment="1" applyProtection="1">
      <alignment horizontal="center" vertical="center"/>
      <protection/>
    </xf>
    <xf numFmtId="179" fontId="8" fillId="12" borderId="2" xfId="0" applyFont="1" applyFill="1" applyBorder="1" applyAlignment="1" applyProtection="1">
      <alignment horizontal="center" vertical="center"/>
      <protection/>
    </xf>
    <xf numFmtId="179" fontId="8" fillId="12" borderId="5" xfId="0" applyFont="1" applyFill="1" applyBorder="1" applyAlignment="1" applyProtection="1">
      <alignment horizontal="center" vertical="center"/>
      <protection/>
    </xf>
    <xf numFmtId="179" fontId="10" fillId="12" borderId="0" xfId="0" applyFont="1" applyFill="1" applyAlignment="1" applyProtection="1">
      <alignment vertical="center"/>
      <protection/>
    </xf>
    <xf numFmtId="179" fontId="2" fillId="12" borderId="0" xfId="0" applyFont="1" applyFill="1" applyAlignment="1" applyProtection="1">
      <alignment horizontal="right" vertical="center"/>
      <protection/>
    </xf>
    <xf numFmtId="179" fontId="2" fillId="12" borderId="0" xfId="0" applyFont="1" applyFill="1" applyBorder="1" applyAlignment="1" applyProtection="1">
      <alignment vertical="center"/>
      <protection/>
    </xf>
    <xf numFmtId="197" fontId="2" fillId="2" borderId="5" xfId="0" applyNumberFormat="1" applyFont="1" applyFill="1" applyBorder="1" applyAlignment="1" applyProtection="1">
      <alignment/>
      <protection locked="0"/>
    </xf>
    <xf numFmtId="178" fontId="9" fillId="6" borderId="8" xfId="0" applyNumberFormat="1" applyFont="1" applyFill="1" applyBorder="1" applyAlignment="1" applyProtection="1" quotePrefix="1">
      <alignment horizontal="center"/>
      <protection/>
    </xf>
    <xf numFmtId="1" fontId="2" fillId="2" borderId="8" xfId="0" applyNumberFormat="1" applyFont="1" applyFill="1" applyBorder="1" applyAlignment="1" applyProtection="1">
      <alignment horizontal="center"/>
      <protection locked="0"/>
    </xf>
    <xf numFmtId="1" fontId="0" fillId="2" borderId="8" xfId="0" applyNumberFormat="1" applyFill="1" applyBorder="1" applyAlignment="1" applyProtection="1">
      <alignment horizontal="center"/>
      <protection locked="0"/>
    </xf>
    <xf numFmtId="200" fontId="7" fillId="2" borderId="8" xfId="0" applyNumberFormat="1" applyFont="1" applyFill="1" applyBorder="1" applyAlignment="1" applyProtection="1">
      <alignment horizontal="center" shrinkToFit="1"/>
      <protection locked="0"/>
    </xf>
    <xf numFmtId="49" fontId="29" fillId="2" borderId="11" xfId="0" applyNumberFormat="1" applyFont="1" applyFill="1" applyBorder="1" applyAlignment="1" applyProtection="1">
      <alignment horizontal="center" vertical="center"/>
      <protection locked="0"/>
    </xf>
    <xf numFmtId="192" fontId="4" fillId="2" borderId="0" xfId="22" applyNumberFormat="1" applyFont="1" applyFill="1" applyBorder="1" applyAlignment="1" applyProtection="1">
      <alignment horizontal="right"/>
      <protection locked="0"/>
    </xf>
    <xf numFmtId="192" fontId="4" fillId="2" borderId="3" xfId="22" applyNumberFormat="1" applyFont="1" applyFill="1" applyBorder="1" applyAlignment="1" applyProtection="1">
      <alignment horizontal="right"/>
      <protection locked="0"/>
    </xf>
    <xf numFmtId="192" fontId="4" fillId="2" borderId="20" xfId="22" applyNumberFormat="1" applyFont="1" applyFill="1" applyBorder="1" applyAlignment="1" applyProtection="1">
      <alignment horizontal="right"/>
      <protection locked="0"/>
    </xf>
    <xf numFmtId="49" fontId="4" fillId="8" borderId="2" xfId="22" applyNumberFormat="1" applyFont="1" applyFill="1" applyBorder="1" applyAlignment="1" applyProtection="1">
      <alignment horizontal="center" vertical="center"/>
      <protection/>
    </xf>
    <xf numFmtId="49" fontId="7" fillId="8" borderId="2" xfId="22" applyNumberFormat="1" applyFont="1" applyFill="1" applyBorder="1" applyAlignment="1" applyProtection="1">
      <alignment horizontal="center" vertical="center"/>
      <protection/>
    </xf>
    <xf numFmtId="49" fontId="7" fillId="8" borderId="22" xfId="22" applyNumberFormat="1" applyFont="1" applyFill="1" applyBorder="1" applyAlignment="1" applyProtection="1">
      <alignment horizontal="center" vertical="center"/>
      <protection/>
    </xf>
    <xf numFmtId="179" fontId="26" fillId="8" borderId="22" xfId="22" applyFont="1" applyFill="1" applyBorder="1" applyAlignment="1" applyProtection="1">
      <alignment horizontal="left"/>
      <protection/>
    </xf>
    <xf numFmtId="179" fontId="4" fillId="8" borderId="22" xfId="22" applyFont="1" applyFill="1" applyBorder="1" applyAlignment="1" applyProtection="1">
      <alignment horizontal="center"/>
      <protection/>
    </xf>
    <xf numFmtId="179" fontId="7" fillId="8" borderId="22" xfId="22" applyFont="1" applyFill="1" applyBorder="1" applyProtection="1">
      <alignment/>
      <protection/>
    </xf>
    <xf numFmtId="49" fontId="4" fillId="8" borderId="8" xfId="22" applyNumberFormat="1" applyFont="1" applyFill="1" applyBorder="1" applyAlignment="1" applyProtection="1">
      <alignment horizontal="center" vertical="center"/>
      <protection/>
    </xf>
    <xf numFmtId="49" fontId="7" fillId="8" borderId="8" xfId="22" applyNumberFormat="1" applyFont="1" applyFill="1" applyBorder="1" applyAlignment="1" applyProtection="1">
      <alignment horizontal="center" vertical="center"/>
      <protection/>
    </xf>
    <xf numFmtId="179" fontId="26" fillId="8" borderId="15" xfId="22" applyFont="1" applyFill="1" applyBorder="1" applyAlignment="1" applyProtection="1">
      <alignment horizontal="left"/>
      <protection/>
    </xf>
    <xf numFmtId="49" fontId="7" fillId="8" borderId="15" xfId="22" applyNumberFormat="1" applyFont="1" applyFill="1" applyBorder="1" applyAlignment="1" applyProtection="1">
      <alignment horizontal="center" vertical="center"/>
      <protection/>
    </xf>
    <xf numFmtId="179" fontId="4" fillId="8" borderId="15" xfId="22" applyFont="1" applyFill="1" applyBorder="1" applyAlignment="1" applyProtection="1">
      <alignment horizontal="center"/>
      <protection/>
    </xf>
    <xf numFmtId="49" fontId="7" fillId="8" borderId="0" xfId="22" applyNumberFormat="1" applyFont="1" applyFill="1" applyBorder="1" applyAlignment="1" applyProtection="1">
      <alignment horizontal="center" vertical="center" wrapText="1"/>
      <protection/>
    </xf>
    <xf numFmtId="179" fontId="51" fillId="8" borderId="0" xfId="20" applyFill="1" applyBorder="1" applyAlignment="1" applyProtection="1">
      <alignment/>
      <protection/>
    </xf>
    <xf numFmtId="1" fontId="7" fillId="8" borderId="0" xfId="22" applyNumberFormat="1" applyFont="1" applyFill="1" applyBorder="1" applyAlignment="1" applyProtection="1">
      <alignment horizontal="center" vertical="center"/>
      <protection/>
    </xf>
    <xf numFmtId="1" fontId="26" fillId="8" borderId="0" xfId="22" applyNumberFormat="1" applyFont="1" applyFill="1" applyAlignment="1" applyProtection="1">
      <alignment horizontal="left"/>
      <protection/>
    </xf>
    <xf numFmtId="1" fontId="4" fillId="8" borderId="0" xfId="22" applyNumberFormat="1" applyFont="1" applyFill="1" applyBorder="1" applyAlignment="1" applyProtection="1">
      <alignment horizontal="center"/>
      <protection/>
    </xf>
    <xf numFmtId="1" fontId="7" fillId="8" borderId="0" xfId="22" applyNumberFormat="1" applyFont="1" applyFill="1" applyBorder="1" applyProtection="1">
      <alignment/>
      <protection/>
    </xf>
    <xf numFmtId="179" fontId="15" fillId="8" borderId="0" xfId="22" applyFont="1" applyFill="1" applyAlignment="1" applyProtection="1">
      <alignment horizontal="left"/>
      <protection/>
    </xf>
    <xf numFmtId="49" fontId="2" fillId="8" borderId="22" xfId="22" applyNumberFormat="1" applyFont="1" applyFill="1" applyBorder="1" applyAlignment="1" applyProtection="1">
      <alignment horizontal="center" vertical="center"/>
      <protection/>
    </xf>
    <xf numFmtId="49" fontId="4" fillId="8" borderId="5" xfId="22" applyNumberFormat="1" applyFont="1" applyFill="1" applyBorder="1" applyAlignment="1" applyProtection="1">
      <alignment horizontal="center" vertical="center"/>
      <protection/>
    </xf>
    <xf numFmtId="49" fontId="7" fillId="8" borderId="5" xfId="22" applyNumberFormat="1" applyFont="1" applyFill="1" applyBorder="1" applyAlignment="1" applyProtection="1">
      <alignment horizontal="center" vertical="center"/>
      <protection/>
    </xf>
    <xf numFmtId="49" fontId="4" fillId="8" borderId="0" xfId="22" applyNumberFormat="1" applyFont="1" applyFill="1" applyBorder="1" applyAlignment="1" applyProtection="1">
      <alignment horizontal="center" vertical="center"/>
      <protection/>
    </xf>
    <xf numFmtId="197" fontId="31" fillId="2" borderId="13" xfId="22" applyNumberFormat="1" applyFont="1" applyFill="1" applyBorder="1" applyProtection="1">
      <alignment/>
      <protection locked="0"/>
    </xf>
    <xf numFmtId="197" fontId="31" fillId="2" borderId="11" xfId="22" applyNumberFormat="1" applyFont="1" applyFill="1" applyBorder="1" applyProtection="1">
      <alignment/>
      <protection locked="0"/>
    </xf>
    <xf numFmtId="2" fontId="31" fillId="2" borderId="11" xfId="22" applyNumberFormat="1" applyFont="1" applyFill="1" applyBorder="1" applyAlignment="1" applyProtection="1">
      <alignment vertical="center"/>
      <protection locked="0"/>
    </xf>
    <xf numFmtId="179" fontId="4" fillId="8" borderId="23" xfId="22" applyFont="1" applyFill="1" applyBorder="1" applyAlignment="1" applyProtection="1">
      <alignment horizontal="center" vertical="center" wrapText="1"/>
      <protection/>
    </xf>
    <xf numFmtId="49" fontId="7" fillId="8" borderId="24" xfId="22" applyNumberFormat="1" applyFont="1" applyFill="1" applyBorder="1" applyAlignment="1" applyProtection="1">
      <alignment horizontal="center" vertical="center"/>
      <protection/>
    </xf>
    <xf numFmtId="49" fontId="7" fillId="8" borderId="25" xfId="22" applyNumberFormat="1" applyFont="1" applyFill="1" applyBorder="1" applyAlignment="1" applyProtection="1">
      <alignment horizontal="center" vertical="center"/>
      <protection/>
    </xf>
    <xf numFmtId="49" fontId="4" fillId="8" borderId="26" xfId="22" applyNumberFormat="1" applyFont="1" applyFill="1" applyBorder="1" applyAlignment="1" applyProtection="1">
      <alignment horizontal="center" vertical="center"/>
      <protection/>
    </xf>
    <xf numFmtId="49" fontId="4" fillId="8" borderId="27" xfId="22" applyNumberFormat="1" applyFont="1" applyFill="1" applyBorder="1" applyAlignment="1" applyProtection="1">
      <alignment horizontal="center" vertical="center"/>
      <protection/>
    </xf>
    <xf numFmtId="179" fontId="4" fillId="8" borderId="0" xfId="22" applyFont="1" applyFill="1" applyAlignment="1" applyProtection="1">
      <alignment horizontal="left"/>
      <protection/>
    </xf>
    <xf numFmtId="197" fontId="4" fillId="2" borderId="8" xfId="22" applyNumberFormat="1" applyFont="1" applyFill="1" applyBorder="1" applyAlignment="1" applyProtection="1">
      <alignment horizontal="right" vertical="center"/>
      <protection locked="0"/>
    </xf>
    <xf numFmtId="197" fontId="4" fillId="2" borderId="9" xfId="22" applyNumberFormat="1" applyFont="1" applyFill="1" applyBorder="1" applyAlignment="1" applyProtection="1">
      <alignment horizontal="right" vertical="center"/>
      <protection locked="0"/>
    </xf>
    <xf numFmtId="197" fontId="4" fillId="2" borderId="13" xfId="22" applyNumberFormat="1" applyFont="1" applyFill="1" applyBorder="1" applyAlignment="1" applyProtection="1">
      <alignment horizontal="right" vertical="center"/>
      <protection locked="0"/>
    </xf>
    <xf numFmtId="197" fontId="31" fillId="8" borderId="5" xfId="22" applyNumberFormat="1" applyFont="1" applyFill="1" applyBorder="1" applyProtection="1">
      <alignment/>
      <protection/>
    </xf>
    <xf numFmtId="179" fontId="4" fillId="8" borderId="0" xfId="22" applyFont="1" applyFill="1" applyProtection="1">
      <alignment/>
      <protection/>
    </xf>
    <xf numFmtId="197" fontId="4" fillId="2" borderId="7" xfId="22" applyNumberFormat="1" applyFont="1" applyFill="1" applyBorder="1" applyAlignment="1" applyProtection="1">
      <alignment horizontal="right" vertical="center"/>
      <protection locked="0"/>
    </xf>
    <xf numFmtId="179" fontId="4" fillId="8" borderId="0" xfId="22" applyFont="1" applyFill="1" applyBorder="1" applyAlignment="1" applyProtection="1">
      <alignment horizontal="center" vertical="center" wrapText="1"/>
      <protection/>
    </xf>
    <xf numFmtId="197" fontId="31" fillId="8" borderId="0" xfId="22" applyNumberFormat="1" applyFont="1" applyFill="1" applyBorder="1" applyProtection="1">
      <alignment/>
      <protection/>
    </xf>
    <xf numFmtId="49" fontId="4" fillId="8" borderId="0" xfId="22" applyNumberFormat="1" applyFont="1" applyFill="1" applyBorder="1" applyAlignment="1" applyProtection="1">
      <alignment horizontal="left" vertical="center"/>
      <protection/>
    </xf>
    <xf numFmtId="49" fontId="7" fillId="8" borderId="0" xfId="22" applyNumberFormat="1" applyFont="1" applyFill="1" applyBorder="1" applyAlignment="1" applyProtection="1">
      <alignment horizontal="left" vertical="center"/>
      <protection/>
    </xf>
    <xf numFmtId="49" fontId="7" fillId="8" borderId="8" xfId="22" applyNumberFormat="1" applyFont="1" applyFill="1" applyBorder="1" applyAlignment="1" applyProtection="1">
      <alignment horizontal="left" vertical="center"/>
      <protection/>
    </xf>
    <xf numFmtId="197" fontId="31" fillId="3" borderId="8" xfId="22" applyNumberFormat="1" applyFont="1" applyFill="1" applyBorder="1" applyProtection="1">
      <alignment/>
      <protection/>
    </xf>
    <xf numFmtId="197" fontId="31" fillId="8" borderId="0" xfId="22" applyNumberFormat="1" applyFont="1" applyFill="1" applyBorder="1" applyProtection="1" quotePrefix="1">
      <alignment/>
      <protection/>
    </xf>
    <xf numFmtId="197" fontId="31" fillId="3" borderId="28" xfId="22" applyNumberFormat="1" applyFont="1" applyFill="1" applyBorder="1" applyProtection="1">
      <alignment/>
      <protection/>
    </xf>
    <xf numFmtId="9" fontId="4" fillId="2" borderId="7" xfId="22" applyNumberFormat="1" applyFont="1" applyFill="1" applyBorder="1" applyAlignment="1" applyProtection="1">
      <alignment horizontal="right" vertical="center"/>
      <protection locked="0"/>
    </xf>
    <xf numFmtId="197" fontId="31" fillId="8" borderId="0" xfId="22" applyNumberFormat="1" applyFont="1" applyFill="1" applyBorder="1" applyAlignment="1" applyProtection="1" quotePrefix="1">
      <alignment horizontal="center"/>
      <protection/>
    </xf>
    <xf numFmtId="49" fontId="7" fillId="8" borderId="0" xfId="22" applyNumberFormat="1" applyFont="1" applyFill="1" applyBorder="1" applyAlignment="1" applyProtection="1">
      <alignment horizontal="right" vertical="center"/>
      <protection/>
    </xf>
    <xf numFmtId="2" fontId="31" fillId="8" borderId="0" xfId="22" applyNumberFormat="1" applyFont="1" applyFill="1" applyBorder="1" applyAlignment="1" applyProtection="1">
      <alignment vertical="center"/>
      <protection/>
    </xf>
    <xf numFmtId="179" fontId="2" fillId="8" borderId="0" xfId="22" applyFont="1" applyFill="1" applyAlignment="1" applyProtection="1">
      <alignment horizontal="center"/>
      <protection/>
    </xf>
    <xf numFmtId="179" fontId="4" fillId="8" borderId="0" xfId="22" applyFont="1" applyFill="1" applyBorder="1" applyAlignment="1" applyProtection="1">
      <alignment horizontal="right" vertical="center" wrapText="1"/>
      <protection/>
    </xf>
    <xf numFmtId="179" fontId="2" fillId="8" borderId="0" xfId="22" applyFont="1" applyFill="1" applyAlignment="1" applyProtection="1">
      <alignment horizontal="right"/>
      <protection/>
    </xf>
    <xf numFmtId="179" fontId="7" fillId="8" borderId="0" xfId="22" applyFont="1" applyFill="1" applyAlignment="1" applyProtection="1">
      <alignment horizontal="left"/>
      <protection/>
    </xf>
    <xf numFmtId="197" fontId="4" fillId="2" borderId="7" xfId="22" applyNumberFormat="1" applyFont="1" applyFill="1" applyBorder="1" applyAlignment="1" applyProtection="1">
      <alignment horizontal="left" vertical="center"/>
      <protection locked="0"/>
    </xf>
    <xf numFmtId="1" fontId="4" fillId="2" borderId="7" xfId="22" applyNumberFormat="1" applyFont="1" applyFill="1" applyBorder="1" applyAlignment="1" applyProtection="1">
      <alignment horizontal="right" vertical="center"/>
      <protection locked="0"/>
    </xf>
    <xf numFmtId="197" fontId="31" fillId="8" borderId="11" xfId="22" applyNumberFormat="1" applyFont="1" applyFill="1" applyBorder="1" applyProtection="1">
      <alignment/>
      <protection/>
    </xf>
    <xf numFmtId="179" fontId="24" fillId="8" borderId="0" xfId="22" applyFont="1" applyFill="1" applyAlignment="1" applyProtection="1">
      <alignment horizontal="left"/>
      <protection/>
    </xf>
    <xf numFmtId="179" fontId="0" fillId="2" borderId="0" xfId="0" applyAlignment="1">
      <alignment horizontal="left"/>
    </xf>
    <xf numFmtId="179" fontId="54" fillId="8" borderId="0" xfId="0" applyFont="1" applyFill="1" applyAlignment="1" applyProtection="1">
      <alignment horizontal="left"/>
      <protection/>
    </xf>
    <xf numFmtId="197" fontId="31" fillId="8" borderId="13" xfId="22" applyNumberFormat="1" applyFont="1" applyFill="1" applyBorder="1" applyProtection="1">
      <alignment/>
      <protection/>
    </xf>
    <xf numFmtId="197" fontId="2" fillId="3" borderId="8" xfId="28" applyNumberFormat="1" applyBorder="1" applyProtection="1">
      <alignment/>
      <protection/>
    </xf>
    <xf numFmtId="197" fontId="31" fillId="2" borderId="14" xfId="22" applyNumberFormat="1" applyFont="1" applyFill="1" applyBorder="1" applyAlignment="1" applyProtection="1">
      <alignment horizontal="left" wrapText="1"/>
      <protection locked="0"/>
    </xf>
    <xf numFmtId="197" fontId="31" fillId="8" borderId="11" xfId="22" applyNumberFormat="1" applyFont="1" applyFill="1" applyBorder="1" applyAlignment="1" applyProtection="1">
      <alignment horizontal="left"/>
      <protection/>
    </xf>
    <xf numFmtId="179" fontId="38" fillId="8" borderId="2" xfId="0" applyFont="1" applyFill="1" applyBorder="1" applyAlignment="1">
      <alignment horizontal="center" wrapText="1"/>
    </xf>
    <xf numFmtId="179" fontId="38" fillId="8" borderId="14" xfId="0" applyFont="1" applyFill="1" applyBorder="1" applyAlignment="1">
      <alignment horizontal="center" wrapText="1"/>
    </xf>
    <xf numFmtId="179" fontId="31" fillId="8" borderId="0" xfId="0" applyFont="1" applyFill="1" applyAlignment="1">
      <alignment horizontal="center"/>
    </xf>
    <xf numFmtId="179" fontId="0" fillId="8" borderId="21" xfId="0" applyFill="1" applyBorder="1" applyAlignment="1">
      <alignment/>
    </xf>
    <xf numFmtId="179" fontId="0" fillId="8" borderId="8" xfId="0" applyFill="1" applyBorder="1" applyAlignment="1">
      <alignment horizontal="center"/>
    </xf>
    <xf numFmtId="179" fontId="0" fillId="8" borderId="2" xfId="0" applyFill="1" applyBorder="1" applyAlignment="1">
      <alignment horizontal="center"/>
    </xf>
    <xf numFmtId="179" fontId="38" fillId="8" borderId="2" xfId="0" applyFont="1" applyFill="1" applyBorder="1" applyAlignment="1">
      <alignment horizontal="center" vertical="top" wrapText="1"/>
    </xf>
    <xf numFmtId="179" fontId="38" fillId="8" borderId="21" xfId="0" applyFont="1" applyFill="1" applyBorder="1" applyAlignment="1">
      <alignment horizontal="center" wrapText="1"/>
    </xf>
    <xf numFmtId="197" fontId="2" fillId="3" borderId="12" xfId="0" applyNumberFormat="1" applyFont="1" applyFill="1" applyBorder="1" applyAlignment="1" applyProtection="1">
      <alignment horizontal="center"/>
      <protection/>
    </xf>
    <xf numFmtId="197" fontId="2" fillId="3" borderId="8" xfId="0" applyNumberFormat="1" applyFont="1" applyFill="1" applyBorder="1" applyAlignment="1" applyProtection="1">
      <alignment/>
      <protection/>
    </xf>
    <xf numFmtId="197" fontId="2" fillId="3" borderId="2" xfId="0" applyNumberFormat="1" applyFont="1" applyFill="1" applyBorder="1" applyAlignment="1" applyProtection="1">
      <alignment/>
      <protection/>
    </xf>
    <xf numFmtId="197" fontId="2" fillId="3" borderId="1" xfId="0" applyNumberFormat="1" applyFont="1" applyFill="1" applyBorder="1" applyAlignment="1" applyProtection="1">
      <alignment/>
      <protection/>
    </xf>
    <xf numFmtId="197" fontId="2" fillId="3" borderId="2" xfId="28" applyNumberFormat="1" applyBorder="1" applyProtection="1">
      <alignment/>
      <protection/>
    </xf>
    <xf numFmtId="197" fontId="2" fillId="3" borderId="1" xfId="0" applyNumberFormat="1" applyFont="1" applyFill="1" applyBorder="1" applyAlignment="1" applyProtection="1">
      <alignment horizontal="center"/>
      <protection/>
    </xf>
    <xf numFmtId="179" fontId="55" fillId="8" borderId="0" xfId="22" applyFont="1" applyFill="1" applyAlignment="1" applyProtection="1">
      <alignment horizontal="center"/>
      <protection/>
    </xf>
    <xf numFmtId="197" fontId="4" fillId="8" borderId="7" xfId="22" applyNumberFormat="1" applyFont="1" applyFill="1" applyBorder="1" applyAlignment="1" applyProtection="1">
      <alignment horizontal="right" vertical="center"/>
      <protection/>
    </xf>
    <xf numFmtId="179" fontId="4" fillId="0" borderId="0" xfId="22" applyFont="1" applyFill="1" applyAlignment="1" applyProtection="1">
      <alignment horizontal="center"/>
      <protection/>
    </xf>
    <xf numFmtId="179" fontId="55" fillId="8" borderId="0" xfId="22" applyFont="1" applyFill="1" applyAlignment="1" applyProtection="1">
      <alignment horizontal="left"/>
      <protection/>
    </xf>
    <xf numFmtId="197" fontId="4" fillId="8" borderId="0" xfId="22" applyNumberFormat="1" applyFont="1" applyFill="1" applyBorder="1" applyAlignment="1" applyProtection="1">
      <alignment horizontal="right" vertical="center"/>
      <protection/>
    </xf>
    <xf numFmtId="49" fontId="7" fillId="8" borderId="2" xfId="22" applyNumberFormat="1" applyFont="1" applyFill="1" applyBorder="1" applyAlignment="1" applyProtection="1">
      <alignment horizontal="right" vertical="center"/>
      <protection/>
    </xf>
    <xf numFmtId="197" fontId="7" fillId="3" borderId="8" xfId="28" applyNumberFormat="1" applyFont="1" applyBorder="1" applyProtection="1">
      <alignment/>
      <protection/>
    </xf>
    <xf numFmtId="179" fontId="38" fillId="8" borderId="21" xfId="0" applyFont="1" applyFill="1" applyBorder="1" applyAlignment="1">
      <alignment horizontal="left" vertical="top" wrapText="1"/>
    </xf>
    <xf numFmtId="179" fontId="31" fillId="8" borderId="0" xfId="0" applyFont="1" applyFill="1" applyAlignment="1">
      <alignment horizontal="left" vertical="center"/>
    </xf>
    <xf numFmtId="0" fontId="56" fillId="8" borderId="0" xfId="25" applyFont="1" applyFill="1" applyProtection="1" quotePrefix="1">
      <alignment/>
      <protection/>
    </xf>
    <xf numFmtId="0" fontId="3" fillId="8" borderId="0" xfId="25" applyFont="1" applyFill="1" applyProtection="1">
      <alignment/>
      <protection/>
    </xf>
    <xf numFmtId="0" fontId="56" fillId="8" borderId="0" xfId="25" applyFont="1" applyFill="1" applyProtection="1">
      <alignment/>
      <protection/>
    </xf>
    <xf numFmtId="0" fontId="1" fillId="8" borderId="0" xfId="25" applyFill="1">
      <alignment/>
      <protection/>
    </xf>
    <xf numFmtId="0" fontId="1" fillId="0" borderId="0" xfId="25">
      <alignment/>
      <protection/>
    </xf>
    <xf numFmtId="0" fontId="57" fillId="8" borderId="0" xfId="25" applyFont="1" applyFill="1" applyAlignment="1" applyProtection="1">
      <alignment horizontal="center"/>
      <protection/>
    </xf>
    <xf numFmtId="0" fontId="57" fillId="8" borderId="0" xfId="25" applyFont="1" applyFill="1" applyProtection="1">
      <alignment/>
      <protection/>
    </xf>
    <xf numFmtId="0" fontId="1" fillId="8" borderId="4" xfId="25" applyFill="1" applyBorder="1">
      <alignment/>
      <protection/>
    </xf>
    <xf numFmtId="0" fontId="57" fillId="8" borderId="5" xfId="25" applyFont="1" applyFill="1" applyBorder="1" applyAlignment="1" applyProtection="1">
      <alignment horizontal="center"/>
      <protection/>
    </xf>
    <xf numFmtId="0" fontId="56" fillId="8" borderId="5" xfId="25" applyFont="1" applyFill="1" applyBorder="1" applyProtection="1">
      <alignment/>
      <protection/>
    </xf>
    <xf numFmtId="0" fontId="56" fillId="8" borderId="6" xfId="25" applyFont="1" applyFill="1" applyBorder="1" applyProtection="1">
      <alignment/>
      <protection/>
    </xf>
    <xf numFmtId="0" fontId="56" fillId="8" borderId="0" xfId="25" applyFont="1" applyFill="1" applyBorder="1" applyProtection="1">
      <alignment/>
      <protection/>
    </xf>
    <xf numFmtId="0" fontId="1" fillId="8" borderId="3" xfId="25" applyFill="1" applyBorder="1">
      <alignment/>
      <protection/>
    </xf>
    <xf numFmtId="0" fontId="57" fillId="8" borderId="0" xfId="25" applyFont="1" applyFill="1" applyBorder="1" applyAlignment="1" applyProtection="1">
      <alignment horizontal="center"/>
      <protection/>
    </xf>
    <xf numFmtId="0" fontId="56" fillId="8" borderId="7" xfId="25" applyFont="1" applyFill="1" applyBorder="1" applyProtection="1">
      <alignment/>
      <protection/>
    </xf>
    <xf numFmtId="0" fontId="58" fillId="8" borderId="0" xfId="25" applyFont="1" applyFill="1" applyBorder="1" applyProtection="1">
      <alignment/>
      <protection/>
    </xf>
    <xf numFmtId="0" fontId="58" fillId="8" borderId="3" xfId="25" applyFont="1" applyFill="1" applyBorder="1" applyProtection="1">
      <alignment/>
      <protection/>
    </xf>
    <xf numFmtId="0" fontId="56" fillId="8" borderId="0" xfId="25" applyFont="1" applyFill="1" applyBorder="1" applyAlignment="1" applyProtection="1">
      <alignment horizontal="right"/>
      <protection/>
    </xf>
    <xf numFmtId="0" fontId="56" fillId="8" borderId="7" xfId="25" applyFont="1" applyFill="1" applyBorder="1" applyAlignment="1" applyProtection="1">
      <alignment horizontal="center"/>
      <protection/>
    </xf>
    <xf numFmtId="0" fontId="1" fillId="8" borderId="0" xfId="25" applyFill="1" applyBorder="1">
      <alignment/>
      <protection/>
    </xf>
    <xf numFmtId="0" fontId="57" fillId="8" borderId="0" xfId="25" applyFont="1" applyFill="1" applyBorder="1" applyAlignment="1" applyProtection="1">
      <alignment horizontal="right"/>
      <protection/>
    </xf>
    <xf numFmtId="0" fontId="57" fillId="8" borderId="0" xfId="25" applyFont="1" applyFill="1" applyBorder="1" applyProtection="1">
      <alignment/>
      <protection/>
    </xf>
    <xf numFmtId="0" fontId="56" fillId="8" borderId="0" xfId="25" applyFont="1" applyFill="1" applyBorder="1" applyAlignment="1" applyProtection="1" quotePrefix="1">
      <alignment horizontal="right"/>
      <protection/>
    </xf>
    <xf numFmtId="0" fontId="58" fillId="8" borderId="6" xfId="25" applyFont="1" applyFill="1" applyBorder="1" applyAlignment="1" applyProtection="1">
      <alignment horizontal="center"/>
      <protection/>
    </xf>
    <xf numFmtId="0" fontId="1" fillId="8" borderId="9" xfId="25" applyFill="1" applyBorder="1">
      <alignment/>
      <protection/>
    </xf>
    <xf numFmtId="0" fontId="58" fillId="8" borderId="10" xfId="25" applyFont="1" applyFill="1" applyBorder="1" applyAlignment="1" applyProtection="1">
      <alignment horizontal="center"/>
      <protection/>
    </xf>
    <xf numFmtId="0" fontId="58" fillId="8" borderId="9" xfId="25" applyFont="1" applyFill="1" applyBorder="1" applyAlignment="1" applyProtection="1">
      <alignment horizontal="center"/>
      <protection/>
    </xf>
    <xf numFmtId="0" fontId="1" fillId="8" borderId="21" xfId="25" applyFill="1" applyBorder="1">
      <alignment/>
      <protection/>
    </xf>
    <xf numFmtId="0" fontId="56" fillId="8" borderId="14" xfId="25" applyFont="1" applyFill="1" applyBorder="1" applyAlignment="1" applyProtection="1" quotePrefix="1">
      <alignment horizontal="center"/>
      <protection/>
    </xf>
    <xf numFmtId="8" fontId="56" fillId="8" borderId="21" xfId="25" applyNumberFormat="1" applyFont="1" applyFill="1" applyBorder="1" applyAlignment="1" applyProtection="1">
      <alignment horizontal="center"/>
      <protection/>
    </xf>
    <xf numFmtId="0" fontId="56" fillId="8" borderId="14" xfId="25" applyFont="1" applyFill="1" applyBorder="1" applyProtection="1">
      <alignment/>
      <protection/>
    </xf>
    <xf numFmtId="0" fontId="56" fillId="8" borderId="0" xfId="25" applyFont="1" applyFill="1" applyBorder="1" applyAlignment="1" applyProtection="1">
      <alignment/>
      <protection/>
    </xf>
    <xf numFmtId="0" fontId="56" fillId="8" borderId="8" xfId="25" applyFont="1" applyFill="1" applyBorder="1" applyProtection="1">
      <alignment/>
      <protection/>
    </xf>
    <xf numFmtId="0" fontId="57" fillId="8" borderId="8" xfId="25" applyFont="1" applyFill="1" applyBorder="1" applyAlignment="1" applyProtection="1">
      <alignment horizontal="center"/>
      <protection/>
    </xf>
    <xf numFmtId="0" fontId="1" fillId="8" borderId="5" xfId="25" applyFill="1" applyBorder="1">
      <alignment/>
      <protection/>
    </xf>
    <xf numFmtId="0" fontId="1" fillId="8" borderId="0" xfId="25" applyFill="1" applyAlignment="1">
      <alignment/>
      <protection/>
    </xf>
    <xf numFmtId="0" fontId="56" fillId="8" borderId="29" xfId="25" applyFont="1" applyFill="1" applyBorder="1" applyProtection="1">
      <alignment/>
      <protection/>
    </xf>
    <xf numFmtId="0" fontId="56" fillId="8" borderId="30" xfId="25" applyFont="1" applyFill="1" applyBorder="1" applyProtection="1">
      <alignment/>
      <protection/>
    </xf>
    <xf numFmtId="0" fontId="59" fillId="8" borderId="0" xfId="25" applyFont="1" applyFill="1" applyBorder="1" applyAlignment="1" applyProtection="1">
      <alignment horizontal="right"/>
      <protection/>
    </xf>
    <xf numFmtId="0" fontId="56" fillId="8" borderId="8" xfId="25" applyFont="1" applyFill="1" applyBorder="1" applyAlignment="1" applyProtection="1">
      <alignment/>
      <protection/>
    </xf>
    <xf numFmtId="0" fontId="56" fillId="8" borderId="10" xfId="25" applyFont="1" applyFill="1" applyBorder="1" applyProtection="1">
      <alignment/>
      <protection/>
    </xf>
    <xf numFmtId="0" fontId="57" fillId="8" borderId="5" xfId="25" applyFont="1" applyFill="1" applyBorder="1" applyProtection="1">
      <alignment/>
      <protection/>
    </xf>
    <xf numFmtId="0" fontId="56" fillId="8" borderId="5" xfId="25" applyFont="1" applyFill="1" applyBorder="1" applyAlignment="1" applyProtection="1">
      <alignment/>
      <protection/>
    </xf>
    <xf numFmtId="0" fontId="58" fillId="8" borderId="7" xfId="25" applyFont="1" applyFill="1" applyBorder="1" applyAlignment="1" applyProtection="1">
      <alignment horizontal="center"/>
      <protection/>
    </xf>
    <xf numFmtId="0" fontId="58" fillId="8" borderId="3" xfId="25" applyFont="1" applyFill="1" applyBorder="1" applyAlignment="1" applyProtection="1">
      <alignment horizontal="center"/>
      <protection/>
    </xf>
    <xf numFmtId="0" fontId="59" fillId="8" borderId="4" xfId="25" applyFont="1" applyFill="1" applyBorder="1" applyAlignment="1" applyProtection="1">
      <alignment horizontal="center"/>
      <protection/>
    </xf>
    <xf numFmtId="0" fontId="56" fillId="8" borderId="0" xfId="25" applyFont="1" applyFill="1" applyBorder="1" applyProtection="1" quotePrefix="1">
      <alignment/>
      <protection/>
    </xf>
    <xf numFmtId="179" fontId="2" fillId="7" borderId="2" xfId="0" applyFont="1" applyFill="1" applyBorder="1" applyAlignment="1" applyProtection="1">
      <alignment/>
      <protection/>
    </xf>
    <xf numFmtId="2" fontId="56" fillId="3" borderId="8" xfId="25" applyNumberFormat="1" applyFont="1" applyFill="1" applyBorder="1" applyAlignment="1" applyProtection="1" quotePrefix="1">
      <alignment horizontal="right"/>
      <protection/>
    </xf>
    <xf numFmtId="179" fontId="10" fillId="8" borderId="2" xfId="0" applyFont="1" applyFill="1" applyBorder="1" applyAlignment="1" applyProtection="1">
      <alignment horizontal="right"/>
      <protection/>
    </xf>
    <xf numFmtId="0" fontId="60" fillId="8" borderId="0" xfId="25" applyFont="1" applyFill="1" applyBorder="1" applyProtection="1">
      <alignment/>
      <protection/>
    </xf>
    <xf numFmtId="49" fontId="7" fillId="8" borderId="25" xfId="22" applyNumberFormat="1" applyFont="1" applyFill="1" applyBorder="1" applyAlignment="1" applyProtection="1">
      <alignment horizontal="left" vertical="center"/>
      <protection/>
    </xf>
    <xf numFmtId="197" fontId="2" fillId="3" borderId="8" xfId="28" applyNumberFormat="1" applyFont="1" applyBorder="1" applyProtection="1">
      <alignment/>
      <protection/>
    </xf>
    <xf numFmtId="179" fontId="11" fillId="12" borderId="0" xfId="0" applyFont="1" applyFill="1" applyAlignment="1" applyProtection="1">
      <alignment horizontal="center" vertical="center"/>
      <protection/>
    </xf>
    <xf numFmtId="179" fontId="2" fillId="12" borderId="5" xfId="0" applyFont="1" applyFill="1" applyBorder="1" applyAlignment="1" applyProtection="1">
      <alignment horizontal="center"/>
      <protection/>
    </xf>
    <xf numFmtId="179" fontId="2" fillId="12" borderId="2" xfId="0" applyFont="1" applyFill="1" applyBorder="1" applyAlignment="1" applyProtection="1">
      <alignment horizontal="right"/>
      <protection/>
    </xf>
    <xf numFmtId="179" fontId="41" fillId="12" borderId="2" xfId="0" applyFont="1" applyFill="1" applyBorder="1" applyAlignment="1" applyProtection="1">
      <alignment horizontal="right"/>
      <protection/>
    </xf>
    <xf numFmtId="179" fontId="61" fillId="12" borderId="0" xfId="0" applyFont="1" applyFill="1" applyAlignment="1" applyProtection="1">
      <alignment horizontal="center" vertical="center"/>
      <protection/>
    </xf>
    <xf numFmtId="179" fontId="18" fillId="12" borderId="0" xfId="0" applyFont="1" applyFill="1" applyAlignment="1" applyProtection="1">
      <alignment horizontal="center" vertical="center"/>
      <protection/>
    </xf>
    <xf numFmtId="184" fontId="2" fillId="12" borderId="0" xfId="0" applyNumberFormat="1" applyFont="1" applyFill="1" applyAlignment="1" applyProtection="1">
      <alignment/>
      <protection/>
    </xf>
    <xf numFmtId="179" fontId="11" fillId="12" borderId="5" xfId="0" applyFont="1" applyFill="1" applyBorder="1" applyAlignment="1" applyProtection="1">
      <alignment/>
      <protection/>
    </xf>
    <xf numFmtId="179" fontId="11" fillId="12" borderId="5" xfId="0" applyFont="1" applyFill="1" applyBorder="1" applyAlignment="1" applyProtection="1">
      <alignment horizontal="center" vertical="center"/>
      <protection/>
    </xf>
    <xf numFmtId="179" fontId="2" fillId="12" borderId="6" xfId="0" applyFont="1" applyFill="1" applyBorder="1" applyAlignment="1" applyProtection="1">
      <alignment horizontal="right"/>
      <protection/>
    </xf>
    <xf numFmtId="179" fontId="11" fillId="12" borderId="0" xfId="0" applyFont="1" applyFill="1" applyBorder="1" applyAlignment="1" applyProtection="1">
      <alignment/>
      <protection/>
    </xf>
    <xf numFmtId="179" fontId="11" fillId="12" borderId="0" xfId="0" applyFont="1" applyFill="1" applyBorder="1" applyAlignment="1" applyProtection="1">
      <alignment horizontal="center" vertical="center"/>
      <protection/>
    </xf>
    <xf numFmtId="179" fontId="2" fillId="12" borderId="9" xfId="0" applyFont="1" applyFill="1" applyBorder="1" applyAlignment="1" applyProtection="1">
      <alignment/>
      <protection/>
    </xf>
    <xf numFmtId="179" fontId="11" fillId="12" borderId="8" xfId="0" applyFont="1" applyFill="1" applyBorder="1" applyAlignment="1" applyProtection="1">
      <alignment/>
      <protection/>
    </xf>
    <xf numFmtId="179" fontId="11" fillId="12" borderId="8" xfId="0" applyFont="1" applyFill="1" applyBorder="1" applyAlignment="1" applyProtection="1">
      <alignment horizontal="center" vertical="center"/>
      <protection/>
    </xf>
    <xf numFmtId="179" fontId="11" fillId="12" borderId="2" xfId="0" applyFont="1" applyFill="1" applyBorder="1" applyAlignment="1" applyProtection="1">
      <alignment/>
      <protection/>
    </xf>
    <xf numFmtId="179" fontId="11" fillId="12" borderId="2" xfId="0" applyFont="1" applyFill="1" applyBorder="1" applyAlignment="1" applyProtection="1">
      <alignment horizontal="center" vertical="center"/>
      <protection/>
    </xf>
    <xf numFmtId="178" fontId="3" fillId="12" borderId="7" xfId="0" applyNumberFormat="1" applyFont="1" applyFill="1" applyBorder="1" applyAlignment="1" applyProtection="1" quotePrefix="1">
      <alignment horizontal="center"/>
      <protection/>
    </xf>
    <xf numFmtId="179" fontId="2" fillId="12" borderId="10" xfId="0" applyFont="1" applyFill="1" applyBorder="1" applyAlignment="1" applyProtection="1">
      <alignment horizontal="right"/>
      <protection/>
    </xf>
    <xf numFmtId="178" fontId="9" fillId="5" borderId="1" xfId="0" applyNumberFormat="1" applyFont="1" applyFill="1" applyBorder="1" applyAlignment="1" applyProtection="1">
      <alignment vertical="center"/>
      <protection/>
    </xf>
    <xf numFmtId="178" fontId="3" fillId="12" borderId="0" xfId="0" applyNumberFormat="1" applyFont="1" applyFill="1" applyBorder="1" applyAlignment="1" applyProtection="1" quotePrefix="1">
      <alignment horizontal="center"/>
      <protection/>
    </xf>
    <xf numFmtId="179" fontId="2" fillId="12" borderId="2" xfId="0" applyFont="1" applyFill="1" applyBorder="1" applyAlignment="1" applyProtection="1">
      <alignment horizontal="center" vertical="center"/>
      <protection/>
    </xf>
    <xf numFmtId="179" fontId="10" fillId="12" borderId="0" xfId="0" applyFont="1" applyFill="1" applyAlignment="1" applyProtection="1">
      <alignment/>
      <protection/>
    </xf>
    <xf numFmtId="179" fontId="2" fillId="12" borderId="17" xfId="0" applyFont="1" applyFill="1" applyBorder="1" applyAlignment="1" applyProtection="1">
      <alignment/>
      <protection/>
    </xf>
    <xf numFmtId="179" fontId="2" fillId="12" borderId="4" xfId="0" applyFont="1" applyFill="1" applyBorder="1" applyAlignment="1" applyProtection="1">
      <alignment horizontal="center"/>
      <protection/>
    </xf>
    <xf numFmtId="179" fontId="2" fillId="12" borderId="6" xfId="0" applyFont="1" applyFill="1" applyBorder="1" applyAlignment="1" applyProtection="1">
      <alignment horizontal="center"/>
      <protection/>
    </xf>
    <xf numFmtId="179" fontId="10" fillId="12" borderId="20" xfId="0" applyFont="1" applyFill="1" applyBorder="1" applyAlignment="1" applyProtection="1">
      <alignment horizontal="center"/>
      <protection/>
    </xf>
    <xf numFmtId="179" fontId="6" fillId="12" borderId="20" xfId="0" applyFont="1" applyFill="1" applyBorder="1" applyAlignment="1" applyProtection="1">
      <alignment horizontal="center"/>
      <protection/>
    </xf>
    <xf numFmtId="179" fontId="41" fillId="12" borderId="20" xfId="0" applyFont="1" applyFill="1" applyBorder="1" applyAlignment="1" applyProtection="1">
      <alignment horizontal="center"/>
      <protection/>
    </xf>
    <xf numFmtId="179" fontId="2" fillId="12" borderId="8" xfId="0" applyFont="1" applyFill="1" applyBorder="1" applyAlignment="1" applyProtection="1">
      <alignment vertical="top" wrapText="1"/>
      <protection/>
    </xf>
    <xf numFmtId="179" fontId="2" fillId="12" borderId="8" xfId="0" applyFont="1" applyFill="1" applyBorder="1" applyAlignment="1" applyProtection="1">
      <alignment horizontal="center" vertical="center"/>
      <protection/>
    </xf>
    <xf numFmtId="179" fontId="3" fillId="12" borderId="8" xfId="0" applyFont="1" applyFill="1" applyBorder="1" applyAlignment="1" applyProtection="1">
      <alignment horizontal="right" vertical="center"/>
      <protection/>
    </xf>
    <xf numFmtId="1" fontId="1" fillId="0" borderId="0" xfId="25" applyNumberFormat="1" applyProtection="1">
      <alignment/>
      <protection locked="0"/>
    </xf>
    <xf numFmtId="179" fontId="2" fillId="2" borderId="2" xfId="0" applyNumberFormat="1" applyFont="1" applyFill="1" applyBorder="1" applyAlignment="1" applyProtection="1">
      <alignment/>
      <protection/>
    </xf>
    <xf numFmtId="179" fontId="15" fillId="8" borderId="0" xfId="0" applyFont="1" applyFill="1" applyAlignment="1" applyProtection="1">
      <alignment/>
      <protection/>
    </xf>
    <xf numFmtId="179" fontId="23" fillId="8" borderId="0" xfId="0" applyFont="1" applyFill="1" applyAlignment="1" applyProtection="1">
      <alignment/>
      <protection/>
    </xf>
    <xf numFmtId="179" fontId="15" fillId="8" borderId="0" xfId="0" applyFont="1" applyFill="1" applyAlignment="1" applyProtection="1">
      <alignment horizontal="center"/>
      <protection/>
    </xf>
    <xf numFmtId="197" fontId="2" fillId="2" borderId="1" xfId="0" applyNumberFormat="1" applyFont="1" applyFill="1" applyBorder="1" applyAlignment="1" applyProtection="1">
      <alignment horizontal="left"/>
      <protection locked="0"/>
    </xf>
    <xf numFmtId="197" fontId="2" fillId="8" borderId="0" xfId="0" applyNumberFormat="1" applyFont="1" applyFill="1" applyBorder="1" applyAlignment="1" applyProtection="1">
      <alignment horizontal="center"/>
      <protection/>
    </xf>
    <xf numFmtId="2" fontId="31" fillId="2" borderId="13" xfId="22" applyNumberFormat="1" applyFont="1" applyFill="1" applyBorder="1" applyAlignment="1" applyProtection="1">
      <alignment vertical="center"/>
      <protection locked="0"/>
    </xf>
    <xf numFmtId="0" fontId="1" fillId="0" borderId="0" xfId="23">
      <alignment/>
      <protection/>
    </xf>
    <xf numFmtId="197" fontId="7" fillId="2" borderId="8" xfId="28" applyNumberFormat="1" applyFont="1" applyFill="1" applyBorder="1" applyProtection="1">
      <alignment/>
      <protection locked="0"/>
    </xf>
    <xf numFmtId="179" fontId="2" fillId="10" borderId="0" xfId="0" applyFont="1" applyFill="1" applyAlignment="1" applyProtection="1">
      <alignment vertical="center"/>
      <protection/>
    </xf>
    <xf numFmtId="179" fontId="7" fillId="8" borderId="0" xfId="0" applyFont="1" applyFill="1" applyBorder="1" applyAlignment="1" applyProtection="1">
      <alignment horizontal="right"/>
      <protection/>
    </xf>
    <xf numFmtId="179" fontId="4" fillId="7" borderId="0" xfId="0" applyFont="1" applyFill="1" applyBorder="1" applyAlignment="1" applyProtection="1">
      <alignment/>
      <protection/>
    </xf>
    <xf numFmtId="197" fontId="2" fillId="3" borderId="8" xfId="28" applyNumberFormat="1" applyBorder="1" applyAlignment="1" applyProtection="1">
      <alignment vertical="center"/>
      <protection/>
    </xf>
    <xf numFmtId="179" fontId="7" fillId="8" borderId="3" xfId="0" applyFont="1" applyFill="1" applyBorder="1" applyAlignment="1" applyProtection="1">
      <alignment horizontal="right"/>
      <protection/>
    </xf>
    <xf numFmtId="0" fontId="1" fillId="8" borderId="0" xfId="23" applyFill="1">
      <alignment/>
      <protection/>
    </xf>
    <xf numFmtId="0" fontId="1" fillId="8" borderId="0" xfId="23" applyFont="1" applyFill="1">
      <alignment/>
      <protection/>
    </xf>
    <xf numFmtId="0" fontId="21" fillId="8" borderId="2" xfId="23" applyFont="1" applyFill="1" applyBorder="1" applyAlignment="1">
      <alignment horizontal="center"/>
      <protection/>
    </xf>
    <xf numFmtId="0" fontId="21" fillId="8" borderId="14" xfId="23" applyFont="1" applyFill="1" applyBorder="1" applyAlignment="1">
      <alignment horizontal="center"/>
      <protection/>
    </xf>
    <xf numFmtId="0" fontId="21" fillId="8" borderId="5" xfId="23" applyFont="1" applyFill="1" applyBorder="1" applyAlignment="1">
      <alignment horizontal="center"/>
      <protection/>
    </xf>
    <xf numFmtId="0" fontId="21" fillId="8" borderId="13" xfId="23" applyFont="1" applyFill="1" applyBorder="1" applyAlignment="1">
      <alignment wrapText="1"/>
      <protection/>
    </xf>
    <xf numFmtId="0" fontId="21" fillId="8" borderId="8" xfId="23" applyFont="1" applyFill="1" applyBorder="1">
      <alignment/>
      <protection/>
    </xf>
    <xf numFmtId="0" fontId="62" fillId="8" borderId="0" xfId="23" applyFont="1" applyFill="1">
      <alignment/>
      <protection/>
    </xf>
    <xf numFmtId="179" fontId="7" fillId="8" borderId="0" xfId="0" applyFont="1" applyFill="1" applyAlignment="1" applyProtection="1">
      <alignment horizontal="right"/>
      <protection/>
    </xf>
    <xf numFmtId="0" fontId="26" fillId="8" borderId="0" xfId="23" applyFont="1" applyFill="1" applyAlignment="1">
      <alignment horizontal="left"/>
      <protection/>
    </xf>
    <xf numFmtId="200" fontId="4" fillId="2" borderId="7" xfId="22" applyNumberFormat="1" applyFont="1" applyFill="1" applyBorder="1" applyAlignment="1" applyProtection="1">
      <alignment horizontal="right" vertical="center" shrinkToFit="1"/>
      <protection locked="0"/>
    </xf>
    <xf numFmtId="179" fontId="2" fillId="8" borderId="0" xfId="22" applyFont="1" applyFill="1" applyAlignment="1" applyProtection="1">
      <alignment horizontal="center" vertical="top"/>
      <protection/>
    </xf>
    <xf numFmtId="179" fontId="4" fillId="8" borderId="0" xfId="22" applyFont="1" applyFill="1" applyAlignment="1" applyProtection="1">
      <alignment vertical="top"/>
      <protection/>
    </xf>
    <xf numFmtId="179" fontId="7" fillId="8" borderId="0" xfId="22" applyFont="1" applyFill="1" applyAlignment="1" applyProtection="1">
      <alignment wrapText="1"/>
      <protection/>
    </xf>
    <xf numFmtId="0" fontId="1" fillId="8" borderId="0" xfId="26" applyFill="1">
      <alignment/>
      <protection/>
    </xf>
    <xf numFmtId="0" fontId="56" fillId="11" borderId="0" xfId="26" applyFont="1" applyFill="1" applyAlignment="1" applyProtection="1">
      <alignment/>
      <protection/>
    </xf>
    <xf numFmtId="0" fontId="1" fillId="0" borderId="0" xfId="26">
      <alignment/>
      <protection/>
    </xf>
    <xf numFmtId="0" fontId="56" fillId="11" borderId="0" xfId="26" applyFont="1" applyFill="1" applyProtection="1">
      <alignment/>
      <protection/>
    </xf>
    <xf numFmtId="0" fontId="56" fillId="11" borderId="0" xfId="26" applyFont="1" applyFill="1" applyAlignment="1" applyProtection="1">
      <alignment vertical="top"/>
      <protection/>
    </xf>
    <xf numFmtId="0" fontId="3" fillId="11" borderId="0" xfId="26" applyFont="1" applyFill="1" applyAlignment="1" applyProtection="1">
      <alignment horizontal="right"/>
      <protection/>
    </xf>
    <xf numFmtId="0" fontId="3" fillId="11" borderId="0" xfId="26" applyFont="1" applyFill="1" applyProtection="1">
      <alignment/>
      <protection/>
    </xf>
    <xf numFmtId="0" fontId="7" fillId="11" borderId="0" xfId="26" applyFont="1" applyFill="1" applyProtection="1">
      <alignment/>
      <protection/>
    </xf>
    <xf numFmtId="0" fontId="56" fillId="11" borderId="0" xfId="26" applyFont="1" applyFill="1" applyAlignment="1" applyProtection="1">
      <alignment horizontal="center"/>
      <protection/>
    </xf>
    <xf numFmtId="0" fontId="56" fillId="11" borderId="4" xfId="26" applyFont="1" applyFill="1" applyBorder="1" applyProtection="1">
      <alignment/>
      <protection/>
    </xf>
    <xf numFmtId="0" fontId="56" fillId="11" borderId="5" xfId="26" applyFont="1" applyFill="1" applyBorder="1" applyProtection="1">
      <alignment/>
      <protection/>
    </xf>
    <xf numFmtId="0" fontId="7" fillId="11" borderId="5" xfId="26" applyFont="1" applyFill="1" applyBorder="1" applyProtection="1">
      <alignment/>
      <protection/>
    </xf>
    <xf numFmtId="0" fontId="56" fillId="11" borderId="5" xfId="26" applyFont="1" applyFill="1" applyBorder="1" applyAlignment="1" applyProtection="1">
      <alignment horizontal="left"/>
      <protection/>
    </xf>
    <xf numFmtId="0" fontId="3" fillId="11" borderId="6" xfId="26" applyFont="1" applyFill="1" applyBorder="1" applyAlignment="1" applyProtection="1">
      <alignment horizontal="right"/>
      <protection/>
    </xf>
    <xf numFmtId="0" fontId="56" fillId="8" borderId="9" xfId="26" applyFont="1" applyFill="1" applyBorder="1" applyProtection="1">
      <alignment/>
      <protection/>
    </xf>
    <xf numFmtId="0" fontId="3" fillId="8" borderId="10" xfId="26" applyFont="1" applyFill="1" applyBorder="1" applyAlignment="1" applyProtection="1">
      <alignment horizontal="right"/>
      <protection/>
    </xf>
    <xf numFmtId="0" fontId="56" fillId="11" borderId="3" xfId="26" applyFont="1" applyFill="1" applyBorder="1" applyProtection="1">
      <alignment/>
      <protection/>
    </xf>
    <xf numFmtId="0" fontId="56" fillId="11" borderId="0" xfId="26" applyFont="1" applyFill="1" applyBorder="1" applyProtection="1">
      <alignment/>
      <protection/>
    </xf>
    <xf numFmtId="0" fontId="7" fillId="11" borderId="0" xfId="26" applyFont="1" applyFill="1" applyBorder="1" applyProtection="1">
      <alignment/>
      <protection/>
    </xf>
    <xf numFmtId="0" fontId="3" fillId="11" borderId="0" xfId="26" applyFont="1" applyFill="1" applyBorder="1" applyAlignment="1" applyProtection="1">
      <alignment horizontal="right"/>
      <protection/>
    </xf>
    <xf numFmtId="0" fontId="1" fillId="11" borderId="0" xfId="26" applyFill="1" applyAlignment="1">
      <alignment horizontal="right"/>
      <protection/>
    </xf>
    <xf numFmtId="0" fontId="56" fillId="11" borderId="0" xfId="26" applyFont="1" applyFill="1" applyBorder="1" applyAlignment="1" applyProtection="1">
      <alignment horizontal="left" vertical="center"/>
      <protection/>
    </xf>
    <xf numFmtId="2" fontId="2" fillId="3" borderId="8" xfId="26" applyNumberFormat="1" applyFont="1" applyFill="1" applyBorder="1" applyAlignment="1" applyProtection="1" quotePrefix="1">
      <alignment horizontal="right"/>
      <protection/>
    </xf>
    <xf numFmtId="0" fontId="56" fillId="11" borderId="0" xfId="26" applyFont="1" applyFill="1" applyBorder="1" applyAlignment="1" applyProtection="1">
      <alignment horizontal="left"/>
      <protection/>
    </xf>
    <xf numFmtId="2" fontId="2" fillId="2" borderId="8" xfId="26" applyNumberFormat="1" applyFont="1" applyFill="1" applyBorder="1" applyAlignment="1" applyProtection="1" quotePrefix="1">
      <alignment horizontal="right"/>
      <protection locked="0"/>
    </xf>
    <xf numFmtId="0" fontId="3" fillId="11" borderId="0" xfId="26" applyFont="1" applyFill="1" applyBorder="1" applyAlignment="1" applyProtection="1">
      <alignment horizontal="center"/>
      <protection/>
    </xf>
    <xf numFmtId="0" fontId="1" fillId="8" borderId="0" xfId="26" applyFill="1" applyBorder="1">
      <alignment/>
      <protection/>
    </xf>
    <xf numFmtId="0" fontId="56" fillId="8" borderId="0" xfId="26" applyFont="1" applyFill="1" applyBorder="1" applyAlignment="1" applyProtection="1" quotePrefix="1">
      <alignment horizontal="right"/>
      <protection/>
    </xf>
    <xf numFmtId="0" fontId="56" fillId="11" borderId="0" xfId="26" applyFont="1" applyFill="1" applyBorder="1" applyAlignment="1" applyProtection="1">
      <alignment horizontal="right"/>
      <protection/>
    </xf>
    <xf numFmtId="0" fontId="56" fillId="11" borderId="0" xfId="26" applyFont="1" applyFill="1" applyAlignment="1" applyProtection="1">
      <alignment horizontal="left"/>
      <protection/>
    </xf>
    <xf numFmtId="0" fontId="57" fillId="11" borderId="0" xfId="26" applyFont="1" applyFill="1" applyAlignment="1" applyProtection="1">
      <alignment horizontal="right"/>
      <protection/>
    </xf>
    <xf numFmtId="0" fontId="57" fillId="11" borderId="0" xfId="26" applyFont="1" applyFill="1" applyBorder="1" applyAlignment="1" applyProtection="1">
      <alignment horizontal="right"/>
      <protection/>
    </xf>
    <xf numFmtId="0" fontId="56" fillId="11" borderId="0" xfId="26" applyFont="1" applyFill="1" applyBorder="1" applyAlignment="1" applyProtection="1" quotePrefix="1">
      <alignment horizontal="right"/>
      <protection/>
    </xf>
    <xf numFmtId="0" fontId="56" fillId="8" borderId="0" xfId="26" applyFont="1" applyFill="1" applyBorder="1" applyAlignment="1" applyProtection="1">
      <alignment horizontal="right"/>
      <protection/>
    </xf>
    <xf numFmtId="0" fontId="5" fillId="11" borderId="0" xfId="26" applyFont="1" applyFill="1" applyAlignment="1" applyProtection="1">
      <alignment horizontal="left"/>
      <protection/>
    </xf>
    <xf numFmtId="0" fontId="57" fillId="11" borderId="0" xfId="26" applyFont="1" applyFill="1" applyBorder="1" applyProtection="1">
      <alignment/>
      <protection/>
    </xf>
    <xf numFmtId="200" fontId="2" fillId="3" borderId="8" xfId="26" applyNumberFormat="1" applyFont="1" applyFill="1" applyBorder="1" applyAlignment="1" applyProtection="1">
      <alignment horizontal="center" vertical="center" shrinkToFit="1"/>
      <protection/>
    </xf>
    <xf numFmtId="0" fontId="65" fillId="11" borderId="0" xfId="26" applyFont="1" applyFill="1" applyBorder="1" applyAlignment="1" applyProtection="1">
      <alignment horizontal="left"/>
      <protection/>
    </xf>
    <xf numFmtId="0" fontId="56" fillId="11" borderId="9" xfId="26" applyFont="1" applyFill="1" applyBorder="1" applyProtection="1">
      <alignment/>
      <protection/>
    </xf>
    <xf numFmtId="0" fontId="3" fillId="11" borderId="10" xfId="26" applyFont="1" applyFill="1" applyBorder="1" applyAlignment="1" applyProtection="1">
      <alignment horizontal="right"/>
      <protection/>
    </xf>
    <xf numFmtId="1" fontId="4" fillId="13" borderId="8" xfId="26" applyNumberFormat="1" applyFont="1" applyFill="1" applyBorder="1" applyAlignment="1" applyProtection="1">
      <alignment horizontal="center"/>
      <protection locked="0"/>
    </xf>
    <xf numFmtId="197" fontId="66" fillId="8" borderId="0" xfId="22" applyNumberFormat="1" applyFont="1" applyFill="1" applyBorder="1" applyProtection="1">
      <alignment/>
      <protection/>
    </xf>
    <xf numFmtId="200" fontId="4" fillId="2" borderId="7" xfId="22" applyNumberFormat="1" applyFont="1" applyFill="1" applyBorder="1" applyAlignment="1" applyProtection="1">
      <alignment horizontal="center" vertical="center" shrinkToFit="1"/>
      <protection locked="0"/>
    </xf>
    <xf numFmtId="49" fontId="4" fillId="8" borderId="31" xfId="22" applyNumberFormat="1" applyFont="1" applyFill="1" applyBorder="1" applyAlignment="1" applyProtection="1">
      <alignment horizontal="center" vertical="center"/>
      <protection/>
    </xf>
    <xf numFmtId="49" fontId="7" fillId="8" borderId="32" xfId="22" applyNumberFormat="1" applyFont="1" applyFill="1" applyBorder="1" applyAlignment="1" applyProtection="1">
      <alignment horizontal="center" vertical="center"/>
      <protection/>
    </xf>
    <xf numFmtId="2" fontId="31" fillId="2" borderId="17" xfId="22" applyNumberFormat="1" applyFont="1" applyFill="1" applyBorder="1" applyAlignment="1" applyProtection="1">
      <alignment vertical="center"/>
      <protection locked="0"/>
    </xf>
    <xf numFmtId="2" fontId="31" fillId="2" borderId="20" xfId="22" applyNumberFormat="1" applyFont="1" applyFill="1" applyBorder="1" applyAlignment="1" applyProtection="1">
      <alignment vertical="center"/>
      <protection locked="0"/>
    </xf>
    <xf numFmtId="49" fontId="4" fillId="8" borderId="33" xfId="22" applyNumberFormat="1" applyFont="1" applyFill="1" applyBorder="1" applyAlignment="1" applyProtection="1">
      <alignment horizontal="center" vertical="center"/>
      <protection/>
    </xf>
    <xf numFmtId="49" fontId="7" fillId="8" borderId="34" xfId="22" applyNumberFormat="1" applyFont="1" applyFill="1" applyBorder="1" applyAlignment="1" applyProtection="1">
      <alignment horizontal="center" vertical="center"/>
      <protection/>
    </xf>
    <xf numFmtId="197" fontId="31" fillId="2" borderId="35" xfId="22" applyNumberFormat="1" applyFont="1" applyFill="1" applyBorder="1" applyProtection="1">
      <alignment/>
      <protection locked="0"/>
    </xf>
    <xf numFmtId="2" fontId="31" fillId="2" borderId="35" xfId="22" applyNumberFormat="1" applyFont="1" applyFill="1" applyBorder="1" applyAlignment="1" applyProtection="1">
      <alignment vertical="center"/>
      <protection locked="0"/>
    </xf>
    <xf numFmtId="49" fontId="4" fillId="8" borderId="36" xfId="22" applyNumberFormat="1" applyFont="1" applyFill="1" applyBorder="1" applyAlignment="1" applyProtection="1">
      <alignment horizontal="center" vertical="center"/>
      <protection/>
    </xf>
    <xf numFmtId="49" fontId="7" fillId="8" borderId="37" xfId="22" applyNumberFormat="1" applyFont="1" applyFill="1" applyBorder="1" applyAlignment="1" applyProtection="1">
      <alignment horizontal="center" vertical="center"/>
      <protection/>
    </xf>
    <xf numFmtId="197" fontId="31" fillId="8" borderId="38" xfId="22" applyNumberFormat="1" applyFont="1" applyFill="1" applyBorder="1" applyProtection="1">
      <alignment/>
      <protection/>
    </xf>
    <xf numFmtId="197" fontId="31" fillId="8" borderId="39" xfId="22" applyNumberFormat="1" applyFont="1" applyFill="1" applyBorder="1" applyProtection="1">
      <alignment/>
      <protection/>
    </xf>
    <xf numFmtId="2" fontId="31" fillId="2" borderId="40" xfId="22" applyNumberFormat="1" applyFont="1" applyFill="1" applyBorder="1" applyAlignment="1" applyProtection="1">
      <alignment vertical="center"/>
      <protection locked="0"/>
    </xf>
    <xf numFmtId="179" fontId="26" fillId="8" borderId="8" xfId="22" applyFont="1" applyFill="1" applyBorder="1" applyAlignment="1" applyProtection="1">
      <alignment horizontal="left" wrapText="1"/>
      <protection/>
    </xf>
    <xf numFmtId="49" fontId="4" fillId="10" borderId="2" xfId="22" applyNumberFormat="1" applyFont="1" applyFill="1" applyBorder="1" applyAlignment="1" applyProtection="1">
      <alignment horizontal="center" vertical="center"/>
      <protection/>
    </xf>
    <xf numFmtId="49" fontId="7" fillId="10" borderId="2" xfId="22" applyNumberFormat="1" applyFont="1" applyFill="1" applyBorder="1" applyAlignment="1" applyProtection="1">
      <alignment horizontal="center" vertical="center"/>
      <protection/>
    </xf>
    <xf numFmtId="49" fontId="7" fillId="8" borderId="0" xfId="22" applyNumberFormat="1" applyFont="1" applyFill="1" applyBorder="1" applyAlignment="1" applyProtection="1">
      <alignment horizontal="center"/>
      <protection/>
    </xf>
    <xf numFmtId="49" fontId="4" fillId="2" borderId="7" xfId="22" applyNumberFormat="1" applyFont="1" applyFill="1" applyBorder="1" applyAlignment="1" applyProtection="1">
      <alignment horizontal="right" vertical="center"/>
      <protection locked="0"/>
    </xf>
    <xf numFmtId="0" fontId="2" fillId="8" borderId="0" xfId="22" applyNumberFormat="1" applyFont="1" applyFill="1" applyProtection="1">
      <alignment/>
      <protection/>
    </xf>
    <xf numFmtId="0" fontId="4" fillId="3" borderId="7" xfId="22" applyNumberFormat="1" applyFont="1" applyFill="1" applyBorder="1" applyAlignment="1" applyProtection="1">
      <alignment horizontal="right" vertical="center"/>
      <protection/>
    </xf>
    <xf numFmtId="197" fontId="31" fillId="8" borderId="2" xfId="22" applyNumberFormat="1" applyFont="1" applyFill="1" applyBorder="1" applyProtection="1">
      <alignment/>
      <protection/>
    </xf>
    <xf numFmtId="179" fontId="4" fillId="8" borderId="0" xfId="22" applyFont="1" applyFill="1" applyBorder="1" applyAlignment="1" applyProtection="1">
      <alignment horizontal="center" wrapText="1"/>
      <protection/>
    </xf>
    <xf numFmtId="179" fontId="32" fillId="8" borderId="0" xfId="22" applyFont="1" applyFill="1" applyBorder="1" applyProtection="1">
      <alignment/>
      <protection/>
    </xf>
    <xf numFmtId="187" fontId="3" fillId="2" borderId="7" xfId="22" applyNumberFormat="1" applyFont="1" applyFill="1" applyBorder="1" applyAlignment="1" applyProtection="1">
      <alignment horizontal="right" vertical="center"/>
      <protection locked="0"/>
    </xf>
    <xf numFmtId="179" fontId="4" fillId="8" borderId="2" xfId="22" applyFont="1" applyFill="1" applyBorder="1" applyAlignment="1" applyProtection="1">
      <alignment horizontal="center" vertical="center" wrapText="1"/>
      <protection/>
    </xf>
    <xf numFmtId="179" fontId="26" fillId="8" borderId="0" xfId="22" applyFont="1" applyFill="1" applyBorder="1" applyAlignment="1" applyProtection="1">
      <alignment horizontal="left"/>
      <protection/>
    </xf>
    <xf numFmtId="179" fontId="2" fillId="8" borderId="22" xfId="22" applyFont="1" applyFill="1" applyBorder="1" applyProtection="1">
      <alignment/>
      <protection/>
    </xf>
    <xf numFmtId="179" fontId="4" fillId="8" borderId="0" xfId="22" applyFont="1" applyFill="1" applyBorder="1" applyAlignment="1" applyProtection="1">
      <alignment horizontal="left" vertical="center"/>
      <protection/>
    </xf>
    <xf numFmtId="179" fontId="7" fillId="8" borderId="0" xfId="22" applyFont="1" applyFill="1" applyAlignment="1" applyProtection="1">
      <alignment vertical="top"/>
      <protection/>
    </xf>
    <xf numFmtId="179" fontId="4" fillId="8" borderId="0" xfId="22" applyFont="1" applyFill="1" applyBorder="1" applyAlignment="1" applyProtection="1">
      <alignment horizontal="left" vertical="center" wrapText="1"/>
      <protection/>
    </xf>
    <xf numFmtId="179" fontId="4" fillId="2" borderId="0" xfId="22" applyFont="1" applyFill="1" applyBorder="1" applyAlignment="1" applyProtection="1">
      <alignment horizontal="center" vertical="center" wrapText="1"/>
      <protection locked="0"/>
    </xf>
    <xf numFmtId="1" fontId="7" fillId="3" borderId="0" xfId="22" applyNumberFormat="1" applyFont="1" applyFill="1" applyAlignment="1" applyProtection="1">
      <alignment horizontal="center"/>
      <protection/>
    </xf>
    <xf numFmtId="1" fontId="7" fillId="3" borderId="8" xfId="22" applyNumberFormat="1" applyFont="1" applyFill="1" applyBorder="1" applyAlignment="1" applyProtection="1">
      <alignment horizontal="center"/>
      <protection/>
    </xf>
    <xf numFmtId="49" fontId="4" fillId="2" borderId="6" xfId="22" applyNumberFormat="1" applyFont="1" applyFill="1" applyBorder="1" applyAlignment="1" applyProtection="1">
      <alignment horizontal="center" vertical="center"/>
      <protection locked="0"/>
    </xf>
    <xf numFmtId="0" fontId="20" fillId="2" borderId="11" xfId="24" applyFont="1" applyFill="1" applyBorder="1" applyAlignment="1" applyProtection="1" quotePrefix="1">
      <alignment horizontal="center" vertical="center"/>
      <protection locked="0"/>
    </xf>
    <xf numFmtId="179" fontId="3" fillId="12" borderId="5" xfId="0" applyFont="1" applyFill="1" applyBorder="1" applyAlignment="1" applyProtection="1">
      <alignment horizontal="right"/>
      <protection/>
    </xf>
    <xf numFmtId="179" fontId="2" fillId="12" borderId="0" xfId="0" applyFont="1" applyFill="1" applyBorder="1" applyAlignment="1" applyProtection="1" quotePrefix="1">
      <alignment/>
      <protection/>
    </xf>
    <xf numFmtId="179" fontId="4" fillId="12" borderId="4" xfId="0" applyFont="1" applyFill="1" applyBorder="1" applyAlignment="1" applyProtection="1">
      <alignment/>
      <protection/>
    </xf>
    <xf numFmtId="197" fontId="7" fillId="3" borderId="2" xfId="28" applyNumberFormat="1" applyFont="1" applyBorder="1" applyProtection="1">
      <alignment/>
      <protection/>
    </xf>
    <xf numFmtId="179" fontId="3" fillId="12" borderId="0" xfId="0" applyFont="1" applyFill="1" applyAlignment="1" applyProtection="1">
      <alignment horizontal="center"/>
      <protection/>
    </xf>
    <xf numFmtId="179" fontId="0" fillId="12" borderId="8" xfId="0" applyFill="1" applyBorder="1" applyAlignment="1">
      <alignment/>
    </xf>
    <xf numFmtId="179" fontId="3" fillId="12" borderId="0" xfId="0" applyFont="1" applyFill="1" applyBorder="1" applyAlignment="1" applyProtection="1">
      <alignment horizontal="center"/>
      <protection/>
    </xf>
    <xf numFmtId="197" fontId="7" fillId="3" borderId="0" xfId="28" applyNumberFormat="1" applyFont="1" applyBorder="1" applyProtection="1">
      <alignment/>
      <protection/>
    </xf>
    <xf numFmtId="179" fontId="2" fillId="12" borderId="2" xfId="0" applyFont="1" applyFill="1" applyBorder="1" applyAlignment="1" applyProtection="1">
      <alignment horizontal="left"/>
      <protection/>
    </xf>
    <xf numFmtId="179" fontId="0" fillId="8" borderId="2" xfId="0" applyFill="1" applyBorder="1" applyAlignment="1" applyProtection="1">
      <alignment horizontal="center"/>
      <protection hidden="1"/>
    </xf>
    <xf numFmtId="179" fontId="0" fillId="8" borderId="8" xfId="0" applyFill="1" applyBorder="1" applyAlignment="1" applyProtection="1">
      <alignment horizontal="center"/>
      <protection hidden="1"/>
    </xf>
    <xf numFmtId="197" fontId="31" fillId="3" borderId="40" xfId="22" applyNumberFormat="1" applyFont="1" applyFill="1" applyBorder="1" applyProtection="1">
      <alignment/>
      <protection/>
    </xf>
    <xf numFmtId="179" fontId="68" fillId="8" borderId="0" xfId="20" applyFont="1" applyFill="1" applyAlignment="1" applyProtection="1">
      <alignment/>
      <protection/>
    </xf>
    <xf numFmtId="0" fontId="20" fillId="8" borderId="0" xfId="24" applyFont="1" applyFill="1" applyProtection="1">
      <alignment/>
      <protection/>
    </xf>
    <xf numFmtId="0" fontId="3" fillId="8" borderId="0" xfId="25" applyFont="1" applyFill="1" applyAlignment="1" applyProtection="1">
      <alignment horizontal="center"/>
      <protection/>
    </xf>
    <xf numFmtId="0" fontId="69" fillId="8" borderId="0" xfId="24" applyFont="1" applyFill="1" applyBorder="1">
      <alignment/>
      <protection/>
    </xf>
    <xf numFmtId="0" fontId="1" fillId="8" borderId="41" xfId="24" applyFill="1" applyBorder="1">
      <alignment/>
      <protection/>
    </xf>
    <xf numFmtId="0" fontId="1" fillId="8" borderId="42" xfId="24" applyFill="1" applyBorder="1">
      <alignment/>
      <protection/>
    </xf>
    <xf numFmtId="0" fontId="1" fillId="8" borderId="43" xfId="24" applyFill="1" applyBorder="1">
      <alignment/>
      <protection/>
    </xf>
    <xf numFmtId="197" fontId="2" fillId="3" borderId="2" xfId="0" applyNumberFormat="1" applyFont="1" applyFill="1" applyBorder="1" applyAlignment="1" applyProtection="1">
      <alignment/>
      <protection/>
    </xf>
    <xf numFmtId="179" fontId="0" fillId="8" borderId="0" xfId="0" applyFill="1" applyAlignment="1" applyProtection="1">
      <alignment/>
      <protection/>
    </xf>
    <xf numFmtId="179" fontId="0" fillId="2" borderId="0" xfId="0" applyAlignment="1" applyProtection="1">
      <alignment/>
      <protection/>
    </xf>
    <xf numFmtId="179" fontId="0" fillId="2" borderId="0" xfId="0" applyFill="1" applyAlignment="1" applyProtection="1">
      <alignment/>
      <protection/>
    </xf>
    <xf numFmtId="179" fontId="38" fillId="8" borderId="0" xfId="0" applyFont="1" applyFill="1" applyAlignment="1" applyProtection="1" quotePrefix="1">
      <alignment horizontal="right"/>
      <protection/>
    </xf>
    <xf numFmtId="1" fontId="38" fillId="8" borderId="0" xfId="0" applyNumberFormat="1" applyFont="1" applyFill="1" applyAlignment="1" applyProtection="1">
      <alignment/>
      <protection/>
    </xf>
    <xf numFmtId="179" fontId="30" fillId="8" borderId="0" xfId="0" applyFont="1" applyFill="1" applyAlignment="1" applyProtection="1">
      <alignment horizontal="center"/>
      <protection/>
    </xf>
    <xf numFmtId="179" fontId="30" fillId="8" borderId="0" xfId="0" applyFont="1" applyFill="1" applyAlignment="1" applyProtection="1">
      <alignment/>
      <protection/>
    </xf>
    <xf numFmtId="179" fontId="0" fillId="8" borderId="5" xfId="0" applyFill="1" applyBorder="1" applyAlignment="1" applyProtection="1">
      <alignment/>
      <protection/>
    </xf>
    <xf numFmtId="179" fontId="0" fillId="8" borderId="6" xfId="0" applyFill="1" applyBorder="1" applyAlignment="1" applyProtection="1">
      <alignment/>
      <protection/>
    </xf>
    <xf numFmtId="179" fontId="0" fillId="8" borderId="3" xfId="0" applyFill="1" applyBorder="1" applyAlignment="1" applyProtection="1">
      <alignment/>
      <protection/>
    </xf>
    <xf numFmtId="179" fontId="0" fillId="8" borderId="0" xfId="0" applyFill="1" applyBorder="1" applyAlignment="1" applyProtection="1">
      <alignment/>
      <protection/>
    </xf>
    <xf numFmtId="179" fontId="0" fillId="8" borderId="8" xfId="0" applyFill="1" applyBorder="1" applyAlignment="1" applyProtection="1">
      <alignment/>
      <protection/>
    </xf>
    <xf numFmtId="4" fontId="2" fillId="3" borderId="8" xfId="28" applyNumberFormat="1" applyBorder="1" applyProtection="1">
      <alignment/>
      <protection/>
    </xf>
    <xf numFmtId="179" fontId="0" fillId="8" borderId="9" xfId="0" applyFill="1" applyBorder="1" applyAlignment="1" applyProtection="1">
      <alignment/>
      <protection/>
    </xf>
    <xf numFmtId="179" fontId="0" fillId="8" borderId="2" xfId="0" applyFill="1" applyBorder="1" applyAlignment="1" applyProtection="1">
      <alignment/>
      <protection/>
    </xf>
    <xf numFmtId="4" fontId="2" fillId="3" borderId="2" xfId="28" applyNumberFormat="1" applyBorder="1" applyProtection="1">
      <alignment/>
      <protection/>
    </xf>
    <xf numFmtId="179" fontId="0" fillId="8" borderId="4" xfId="0" applyFill="1" applyBorder="1" applyAlignment="1" applyProtection="1">
      <alignment/>
      <protection/>
    </xf>
    <xf numFmtId="179" fontId="30" fillId="8" borderId="2" xfId="0" applyFont="1" applyFill="1" applyBorder="1" applyAlignment="1" applyProtection="1">
      <alignment/>
      <protection/>
    </xf>
    <xf numFmtId="179" fontId="0" fillId="2" borderId="3" xfId="0" applyFill="1" applyBorder="1" applyAlignment="1" applyProtection="1">
      <alignment/>
      <protection/>
    </xf>
    <xf numFmtId="179" fontId="0" fillId="2" borderId="0" xfId="0" applyFill="1" applyBorder="1" applyAlignment="1" applyProtection="1">
      <alignment/>
      <protection/>
    </xf>
    <xf numFmtId="179" fontId="0" fillId="8" borderId="0" xfId="0" applyFill="1" applyBorder="1" applyAlignment="1" applyProtection="1">
      <alignment horizontal="center"/>
      <protection/>
    </xf>
    <xf numFmtId="179" fontId="38" fillId="8" borderId="4" xfId="0" applyFont="1" applyFill="1" applyBorder="1" applyAlignment="1" applyProtection="1">
      <alignment horizontal="left"/>
      <protection/>
    </xf>
    <xf numFmtId="179" fontId="0" fillId="2" borderId="2" xfId="0" applyFill="1" applyBorder="1" applyAlignment="1" applyProtection="1">
      <alignment horizontal="center"/>
      <protection/>
    </xf>
    <xf numFmtId="179" fontId="0" fillId="8" borderId="5" xfId="0" applyFill="1" applyBorder="1" applyAlignment="1" applyProtection="1">
      <alignment/>
      <protection/>
    </xf>
    <xf numFmtId="179" fontId="0" fillId="8" borderId="5" xfId="0" applyFill="1" applyBorder="1" applyAlignment="1" applyProtection="1">
      <alignment horizontal="center"/>
      <protection/>
    </xf>
    <xf numFmtId="179" fontId="0" fillId="8" borderId="6" xfId="0" applyFill="1" applyBorder="1" applyAlignment="1" applyProtection="1">
      <alignment/>
      <protection/>
    </xf>
    <xf numFmtId="179" fontId="38" fillId="8" borderId="3" xfId="0" applyFont="1" applyFill="1" applyBorder="1" applyAlignment="1" applyProtection="1">
      <alignment horizontal="left" vertical="top"/>
      <protection/>
    </xf>
    <xf numFmtId="179" fontId="0" fillId="8" borderId="0" xfId="0" applyFill="1" applyBorder="1" applyAlignment="1" applyProtection="1">
      <alignment/>
      <protection/>
    </xf>
    <xf numFmtId="179" fontId="0" fillId="8" borderId="7" xfId="0" applyFill="1" applyBorder="1" applyAlignment="1" applyProtection="1">
      <alignment/>
      <protection/>
    </xf>
    <xf numFmtId="179" fontId="38" fillId="8" borderId="9" xfId="0" applyFont="1" applyFill="1" applyBorder="1" applyAlignment="1" applyProtection="1">
      <alignment horizontal="left" vertical="top"/>
      <protection/>
    </xf>
    <xf numFmtId="179" fontId="0" fillId="8" borderId="8" xfId="0" applyFill="1" applyBorder="1" applyAlignment="1" applyProtection="1">
      <alignment vertical="center"/>
      <protection/>
    </xf>
    <xf numFmtId="179" fontId="0" fillId="8" borderId="8" xfId="0" applyFill="1" applyBorder="1" applyAlignment="1" applyProtection="1">
      <alignment/>
      <protection/>
    </xf>
    <xf numFmtId="179" fontId="0" fillId="8" borderId="10" xfId="0" applyFill="1" applyBorder="1" applyAlignment="1" applyProtection="1">
      <alignment/>
      <protection/>
    </xf>
    <xf numFmtId="179" fontId="0" fillId="8" borderId="0" xfId="0" applyFill="1" applyAlignment="1" applyProtection="1">
      <alignment horizontal="left"/>
      <protection/>
    </xf>
    <xf numFmtId="179" fontId="30" fillId="8" borderId="0" xfId="0" applyFont="1" applyFill="1" applyAlignment="1" applyProtection="1">
      <alignment horizontal="right"/>
      <protection/>
    </xf>
    <xf numFmtId="197" fontId="2" fillId="3" borderId="8" xfId="28" applyNumberFormat="1" applyBorder="1" applyProtection="1">
      <alignment/>
      <protection hidden="1"/>
    </xf>
    <xf numFmtId="197" fontId="2" fillId="3" borderId="8" xfId="28" applyNumberFormat="1" applyFont="1" applyBorder="1" applyProtection="1">
      <alignment/>
      <protection hidden="1"/>
    </xf>
    <xf numFmtId="197" fontId="2" fillId="3" borderId="8" xfId="28" applyNumberFormat="1" applyFont="1" applyBorder="1" applyAlignment="1" applyProtection="1">
      <alignment vertical="center"/>
      <protection/>
    </xf>
    <xf numFmtId="197" fontId="2" fillId="3" borderId="2" xfId="28" applyNumberFormat="1" applyBorder="1" applyAlignment="1" applyProtection="1">
      <alignment vertical="center"/>
      <protection/>
    </xf>
    <xf numFmtId="179" fontId="0" fillId="12" borderId="0" xfId="0" applyFill="1" applyAlignment="1" applyProtection="1">
      <alignment/>
      <protection/>
    </xf>
    <xf numFmtId="179" fontId="38" fillId="12" borderId="0" xfId="0" applyFont="1" applyFill="1" applyBorder="1" applyAlignment="1" applyProtection="1" quotePrefix="1">
      <alignment horizontal="center"/>
      <protection/>
    </xf>
    <xf numFmtId="197" fontId="2" fillId="3" borderId="2" xfId="28" applyNumberFormat="1" applyFont="1" applyBorder="1" applyProtection="1">
      <alignment/>
      <protection/>
    </xf>
    <xf numFmtId="197" fontId="0" fillId="0" borderId="0" xfId="0" applyNumberFormat="1" applyFill="1" applyBorder="1" applyAlignment="1" applyProtection="1">
      <alignment/>
      <protection/>
    </xf>
    <xf numFmtId="197" fontId="0" fillId="2" borderId="0" xfId="0" applyNumberFormat="1" applyBorder="1" applyAlignment="1" applyProtection="1">
      <alignment/>
      <protection/>
    </xf>
    <xf numFmtId="197" fontId="2" fillId="3" borderId="13" xfId="28" applyNumberFormat="1" applyBorder="1" applyProtection="1">
      <alignment/>
      <protection/>
    </xf>
    <xf numFmtId="179" fontId="2" fillId="3" borderId="9" xfId="0" applyFont="1" applyFill="1" applyBorder="1" applyAlignment="1" applyProtection="1">
      <alignment/>
      <protection/>
    </xf>
    <xf numFmtId="197" fontId="2" fillId="3" borderId="10" xfId="28" applyNumberFormat="1" applyBorder="1" applyProtection="1">
      <alignment/>
      <protection/>
    </xf>
    <xf numFmtId="197" fontId="2" fillId="3" borderId="11" xfId="28" applyNumberFormat="1" applyBorder="1" applyProtection="1">
      <alignment/>
      <protection/>
    </xf>
    <xf numFmtId="179" fontId="2" fillId="3" borderId="21" xfId="0" applyFont="1" applyFill="1" applyBorder="1" applyAlignment="1" applyProtection="1">
      <alignment/>
      <protection/>
    </xf>
    <xf numFmtId="197" fontId="2" fillId="3" borderId="14" xfId="28" applyNumberFormat="1" applyBorder="1" applyProtection="1">
      <alignment/>
      <protection/>
    </xf>
    <xf numFmtId="183" fontId="2" fillId="3" borderId="21" xfId="0" applyNumberFormat="1" applyFont="1" applyFill="1" applyBorder="1" applyAlignment="1" applyProtection="1">
      <alignment/>
      <protection/>
    </xf>
    <xf numFmtId="183" fontId="2" fillId="3" borderId="14" xfId="28" applyNumberFormat="1" applyBorder="1" applyProtection="1">
      <alignment/>
      <protection/>
    </xf>
    <xf numFmtId="197" fontId="2" fillId="3" borderId="0" xfId="28" applyNumberFormat="1" applyFont="1" applyBorder="1" applyProtection="1">
      <alignment/>
      <protection/>
    </xf>
    <xf numFmtId="179" fontId="2" fillId="8" borderId="0" xfId="28" applyFill="1" applyBorder="1" applyProtection="1">
      <alignment/>
      <protection/>
    </xf>
    <xf numFmtId="179" fontId="30" fillId="8" borderId="0" xfId="0" applyFont="1" applyFill="1" applyBorder="1" applyAlignment="1" applyProtection="1" quotePrefix="1">
      <alignment/>
      <protection/>
    </xf>
    <xf numFmtId="179" fontId="0" fillId="8" borderId="8" xfId="0" applyFill="1" applyBorder="1" applyAlignment="1" applyProtection="1">
      <alignment wrapText="1"/>
      <protection/>
    </xf>
    <xf numFmtId="179" fontId="0" fillId="8" borderId="8" xfId="0" applyFill="1" applyBorder="1" applyAlignment="1" applyProtection="1">
      <alignment horizontal="right"/>
      <protection/>
    </xf>
    <xf numFmtId="197" fontId="2" fillId="3" borderId="2" xfId="28" applyNumberFormat="1" applyFont="1" applyBorder="1" applyProtection="1" quotePrefix="1">
      <alignment/>
      <protection/>
    </xf>
    <xf numFmtId="179" fontId="38" fillId="8" borderId="0" xfId="0" applyFont="1" applyFill="1" applyAlignment="1" applyProtection="1">
      <alignment horizontal="center"/>
      <protection/>
    </xf>
    <xf numFmtId="179" fontId="0" fillId="8" borderId="0" xfId="0" applyFill="1" applyAlignment="1" applyProtection="1">
      <alignment horizontal="center"/>
      <protection/>
    </xf>
    <xf numFmtId="1" fontId="0" fillId="8" borderId="0" xfId="0" applyNumberFormat="1" applyFill="1" applyAlignment="1" applyProtection="1">
      <alignment horizontal="center"/>
      <protection/>
    </xf>
    <xf numFmtId="179" fontId="0" fillId="8" borderId="0" xfId="22" applyFill="1" applyProtection="1">
      <alignment/>
      <protection/>
    </xf>
    <xf numFmtId="179" fontId="0" fillId="0" borderId="0" xfId="22" applyProtection="1">
      <alignment/>
      <protection/>
    </xf>
    <xf numFmtId="197" fontId="31" fillId="3" borderId="0" xfId="22" applyNumberFormat="1" applyFont="1" applyFill="1" applyAlignment="1" applyProtection="1">
      <alignment vertical="center"/>
      <protection/>
    </xf>
    <xf numFmtId="179" fontId="32" fillId="8" borderId="22" xfId="22" applyFont="1" applyFill="1" applyBorder="1" applyAlignment="1" applyProtection="1">
      <alignment horizontal="center"/>
      <protection/>
    </xf>
    <xf numFmtId="179" fontId="29" fillId="8" borderId="22" xfId="22" applyFont="1" applyFill="1" applyBorder="1" applyProtection="1">
      <alignment/>
      <protection/>
    </xf>
    <xf numFmtId="179" fontId="0" fillId="8" borderId="22" xfId="22" applyFill="1" applyBorder="1" applyProtection="1">
      <alignment/>
      <protection/>
    </xf>
    <xf numFmtId="179" fontId="32" fillId="8" borderId="0" xfId="22" applyFont="1" applyFill="1" applyAlignment="1" applyProtection="1">
      <alignment horizontal="center"/>
      <protection/>
    </xf>
    <xf numFmtId="179" fontId="29" fillId="8" borderId="0" xfId="22" applyFont="1" applyFill="1" applyProtection="1">
      <alignment/>
      <protection/>
    </xf>
    <xf numFmtId="49" fontId="0" fillId="0" borderId="0" xfId="22" applyNumberFormat="1" applyAlignment="1" applyProtection="1">
      <alignment horizontal="center" vertical="center"/>
      <protection/>
    </xf>
    <xf numFmtId="197" fontId="31" fillId="3" borderId="0" xfId="22" applyNumberFormat="1" applyFont="1" applyFill="1" applyProtection="1">
      <alignment/>
      <protection/>
    </xf>
    <xf numFmtId="179" fontId="29" fillId="8" borderId="0" xfId="22" applyFont="1" applyFill="1" applyAlignment="1" applyProtection="1">
      <alignment vertical="center"/>
      <protection/>
    </xf>
    <xf numFmtId="49" fontId="0" fillId="8" borderId="0" xfId="22" applyNumberFormat="1" applyFill="1" applyAlignment="1" applyProtection="1">
      <alignment horizontal="center" vertical="center"/>
      <protection/>
    </xf>
    <xf numFmtId="49" fontId="0" fillId="8" borderId="22" xfId="22" applyNumberFormat="1" applyFill="1" applyBorder="1" applyAlignment="1" applyProtection="1">
      <alignment horizontal="center" vertical="center"/>
      <protection/>
    </xf>
    <xf numFmtId="197" fontId="31" fillId="3" borderId="2" xfId="22" applyNumberFormat="1" applyFont="1" applyFill="1" applyBorder="1" applyProtection="1">
      <alignment/>
      <protection/>
    </xf>
    <xf numFmtId="179" fontId="0" fillId="8" borderId="0" xfId="22" applyFill="1" applyBorder="1" applyProtection="1">
      <alignment/>
      <protection/>
    </xf>
    <xf numFmtId="197" fontId="31" fillId="3" borderId="8" xfId="22" applyNumberFormat="1" applyFont="1" applyFill="1" applyBorder="1" applyAlignment="1" applyProtection="1">
      <alignment vertical="center"/>
      <protection/>
    </xf>
    <xf numFmtId="1" fontId="53" fillId="0" borderId="0" xfId="22" applyNumberFormat="1" applyFont="1" applyProtection="1">
      <alignment/>
      <protection/>
    </xf>
    <xf numFmtId="1" fontId="0" fillId="8" borderId="0" xfId="22" applyNumberFormat="1" applyFont="1" applyFill="1" applyBorder="1" applyAlignment="1" applyProtection="1">
      <alignment horizontal="center" vertical="center"/>
      <protection/>
    </xf>
    <xf numFmtId="1" fontId="0" fillId="8" borderId="0" xfId="22" applyNumberFormat="1" applyFont="1" applyFill="1" applyAlignment="1" applyProtection="1">
      <alignment horizontal="left"/>
      <protection/>
    </xf>
    <xf numFmtId="1" fontId="0" fillId="8" borderId="0" xfId="22" applyNumberFormat="1" applyFont="1" applyFill="1" applyBorder="1" applyProtection="1">
      <alignment/>
      <protection/>
    </xf>
    <xf numFmtId="1" fontId="0" fillId="8" borderId="0" xfId="22" applyNumberFormat="1" applyFont="1" applyFill="1" applyProtection="1">
      <alignment/>
      <protection/>
    </xf>
    <xf numFmtId="1" fontId="32" fillId="8" borderId="0" xfId="22" applyNumberFormat="1" applyFont="1" applyFill="1" applyAlignment="1" applyProtection="1">
      <alignment horizontal="center"/>
      <protection/>
    </xf>
    <xf numFmtId="1" fontId="29" fillId="8" borderId="0" xfId="22" applyNumberFormat="1" applyFont="1" applyFill="1" applyProtection="1">
      <alignment/>
      <protection/>
    </xf>
    <xf numFmtId="1" fontId="0" fillId="8" borderId="0" xfId="22" applyNumberFormat="1" applyFill="1" applyProtection="1">
      <alignment/>
      <protection/>
    </xf>
    <xf numFmtId="9" fontId="31" fillId="3" borderId="0" xfId="22" applyNumberFormat="1" applyFont="1" applyFill="1" applyAlignment="1" applyProtection="1">
      <alignment vertical="center"/>
      <protection/>
    </xf>
    <xf numFmtId="179" fontId="29" fillId="8" borderId="0" xfId="22" applyFont="1" applyFill="1" applyBorder="1" applyProtection="1">
      <alignment/>
      <protection/>
    </xf>
    <xf numFmtId="1" fontId="31" fillId="3" borderId="0" xfId="22" applyNumberFormat="1" applyFont="1" applyFill="1" applyBorder="1" applyProtection="1">
      <alignment/>
      <protection/>
    </xf>
    <xf numFmtId="197" fontId="31" fillId="3" borderId="0" xfId="22" applyNumberFormat="1" applyFont="1" applyFill="1" applyBorder="1" applyProtection="1">
      <alignment/>
      <protection/>
    </xf>
    <xf numFmtId="179" fontId="0" fillId="0" borderId="0" xfId="22" applyFill="1" applyProtection="1">
      <alignment/>
      <protection/>
    </xf>
    <xf numFmtId="197" fontId="31" fillId="8" borderId="8" xfId="22" applyNumberFormat="1" applyFont="1" applyFill="1" applyBorder="1" applyProtection="1">
      <alignment/>
      <protection/>
    </xf>
    <xf numFmtId="0" fontId="1" fillId="8" borderId="0" xfId="24" applyFont="1" applyFill="1" applyAlignment="1" applyProtection="1">
      <alignment horizontal="center"/>
      <protection/>
    </xf>
    <xf numFmtId="0" fontId="1" fillId="8" borderId="0" xfId="24" applyFill="1" applyProtection="1">
      <alignment/>
      <protection/>
    </xf>
    <xf numFmtId="0" fontId="20" fillId="8" borderId="0" xfId="24" applyFont="1" applyFill="1" applyAlignment="1" applyProtection="1">
      <alignment horizontal="center"/>
      <protection/>
    </xf>
    <xf numFmtId="179" fontId="46" fillId="8" borderId="5" xfId="0" applyFont="1" applyFill="1" applyBorder="1" applyAlignment="1" applyProtection="1">
      <alignment/>
      <protection/>
    </xf>
    <xf numFmtId="179" fontId="0" fillId="8" borderId="7" xfId="0" applyFill="1" applyBorder="1" applyAlignment="1" applyProtection="1">
      <alignment/>
      <protection/>
    </xf>
    <xf numFmtId="179" fontId="0" fillId="8" borderId="0" xfId="0" applyFill="1" applyBorder="1" applyAlignment="1" applyProtection="1">
      <alignment horizontal="right"/>
      <protection/>
    </xf>
    <xf numFmtId="197" fontId="2" fillId="8" borderId="8" xfId="0" applyNumberFormat="1" applyFont="1" applyFill="1" applyBorder="1" applyAlignment="1" applyProtection="1">
      <alignment/>
      <protection/>
    </xf>
    <xf numFmtId="187" fontId="0" fillId="2" borderId="8" xfId="0" applyNumberFormat="1" applyFill="1" applyBorder="1" applyAlignment="1" applyProtection="1">
      <alignment horizontal="center"/>
      <protection locked="0"/>
    </xf>
    <xf numFmtId="187" fontId="0" fillId="2" borderId="2" xfId="0" applyNumberFormat="1" applyFill="1" applyBorder="1" applyAlignment="1" applyProtection="1">
      <alignment horizontal="center"/>
      <protection locked="0"/>
    </xf>
    <xf numFmtId="179" fontId="47" fillId="8" borderId="0" xfId="0" applyFont="1" applyFill="1" applyBorder="1" applyAlignment="1" applyProtection="1">
      <alignment/>
      <protection/>
    </xf>
    <xf numFmtId="179" fontId="48" fillId="8" borderId="0" xfId="0" applyFont="1" applyFill="1" applyBorder="1" applyAlignment="1" applyProtection="1">
      <alignment/>
      <protection/>
    </xf>
    <xf numFmtId="179" fontId="38" fillId="8" borderId="0" xfId="0" applyFont="1" applyFill="1" applyBorder="1" applyAlignment="1" applyProtection="1">
      <alignment/>
      <protection/>
    </xf>
    <xf numFmtId="179" fontId="38" fillId="8" borderId="0" xfId="0" applyFont="1" applyFill="1" applyBorder="1" applyAlignment="1" applyProtection="1">
      <alignment horizontal="right"/>
      <protection/>
    </xf>
    <xf numFmtId="179" fontId="0" fillId="8" borderId="8" xfId="0" applyFont="1" applyFill="1" applyBorder="1" applyAlignment="1" applyProtection="1">
      <alignment/>
      <protection/>
    </xf>
    <xf numFmtId="179" fontId="0" fillId="8" borderId="10" xfId="0" applyFill="1" applyBorder="1" applyAlignment="1" applyProtection="1">
      <alignment/>
      <protection/>
    </xf>
    <xf numFmtId="179" fontId="0" fillId="8" borderId="30" xfId="0" applyFill="1" applyBorder="1" applyAlignment="1" applyProtection="1">
      <alignment/>
      <protection/>
    </xf>
    <xf numFmtId="179" fontId="38" fillId="8" borderId="0" xfId="0" applyFont="1" applyFill="1" applyBorder="1" applyAlignment="1" applyProtection="1">
      <alignment horizontal="center"/>
      <protection/>
    </xf>
    <xf numFmtId="179" fontId="0" fillId="8" borderId="7" xfId="0" applyFill="1" applyBorder="1" applyAlignment="1" applyProtection="1" quotePrefix="1">
      <alignment horizontal="center"/>
      <protection/>
    </xf>
    <xf numFmtId="179" fontId="0" fillId="8" borderId="29" xfId="0" applyFill="1" applyBorder="1" applyAlignment="1" applyProtection="1">
      <alignment/>
      <protection/>
    </xf>
    <xf numFmtId="179" fontId="0" fillId="8" borderId="44" xfId="0" applyFill="1" applyBorder="1" applyAlignment="1" applyProtection="1">
      <alignment/>
      <protection/>
    </xf>
    <xf numFmtId="179" fontId="0" fillId="8" borderId="7" xfId="0" applyFill="1" applyBorder="1" applyAlignment="1" applyProtection="1">
      <alignment horizontal="center"/>
      <protection/>
    </xf>
    <xf numFmtId="179" fontId="49" fillId="8" borderId="0" xfId="0" applyFont="1" applyFill="1" applyAlignment="1" applyProtection="1">
      <alignment horizontal="right"/>
      <protection/>
    </xf>
    <xf numFmtId="179" fontId="38" fillId="8" borderId="0" xfId="0" applyFont="1" applyFill="1" applyAlignment="1" applyProtection="1">
      <alignment/>
      <protection/>
    </xf>
    <xf numFmtId="197" fontId="31" fillId="3" borderId="13" xfId="22" applyNumberFormat="1" applyFont="1" applyFill="1" applyBorder="1" applyProtection="1">
      <alignment/>
      <protection/>
    </xf>
    <xf numFmtId="197" fontId="31" fillId="3" borderId="20" xfId="22" applyNumberFormat="1" applyFont="1" applyFill="1" applyBorder="1" applyProtection="1">
      <alignment/>
      <protection/>
    </xf>
    <xf numFmtId="197" fontId="31" fillId="3" borderId="45" xfId="22" applyNumberFormat="1" applyFont="1" applyFill="1" applyBorder="1" applyProtection="1">
      <alignment/>
      <protection/>
    </xf>
    <xf numFmtId="197" fontId="31" fillId="3" borderId="35" xfId="22" applyNumberFormat="1" applyFont="1" applyFill="1" applyBorder="1" applyProtection="1">
      <alignment/>
      <protection/>
    </xf>
    <xf numFmtId="197" fontId="31" fillId="3" borderId="46" xfId="22" applyNumberFormat="1" applyFont="1" applyFill="1" applyBorder="1" applyProtection="1">
      <alignment/>
      <protection/>
    </xf>
    <xf numFmtId="197" fontId="31" fillId="3" borderId="38" xfId="22" applyNumberFormat="1" applyFont="1" applyFill="1" applyBorder="1" applyProtection="1">
      <alignment/>
      <protection/>
    </xf>
    <xf numFmtId="197" fontId="31" fillId="2" borderId="13" xfId="22" applyNumberFormat="1" applyFont="1" applyFill="1" applyBorder="1" applyAlignment="1" applyProtection="1">
      <alignment horizontal="right"/>
      <protection locked="0"/>
    </xf>
    <xf numFmtId="1" fontId="3" fillId="8" borderId="0" xfId="0" applyNumberFormat="1" applyFont="1" applyFill="1" applyBorder="1" applyAlignment="1" applyProtection="1">
      <alignment horizontal="left"/>
      <protection/>
    </xf>
    <xf numFmtId="197" fontId="7" fillId="3" borderId="47" xfId="28" applyNumberFormat="1" applyFont="1" applyBorder="1" applyProtection="1">
      <alignment/>
      <protection/>
    </xf>
    <xf numFmtId="197" fontId="7" fillId="2" borderId="22" xfId="0" applyNumberFormat="1" applyFont="1" applyFill="1" applyBorder="1" applyAlignment="1" applyProtection="1">
      <alignment/>
      <protection locked="0"/>
    </xf>
    <xf numFmtId="197" fontId="7" fillId="2" borderId="47" xfId="0" applyNumberFormat="1" applyFont="1" applyFill="1" applyBorder="1" applyAlignment="1" applyProtection="1">
      <alignment/>
      <protection locked="0"/>
    </xf>
    <xf numFmtId="197" fontId="7" fillId="2" borderId="22" xfId="28" applyNumberFormat="1" applyFont="1" applyFill="1" applyBorder="1" applyProtection="1">
      <alignment/>
      <protection locked="0"/>
    </xf>
    <xf numFmtId="197" fontId="2" fillId="3" borderId="47" xfId="28" applyNumberFormat="1" applyBorder="1" applyProtection="1">
      <alignment/>
      <protection/>
    </xf>
    <xf numFmtId="9" fontId="2" fillId="3" borderId="47" xfId="28" applyNumberFormat="1" applyBorder="1" applyProtection="1">
      <alignment/>
      <protection/>
    </xf>
    <xf numFmtId="197" fontId="2" fillId="2" borderId="47" xfId="0" applyNumberFormat="1" applyFont="1" applyFill="1" applyBorder="1" applyAlignment="1" applyProtection="1">
      <alignment/>
      <protection locked="0"/>
    </xf>
    <xf numFmtId="197" fontId="2" fillId="3" borderId="22" xfId="28" applyNumberFormat="1" applyBorder="1" applyProtection="1">
      <alignment/>
      <protection/>
    </xf>
    <xf numFmtId="197" fontId="2" fillId="3" borderId="22" xfId="28" applyNumberFormat="1" applyFont="1" applyBorder="1" applyProtection="1">
      <alignment/>
      <protection/>
    </xf>
    <xf numFmtId="197" fontId="2" fillId="2" borderId="22" xfId="0" applyNumberFormat="1" applyFont="1" applyFill="1" applyBorder="1" applyAlignment="1" applyProtection="1">
      <alignment/>
      <protection locked="0"/>
    </xf>
    <xf numFmtId="197" fontId="2" fillId="3" borderId="11" xfId="28" applyNumberFormat="1" applyFont="1" applyBorder="1" applyProtection="1">
      <alignment/>
      <protection/>
    </xf>
    <xf numFmtId="197" fontId="2" fillId="2" borderId="48" xfId="0" applyNumberFormat="1" applyFont="1" applyFill="1" applyBorder="1" applyAlignment="1" applyProtection="1">
      <alignment/>
      <protection locked="0"/>
    </xf>
    <xf numFmtId="187" fontId="2" fillId="8" borderId="21" xfId="0" applyNumberFormat="1" applyFont="1" applyFill="1" applyBorder="1" applyAlignment="1" applyProtection="1">
      <alignment/>
      <protection/>
    </xf>
    <xf numFmtId="179" fontId="2" fillId="8" borderId="13" xfId="0" applyFont="1" applyFill="1" applyBorder="1" applyAlignment="1" applyProtection="1">
      <alignment horizontal="center"/>
      <protection/>
    </xf>
    <xf numFmtId="197" fontId="2" fillId="8" borderId="5" xfId="28" applyNumberFormat="1" applyFill="1" applyBorder="1" applyProtection="1">
      <alignment/>
      <protection/>
    </xf>
    <xf numFmtId="179" fontId="3" fillId="8" borderId="3" xfId="0" applyFont="1" applyFill="1" applyBorder="1" applyAlignment="1" applyProtection="1">
      <alignment/>
      <protection/>
    </xf>
    <xf numFmtId="197" fontId="2" fillId="3" borderId="11" xfId="28" applyNumberFormat="1" applyBorder="1" applyAlignment="1" applyProtection="1">
      <alignment vertical="center"/>
      <protection/>
    </xf>
    <xf numFmtId="197" fontId="2" fillId="2" borderId="47" xfId="0" applyNumberFormat="1" applyFont="1" applyFill="1" applyBorder="1" applyAlignment="1" applyProtection="1">
      <alignment vertical="center"/>
      <protection locked="0"/>
    </xf>
    <xf numFmtId="197" fontId="2" fillId="3" borderId="22" xfId="28" applyNumberFormat="1" applyBorder="1" applyAlignment="1" applyProtection="1">
      <alignment vertical="center"/>
      <protection/>
    </xf>
    <xf numFmtId="197" fontId="2" fillId="2" borderId="22" xfId="0" applyNumberFormat="1" applyFont="1" applyFill="1" applyBorder="1" applyAlignment="1" applyProtection="1">
      <alignment vertical="center"/>
      <protection locked="0"/>
    </xf>
    <xf numFmtId="197" fontId="2" fillId="3" borderId="47" xfId="28" applyNumberFormat="1" applyBorder="1" applyAlignment="1" applyProtection="1">
      <alignment vertical="center"/>
      <protection/>
    </xf>
    <xf numFmtId="197" fontId="7" fillId="3" borderId="11" xfId="28" applyNumberFormat="1" applyFont="1" applyBorder="1" applyProtection="1">
      <alignment/>
      <protection/>
    </xf>
    <xf numFmtId="197" fontId="2" fillId="3" borderId="47" xfId="28" applyNumberFormat="1" applyFont="1" applyBorder="1" applyProtection="1">
      <alignment/>
      <protection/>
    </xf>
    <xf numFmtId="197" fontId="0" fillId="2" borderId="47" xfId="0" applyNumberFormat="1" applyBorder="1" applyAlignment="1" applyProtection="1">
      <alignment/>
      <protection locked="0"/>
    </xf>
    <xf numFmtId="179" fontId="10" fillId="12" borderId="0" xfId="0" applyFont="1" applyFill="1" applyBorder="1" applyAlignment="1" applyProtection="1">
      <alignment/>
      <protection/>
    </xf>
    <xf numFmtId="197" fontId="0" fillId="2" borderId="22" xfId="0" applyNumberFormat="1" applyBorder="1" applyAlignment="1" applyProtection="1">
      <alignment/>
      <protection locked="0"/>
    </xf>
    <xf numFmtId="179" fontId="4" fillId="12" borderId="0" xfId="0" applyFont="1" applyFill="1" applyBorder="1" applyAlignment="1" applyProtection="1">
      <alignment/>
      <protection/>
    </xf>
    <xf numFmtId="2" fontId="56" fillId="3" borderId="11" xfId="25" applyNumberFormat="1" applyFont="1" applyFill="1" applyBorder="1" applyAlignment="1" applyProtection="1" quotePrefix="1">
      <alignment horizontal="right"/>
      <protection/>
    </xf>
    <xf numFmtId="2" fontId="56" fillId="3" borderId="47" xfId="25" applyNumberFormat="1" applyFont="1" applyFill="1" applyBorder="1" applyAlignment="1" applyProtection="1" quotePrefix="1">
      <alignment horizontal="right"/>
      <protection/>
    </xf>
    <xf numFmtId="179" fontId="38" fillId="8" borderId="8" xfId="0" applyFont="1" applyFill="1" applyBorder="1" applyAlignment="1" applyProtection="1">
      <alignment horizontal="right"/>
      <protection/>
    </xf>
    <xf numFmtId="179" fontId="0" fillId="8" borderId="10" xfId="0" applyFill="1" applyBorder="1" applyAlignment="1" applyProtection="1" quotePrefix="1">
      <alignment horizontal="center"/>
      <protection/>
    </xf>
    <xf numFmtId="2" fontId="2" fillId="2" borderId="22" xfId="26" applyNumberFormat="1" applyFont="1" applyFill="1" applyBorder="1" applyAlignment="1" applyProtection="1" quotePrefix="1">
      <alignment horizontal="right"/>
      <protection locked="0"/>
    </xf>
    <xf numFmtId="2" fontId="2" fillId="3" borderId="22" xfId="26" applyNumberFormat="1" applyFont="1" applyFill="1" applyBorder="1" applyAlignment="1" applyProtection="1" quotePrefix="1">
      <alignment horizontal="right"/>
      <protection/>
    </xf>
    <xf numFmtId="2" fontId="2" fillId="3" borderId="49" xfId="26" applyNumberFormat="1" applyFont="1" applyFill="1" applyBorder="1" applyAlignment="1" applyProtection="1" quotePrefix="1">
      <alignment horizontal="right"/>
      <protection/>
    </xf>
    <xf numFmtId="49" fontId="7" fillId="8" borderId="0" xfId="22" applyNumberFormat="1" applyFont="1" applyFill="1" applyBorder="1" applyAlignment="1" applyProtection="1">
      <alignment horizontal="center" shrinkToFit="1"/>
      <protection/>
    </xf>
    <xf numFmtId="2" fontId="31" fillId="8" borderId="0" xfId="22" applyNumberFormat="1" applyFont="1" applyFill="1" applyBorder="1" applyAlignment="1" applyProtection="1">
      <alignment horizontal="right" vertical="center"/>
      <protection/>
    </xf>
    <xf numFmtId="179" fontId="0" fillId="8" borderId="0" xfId="0" applyFill="1" applyBorder="1" applyAlignment="1">
      <alignment horizontal="center"/>
    </xf>
    <xf numFmtId="179" fontId="30" fillId="8" borderId="0" xfId="0" applyFont="1" applyFill="1" applyBorder="1" applyAlignment="1">
      <alignment horizontal="center"/>
    </xf>
    <xf numFmtId="179" fontId="47" fillId="8" borderId="5" xfId="0" applyFont="1" applyFill="1" applyBorder="1" applyAlignment="1">
      <alignment/>
    </xf>
    <xf numFmtId="179" fontId="16" fillId="8" borderId="0" xfId="0" applyFont="1" applyFill="1" applyAlignment="1" applyProtection="1">
      <alignment horizontal="center"/>
      <protection hidden="1"/>
    </xf>
    <xf numFmtId="179" fontId="4" fillId="8" borderId="0" xfId="0" applyFont="1" applyFill="1" applyAlignment="1" applyProtection="1">
      <alignment horizontal="center"/>
      <protection hidden="1"/>
    </xf>
    <xf numFmtId="179" fontId="7" fillId="8" borderId="3" xfId="0" applyFont="1" applyFill="1" applyBorder="1" applyAlignment="1" applyProtection="1">
      <alignment/>
      <protection hidden="1"/>
    </xf>
    <xf numFmtId="179" fontId="7" fillId="8" borderId="9" xfId="0" applyFont="1" applyFill="1" applyBorder="1" applyAlignment="1" applyProtection="1">
      <alignment/>
      <protection hidden="1"/>
    </xf>
    <xf numFmtId="179" fontId="7" fillId="8" borderId="0" xfId="0" applyFont="1" applyFill="1" applyAlignment="1" applyProtection="1">
      <alignment/>
      <protection hidden="1"/>
    </xf>
    <xf numFmtId="179" fontId="4" fillId="8" borderId="0" xfId="0" applyFont="1" applyFill="1" applyAlignment="1" applyProtection="1">
      <alignment horizontal="left"/>
      <protection hidden="1"/>
    </xf>
    <xf numFmtId="179" fontId="4" fillId="8" borderId="0" xfId="0" applyFont="1" applyFill="1" applyAlignment="1" applyProtection="1">
      <alignment/>
      <protection hidden="1"/>
    </xf>
    <xf numFmtId="179" fontId="3" fillId="8" borderId="0" xfId="0" applyFont="1" applyFill="1" applyAlignment="1" applyProtection="1">
      <alignment horizontal="left"/>
      <protection hidden="1"/>
    </xf>
    <xf numFmtId="179" fontId="2" fillId="8" borderId="0" xfId="0" applyFont="1" applyFill="1" applyAlignment="1" applyProtection="1">
      <alignment/>
      <protection hidden="1"/>
    </xf>
    <xf numFmtId="179" fontId="31" fillId="8" borderId="0" xfId="0" applyFont="1" applyFill="1" applyAlignment="1" applyProtection="1">
      <alignment/>
      <protection hidden="1"/>
    </xf>
    <xf numFmtId="179" fontId="29" fillId="8" borderId="0" xfId="0" applyFont="1" applyFill="1" applyAlignment="1" applyProtection="1">
      <alignment/>
      <protection hidden="1"/>
    </xf>
    <xf numFmtId="179" fontId="7" fillId="8" borderId="0" xfId="0" applyFont="1" applyFill="1" applyAlignment="1" applyProtection="1">
      <alignment/>
      <protection hidden="1"/>
    </xf>
    <xf numFmtId="179" fontId="3" fillId="8" borderId="0" xfId="0" applyFont="1" applyFill="1" applyAlignment="1" applyProtection="1">
      <alignment/>
      <protection hidden="1"/>
    </xf>
    <xf numFmtId="179" fontId="7" fillId="8" borderId="0" xfId="0" applyFont="1" applyFill="1" applyAlignment="1" applyProtection="1">
      <alignment horizontal="left"/>
      <protection hidden="1"/>
    </xf>
    <xf numFmtId="179" fontId="16" fillId="8" borderId="0" xfId="0" applyFont="1" applyFill="1" applyAlignment="1" applyProtection="1">
      <alignment horizontal="left"/>
      <protection hidden="1"/>
    </xf>
    <xf numFmtId="0" fontId="1" fillId="8" borderId="0" xfId="23" applyFont="1" applyFill="1" applyProtection="1">
      <alignment/>
      <protection hidden="1"/>
    </xf>
    <xf numFmtId="0" fontId="1" fillId="8" borderId="0" xfId="23" applyFill="1" applyProtection="1">
      <alignment/>
      <protection hidden="1"/>
    </xf>
    <xf numFmtId="0" fontId="21" fillId="8" borderId="21" xfId="23" applyFont="1" applyFill="1" applyBorder="1" applyAlignment="1" applyProtection="1">
      <alignment horizontal="center"/>
      <protection hidden="1"/>
    </xf>
    <xf numFmtId="0" fontId="21" fillId="8" borderId="11" xfId="23" applyFont="1" applyFill="1" applyBorder="1" applyAlignment="1" applyProtection="1">
      <alignment horizontal="center"/>
      <protection hidden="1"/>
    </xf>
    <xf numFmtId="0" fontId="1" fillId="8" borderId="0" xfId="23" applyFill="1" applyAlignment="1" applyProtection="1">
      <alignment horizontal="center"/>
      <protection hidden="1"/>
    </xf>
    <xf numFmtId="0" fontId="15" fillId="8" borderId="0" xfId="24" applyFont="1" applyFill="1" applyBorder="1" applyProtection="1">
      <alignment/>
      <protection/>
    </xf>
    <xf numFmtId="197" fontId="7" fillId="3" borderId="22" xfId="28" applyNumberFormat="1" applyFont="1" applyBorder="1" applyProtection="1">
      <alignment/>
      <protection/>
    </xf>
    <xf numFmtId="197" fontId="7" fillId="3" borderId="49" xfId="28" applyNumberFormat="1" applyFont="1" applyBorder="1" applyProtection="1">
      <alignment/>
      <protection/>
    </xf>
    <xf numFmtId="197" fontId="7" fillId="3" borderId="50" xfId="28" applyNumberFormat="1" applyFont="1" applyBorder="1" applyProtection="1">
      <alignment/>
      <protection/>
    </xf>
    <xf numFmtId="179" fontId="0" fillId="8" borderId="0" xfId="0" applyFill="1" applyBorder="1" applyAlignment="1" applyProtection="1" quotePrefix="1">
      <alignment/>
      <protection/>
    </xf>
    <xf numFmtId="179" fontId="0" fillId="7" borderId="0" xfId="0" applyFill="1" applyBorder="1" applyAlignment="1" applyProtection="1">
      <alignment/>
      <protection/>
    </xf>
    <xf numFmtId="9" fontId="2" fillId="3" borderId="47" xfId="28" applyNumberFormat="1" applyBorder="1" applyAlignment="1" applyProtection="1">
      <alignment horizontal="right" vertical="center"/>
      <protection/>
    </xf>
    <xf numFmtId="179" fontId="2" fillId="12" borderId="0" xfId="0" applyFont="1" applyFill="1" applyAlignment="1" applyProtection="1">
      <alignment/>
      <protection/>
    </xf>
    <xf numFmtId="10" fontId="2" fillId="3" borderId="11" xfId="28" applyNumberFormat="1" applyBorder="1" applyProtection="1">
      <alignment/>
      <protection/>
    </xf>
    <xf numFmtId="179" fontId="5" fillId="12" borderId="20" xfId="0" applyFont="1" applyFill="1" applyBorder="1" applyAlignment="1" applyProtection="1">
      <alignment horizontal="right"/>
      <protection/>
    </xf>
    <xf numFmtId="179" fontId="3" fillId="12" borderId="0" xfId="0" applyFont="1" applyFill="1" applyBorder="1" applyAlignment="1" applyProtection="1">
      <alignment/>
      <protection/>
    </xf>
    <xf numFmtId="197" fontId="2" fillId="3" borderId="5" xfId="28" applyNumberFormat="1" applyFont="1" applyBorder="1" applyProtection="1">
      <alignment/>
      <protection/>
    </xf>
    <xf numFmtId="179" fontId="10" fillId="12" borderId="0" xfId="0" applyFont="1" applyFill="1" applyAlignment="1" applyProtection="1">
      <alignment horizontal="center" shrinkToFit="1"/>
      <protection/>
    </xf>
    <xf numFmtId="197" fontId="2" fillId="3" borderId="51" xfId="28" applyNumberFormat="1" applyBorder="1" applyProtection="1">
      <alignment/>
      <protection/>
    </xf>
    <xf numFmtId="0" fontId="1" fillId="8" borderId="0" xfId="24" applyFont="1" applyFill="1">
      <alignment/>
      <protection/>
    </xf>
    <xf numFmtId="0" fontId="21" fillId="8" borderId="0" xfId="23" applyFont="1" applyFill="1" applyBorder="1" applyAlignment="1" applyProtection="1">
      <alignment horizontal="center"/>
      <protection hidden="1"/>
    </xf>
    <xf numFmtId="0" fontId="21" fillId="8" borderId="0" xfId="23" applyFont="1" applyFill="1" applyBorder="1" applyAlignment="1">
      <alignment wrapText="1"/>
      <protection/>
    </xf>
    <xf numFmtId="0" fontId="21" fillId="8" borderId="0" xfId="23" applyFont="1" applyFill="1" applyBorder="1">
      <alignment/>
      <protection/>
    </xf>
    <xf numFmtId="0" fontId="1" fillId="8" borderId="0" xfId="23" applyFont="1" applyFill="1" applyBorder="1">
      <alignment/>
      <protection/>
    </xf>
    <xf numFmtId="179" fontId="72" fillId="8" borderId="0" xfId="0" applyFont="1" applyFill="1" applyAlignment="1" applyProtection="1">
      <alignment horizontal="left"/>
      <protection hidden="1"/>
    </xf>
    <xf numFmtId="179" fontId="72" fillId="8" borderId="0" xfId="0" applyFont="1" applyFill="1" applyAlignment="1" applyProtection="1">
      <alignment horizontal="right"/>
      <protection hidden="1"/>
    </xf>
    <xf numFmtId="179" fontId="72" fillId="8" borderId="0" xfId="0" applyFont="1" applyFill="1" applyAlignment="1" applyProtection="1">
      <alignment/>
      <protection hidden="1"/>
    </xf>
    <xf numFmtId="179" fontId="65" fillId="8" borderId="0" xfId="0" applyFont="1" applyFill="1" applyAlignment="1" applyProtection="1">
      <alignment/>
      <protection hidden="1"/>
    </xf>
    <xf numFmtId="178" fontId="65" fillId="8" borderId="0" xfId="0" applyNumberFormat="1" applyFont="1" applyFill="1" applyAlignment="1" applyProtection="1">
      <alignment/>
      <protection hidden="1"/>
    </xf>
    <xf numFmtId="179" fontId="72" fillId="12" borderId="0" xfId="0" applyFont="1" applyFill="1" applyAlignment="1" applyProtection="1">
      <alignment/>
      <protection/>
    </xf>
    <xf numFmtId="179" fontId="3" fillId="12" borderId="0" xfId="0" applyFont="1" applyFill="1" applyBorder="1" applyAlignment="1" applyProtection="1" quotePrefix="1">
      <alignment horizontal="right"/>
      <protection/>
    </xf>
    <xf numFmtId="179" fontId="73" fillId="8" borderId="0" xfId="0" applyFont="1" applyFill="1" applyAlignment="1" applyProtection="1">
      <alignment horizontal="right"/>
      <protection hidden="1"/>
    </xf>
    <xf numFmtId="179" fontId="73" fillId="8" borderId="0" xfId="0" applyFont="1" applyFill="1" applyAlignment="1" applyProtection="1">
      <alignment horizontal="right"/>
      <protection/>
    </xf>
    <xf numFmtId="179" fontId="14" fillId="8" borderId="0" xfId="0" applyFont="1" applyFill="1" applyAlignment="1" applyProtection="1">
      <alignment horizontal="right"/>
      <protection/>
    </xf>
    <xf numFmtId="179" fontId="2" fillId="8" borderId="0" xfId="22" applyFont="1" applyFill="1" applyAlignment="1" applyProtection="1">
      <alignment horizontal="left"/>
      <protection/>
    </xf>
    <xf numFmtId="0" fontId="21" fillId="8" borderId="0" xfId="24" applyFont="1" applyFill="1" applyBorder="1">
      <alignment/>
      <protection/>
    </xf>
    <xf numFmtId="0" fontId="1" fillId="8" borderId="0" xfId="24" applyFont="1" applyFill="1" applyBorder="1" applyAlignment="1">
      <alignment vertical="top"/>
      <protection/>
    </xf>
    <xf numFmtId="179" fontId="2" fillId="8" borderId="2" xfId="0" applyFont="1" applyFill="1" applyBorder="1" applyAlignment="1" applyProtection="1">
      <alignment/>
      <protection/>
    </xf>
    <xf numFmtId="179" fontId="0" fillId="2" borderId="52" xfId="0" applyFill="1" applyBorder="1" applyAlignment="1" applyProtection="1">
      <alignment horizontal="center"/>
      <protection/>
    </xf>
    <xf numFmtId="179" fontId="10" fillId="8" borderId="17" xfId="0" applyFont="1" applyFill="1" applyBorder="1" applyAlignment="1" applyProtection="1">
      <alignment horizontal="center" shrinkToFit="1"/>
      <protection/>
    </xf>
    <xf numFmtId="179" fontId="8" fillId="8" borderId="0" xfId="0" applyFont="1" applyFill="1" applyAlignment="1" applyProtection="1">
      <alignment horizontal="left"/>
      <protection/>
    </xf>
    <xf numFmtId="179" fontId="14" fillId="8" borderId="0" xfId="0" applyFont="1" applyFill="1" applyAlignment="1" applyProtection="1">
      <alignment/>
      <protection/>
    </xf>
    <xf numFmtId="179" fontId="28" fillId="8" borderId="0" xfId="0" applyFont="1" applyFill="1" applyAlignment="1" applyProtection="1">
      <alignment/>
      <protection/>
    </xf>
    <xf numFmtId="197" fontId="2" fillId="2" borderId="8" xfId="28" applyNumberFormat="1" applyFont="1" applyFill="1" applyBorder="1" applyProtection="1">
      <alignment/>
      <protection locked="0"/>
    </xf>
    <xf numFmtId="197" fontId="2" fillId="2" borderId="8" xfId="28" applyNumberFormat="1" applyFill="1" applyBorder="1" applyProtection="1">
      <alignment/>
      <protection locked="0"/>
    </xf>
    <xf numFmtId="179" fontId="45" fillId="12" borderId="0" xfId="0" applyFont="1" applyFill="1" applyAlignment="1">
      <alignment horizontal="left"/>
    </xf>
    <xf numFmtId="179" fontId="0" fillId="2" borderId="0" xfId="0" applyAlignment="1" applyProtection="1">
      <alignment vertical="center"/>
      <protection/>
    </xf>
    <xf numFmtId="179" fontId="4" fillId="8" borderId="0" xfId="0" applyFont="1" applyFill="1" applyAlignment="1" applyProtection="1">
      <alignment horizontal="left" vertical="center"/>
      <protection hidden="1"/>
    </xf>
    <xf numFmtId="179" fontId="2" fillId="12" borderId="2" xfId="0" applyFont="1" applyFill="1" applyBorder="1" applyAlignment="1" applyProtection="1">
      <alignment/>
      <protection/>
    </xf>
    <xf numFmtId="197" fontId="2" fillId="2" borderId="2" xfId="0" applyNumberFormat="1" applyFont="1" applyFill="1" applyBorder="1" applyAlignment="1" applyProtection="1">
      <alignment/>
      <protection locked="0"/>
    </xf>
    <xf numFmtId="197" fontId="7" fillId="3" borderId="51" xfId="28" applyNumberFormat="1" applyFont="1" applyBorder="1" applyProtection="1">
      <alignment/>
      <protection/>
    </xf>
    <xf numFmtId="179" fontId="65" fillId="8" borderId="0" xfId="0" applyFont="1" applyFill="1" applyAlignment="1" applyProtection="1">
      <alignment/>
      <protection/>
    </xf>
    <xf numFmtId="179" fontId="73" fillId="8" borderId="0" xfId="0" applyFont="1" applyFill="1" applyAlignment="1" applyProtection="1">
      <alignment horizontal="left"/>
      <protection hidden="1"/>
    </xf>
    <xf numFmtId="179" fontId="74" fillId="8" borderId="0" xfId="0" applyFont="1" applyFill="1" applyAlignment="1" applyProtection="1">
      <alignment horizontal="right"/>
      <protection hidden="1"/>
    </xf>
    <xf numFmtId="179" fontId="26" fillId="8" borderId="0" xfId="0" applyFont="1" applyFill="1" applyAlignment="1" applyProtection="1" quotePrefix="1">
      <alignment horizontal="right"/>
      <protection/>
    </xf>
    <xf numFmtId="0" fontId="72" fillId="8" borderId="0" xfId="24" applyFont="1" applyFill="1" applyBorder="1" applyAlignment="1" applyProtection="1">
      <alignment horizontal="right"/>
      <protection hidden="1"/>
    </xf>
    <xf numFmtId="0" fontId="1" fillId="8" borderId="0" xfId="24" applyFont="1" applyFill="1" applyBorder="1" applyAlignment="1">
      <alignment/>
      <protection/>
    </xf>
    <xf numFmtId="0" fontId="19" fillId="8" borderId="0" xfId="24" applyFont="1" applyFill="1" applyAlignment="1">
      <alignment horizontal="right" vertical="top"/>
      <protection/>
    </xf>
    <xf numFmtId="179" fontId="3" fillId="8" borderId="8" xfId="0" applyFont="1" applyFill="1" applyBorder="1" applyAlignment="1" applyProtection="1">
      <alignment/>
      <protection/>
    </xf>
    <xf numFmtId="197" fontId="23" fillId="3" borderId="8" xfId="28" applyNumberFormat="1" applyFont="1" applyBorder="1" applyProtection="1">
      <alignment/>
      <protection/>
    </xf>
    <xf numFmtId="179" fontId="41" fillId="8" borderId="2" xfId="0" applyFont="1" applyFill="1" applyBorder="1" applyAlignment="1" applyProtection="1">
      <alignment horizontal="right"/>
      <protection/>
    </xf>
    <xf numFmtId="179" fontId="41" fillId="8" borderId="8" xfId="0" applyFont="1" applyFill="1" applyBorder="1" applyAlignment="1" applyProtection="1">
      <alignment horizontal="right"/>
      <protection/>
    </xf>
    <xf numFmtId="179" fontId="2" fillId="8" borderId="17" xfId="0" applyFont="1" applyFill="1" applyBorder="1" applyAlignment="1" applyProtection="1">
      <alignment horizontal="center" shrinkToFit="1"/>
      <protection/>
    </xf>
    <xf numFmtId="197" fontId="2" fillId="2" borderId="13" xfId="28" applyNumberFormat="1" applyFill="1" applyBorder="1" applyAlignment="1" applyProtection="1">
      <alignment horizontal="right"/>
      <protection locked="0"/>
    </xf>
    <xf numFmtId="1" fontId="2" fillId="2" borderId="13" xfId="0" applyNumberFormat="1" applyFont="1" applyFill="1" applyBorder="1" applyAlignment="1" applyProtection="1">
      <alignment horizontal="center"/>
      <protection locked="0"/>
    </xf>
    <xf numFmtId="49" fontId="2" fillId="2" borderId="0" xfId="0" applyNumberFormat="1" applyFont="1" applyFill="1" applyAlignment="1" applyProtection="1">
      <alignment horizontal="center"/>
      <protection locked="0"/>
    </xf>
    <xf numFmtId="179" fontId="7" fillId="8" borderId="0" xfId="0" applyFont="1" applyFill="1" applyAlignment="1" applyProtection="1">
      <alignment horizontal="center"/>
      <protection/>
    </xf>
    <xf numFmtId="1" fontId="2" fillId="2" borderId="13" xfId="0" applyNumberFormat="1" applyFont="1" applyFill="1" applyBorder="1" applyAlignment="1" applyProtection="1">
      <alignment horizontal="center"/>
      <protection locked="0"/>
    </xf>
    <xf numFmtId="179" fontId="77" fillId="8" borderId="0" xfId="0" applyFont="1" applyFill="1" applyAlignment="1" applyProtection="1">
      <alignment/>
      <protection/>
    </xf>
    <xf numFmtId="179" fontId="2" fillId="8" borderId="0" xfId="0" applyFont="1" applyFill="1" applyBorder="1" applyAlignment="1" applyProtection="1">
      <alignment vertical="top"/>
      <protection/>
    </xf>
    <xf numFmtId="179" fontId="4" fillId="8" borderId="0" xfId="0" applyFont="1" applyFill="1" applyBorder="1" applyAlignment="1" applyProtection="1">
      <alignment/>
      <protection/>
    </xf>
    <xf numFmtId="179" fontId="3" fillId="8" borderId="1" xfId="0" applyFont="1" applyFill="1" applyBorder="1" applyAlignment="1" applyProtection="1">
      <alignment horizontal="left"/>
      <protection/>
    </xf>
    <xf numFmtId="179" fontId="4" fillId="8" borderId="15" xfId="0" applyFont="1" applyFill="1" applyBorder="1" applyAlignment="1" applyProtection="1">
      <alignment horizontal="left"/>
      <protection/>
    </xf>
    <xf numFmtId="179" fontId="2" fillId="8" borderId="1" xfId="0" applyFont="1" applyFill="1" applyBorder="1" applyAlignment="1" applyProtection="1">
      <alignment horizontal="left"/>
      <protection/>
    </xf>
    <xf numFmtId="179" fontId="4" fillId="8" borderId="0" xfId="0" applyFont="1" applyFill="1" applyAlignment="1" applyProtection="1">
      <alignment/>
      <protection/>
    </xf>
    <xf numFmtId="179" fontId="2" fillId="8" borderId="53" xfId="0" applyFont="1" applyFill="1" applyBorder="1" applyAlignment="1" applyProtection="1">
      <alignment/>
      <protection/>
    </xf>
    <xf numFmtId="179" fontId="27" fillId="8" borderId="0" xfId="0" applyFont="1" applyFill="1" applyBorder="1" applyAlignment="1" applyProtection="1">
      <alignment/>
      <protection/>
    </xf>
    <xf numFmtId="179" fontId="27" fillId="8" borderId="0" xfId="0" applyFont="1" applyFill="1" applyBorder="1" applyAlignment="1" applyProtection="1">
      <alignment horizontal="right"/>
      <protection/>
    </xf>
    <xf numFmtId="179" fontId="28" fillId="8" borderId="0" xfId="0" applyFont="1" applyFill="1" applyBorder="1" applyAlignment="1" applyProtection="1">
      <alignment/>
      <protection/>
    </xf>
    <xf numFmtId="179" fontId="27" fillId="8" borderId="53" xfId="0" applyFont="1" applyFill="1" applyBorder="1" applyAlignment="1" applyProtection="1">
      <alignment/>
      <protection/>
    </xf>
    <xf numFmtId="179" fontId="27" fillId="8" borderId="1" xfId="0" applyFont="1" applyFill="1" applyBorder="1" applyAlignment="1" applyProtection="1">
      <alignment/>
      <protection/>
    </xf>
    <xf numFmtId="179" fontId="27" fillId="8" borderId="1" xfId="0" applyFont="1" applyFill="1" applyBorder="1" applyAlignment="1" applyProtection="1">
      <alignment horizontal="right"/>
      <protection/>
    </xf>
    <xf numFmtId="178" fontId="79" fillId="6" borderId="0" xfId="0" applyNumberFormat="1" applyFont="1" applyFill="1" applyBorder="1" applyAlignment="1" applyProtection="1">
      <alignment/>
      <protection/>
    </xf>
    <xf numFmtId="178" fontId="28" fillId="8" borderId="53" xfId="0" applyNumberFormat="1" applyFont="1" applyFill="1" applyBorder="1" applyAlignment="1" applyProtection="1">
      <alignment/>
      <protection/>
    </xf>
    <xf numFmtId="179" fontId="78" fillId="8" borderId="8" xfId="0" applyFont="1" applyFill="1" applyBorder="1" applyAlignment="1" applyProtection="1">
      <alignment horizontal="right"/>
      <protection/>
    </xf>
    <xf numFmtId="197" fontId="27" fillId="3" borderId="8" xfId="28" applyNumberFormat="1" applyFont="1" applyBorder="1" applyProtection="1">
      <alignment/>
      <protection/>
    </xf>
    <xf numFmtId="179" fontId="27" fillId="8" borderId="22" xfId="0" applyFont="1" applyFill="1" applyBorder="1" applyAlignment="1" applyProtection="1">
      <alignment/>
      <protection/>
    </xf>
    <xf numFmtId="179" fontId="28" fillId="8" borderId="22" xfId="0" applyFont="1" applyFill="1" applyBorder="1" applyAlignment="1" applyProtection="1">
      <alignment horizontal="right" vertical="center"/>
      <protection/>
    </xf>
    <xf numFmtId="179" fontId="27" fillId="8" borderId="54" xfId="0" applyFont="1" applyFill="1" applyBorder="1" applyAlignment="1" applyProtection="1">
      <alignment/>
      <protection/>
    </xf>
    <xf numFmtId="179" fontId="27" fillId="8" borderId="0" xfId="0" applyFont="1" applyFill="1" applyAlignment="1" applyProtection="1">
      <alignment/>
      <protection/>
    </xf>
    <xf numFmtId="197" fontId="27" fillId="2" borderId="8" xfId="0" applyNumberFormat="1" applyFont="1" applyFill="1" applyBorder="1" applyAlignment="1" applyProtection="1">
      <alignment/>
      <protection locked="0"/>
    </xf>
    <xf numFmtId="178" fontId="28" fillId="8" borderId="0" xfId="0" applyNumberFormat="1" applyFont="1" applyFill="1" applyAlignment="1" applyProtection="1">
      <alignment/>
      <protection/>
    </xf>
    <xf numFmtId="178" fontId="79" fillId="6" borderId="0" xfId="0" applyNumberFormat="1" applyFont="1" applyFill="1" applyAlignment="1" applyProtection="1">
      <alignment/>
      <protection/>
    </xf>
    <xf numFmtId="179" fontId="27" fillId="8" borderId="0" xfId="0" applyFont="1" applyFill="1" applyAlignment="1" applyProtection="1">
      <alignment horizontal="left"/>
      <protection/>
    </xf>
    <xf numFmtId="197" fontId="27" fillId="3" borderId="22" xfId="28" applyNumberFormat="1" applyFont="1" applyBorder="1" applyProtection="1">
      <alignment/>
      <protection/>
    </xf>
    <xf numFmtId="179" fontId="27" fillId="8" borderId="8" xfId="0" applyFont="1" applyFill="1" applyBorder="1" applyAlignment="1" applyProtection="1">
      <alignment/>
      <protection/>
    </xf>
    <xf numFmtId="179" fontId="78" fillId="8" borderId="8" xfId="0" applyFont="1" applyFill="1" applyBorder="1" applyAlignment="1" applyProtection="1">
      <alignment/>
      <protection/>
    </xf>
    <xf numFmtId="179" fontId="78" fillId="8" borderId="0" xfId="0" applyFont="1" applyFill="1" applyAlignment="1" applyProtection="1">
      <alignment/>
      <protection/>
    </xf>
    <xf numFmtId="179" fontId="27" fillId="8" borderId="2" xfId="0" applyFont="1" applyFill="1" applyBorder="1" applyAlignment="1" applyProtection="1">
      <alignment/>
      <protection/>
    </xf>
    <xf numFmtId="179" fontId="78" fillId="8" borderId="2" xfId="0" applyFont="1" applyFill="1" applyBorder="1" applyAlignment="1" applyProtection="1">
      <alignment/>
      <protection/>
    </xf>
    <xf numFmtId="179" fontId="27" fillId="8" borderId="2" xfId="0" applyFont="1" applyFill="1" applyBorder="1" applyAlignment="1" applyProtection="1">
      <alignment horizontal="right"/>
      <protection/>
    </xf>
    <xf numFmtId="179" fontId="27" fillId="8" borderId="55" xfId="0" applyFont="1" applyFill="1" applyBorder="1" applyAlignment="1" applyProtection="1">
      <alignment horizontal="right"/>
      <protection/>
    </xf>
    <xf numFmtId="179" fontId="28" fillId="8" borderId="0" xfId="0" applyFont="1" applyFill="1" applyAlignment="1" applyProtection="1">
      <alignment horizontal="right"/>
      <protection/>
    </xf>
    <xf numFmtId="179" fontId="28" fillId="8" borderId="1" xfId="0" applyFont="1" applyFill="1" applyBorder="1" applyAlignment="1" applyProtection="1">
      <alignment horizontal="right"/>
      <protection/>
    </xf>
    <xf numFmtId="197" fontId="27" fillId="3" borderId="11" xfId="28" applyNumberFormat="1" applyFont="1" applyBorder="1" applyProtection="1">
      <alignment/>
      <protection/>
    </xf>
    <xf numFmtId="179" fontId="27" fillId="8" borderId="42" xfId="0" applyFont="1" applyFill="1" applyBorder="1" applyAlignment="1" applyProtection="1">
      <alignment/>
      <protection/>
    </xf>
    <xf numFmtId="179" fontId="28" fillId="8" borderId="42" xfId="0" applyFont="1" applyFill="1" applyBorder="1" applyAlignment="1" applyProtection="1">
      <alignment/>
      <protection/>
    </xf>
    <xf numFmtId="179" fontId="27" fillId="8" borderId="43" xfId="0" applyFont="1" applyFill="1" applyBorder="1" applyAlignment="1" applyProtection="1">
      <alignment/>
      <protection/>
    </xf>
    <xf numFmtId="179" fontId="27" fillId="3" borderId="8" xfId="0" applyFont="1" applyFill="1" applyBorder="1" applyAlignment="1" applyProtection="1">
      <alignment/>
      <protection/>
    </xf>
    <xf numFmtId="179" fontId="27" fillId="3" borderId="47" xfId="0" applyFont="1" applyFill="1" applyBorder="1" applyAlignment="1" applyProtection="1">
      <alignment/>
      <protection/>
    </xf>
    <xf numFmtId="178" fontId="28" fillId="8" borderId="0" xfId="0" applyNumberFormat="1" applyFont="1" applyFill="1" applyBorder="1" applyAlignment="1" applyProtection="1">
      <alignment/>
      <protection/>
    </xf>
    <xf numFmtId="197" fontId="27" fillId="3" borderId="47" xfId="28" applyNumberFormat="1" applyFont="1" applyBorder="1" applyProtection="1">
      <alignment/>
      <protection/>
    </xf>
    <xf numFmtId="0" fontId="3" fillId="8" borderId="0" xfId="25" applyFont="1" applyFill="1" applyAlignment="1" applyProtection="1">
      <alignment horizontal="right"/>
      <protection/>
    </xf>
    <xf numFmtId="179" fontId="62" fillId="8" borderId="0" xfId="22" applyFont="1" applyFill="1" applyAlignment="1" applyProtection="1">
      <alignment horizontal="left" wrapText="1"/>
      <protection/>
    </xf>
    <xf numFmtId="179" fontId="62" fillId="8" borderId="0" xfId="22" applyFont="1" applyFill="1" applyAlignment="1" applyProtection="1">
      <alignment horizontal="left"/>
      <protection/>
    </xf>
    <xf numFmtId="0" fontId="56" fillId="8" borderId="0" xfId="25" applyFont="1" applyFill="1" applyAlignment="1" applyProtection="1">
      <alignment vertical="top"/>
      <protection/>
    </xf>
    <xf numFmtId="179" fontId="3" fillId="12" borderId="5" xfId="0" applyFont="1" applyFill="1" applyBorder="1" applyAlignment="1" applyProtection="1">
      <alignment/>
      <protection/>
    </xf>
    <xf numFmtId="178" fontId="3" fillId="12" borderId="6" xfId="0" applyNumberFormat="1" applyFont="1" applyFill="1" applyBorder="1" applyAlignment="1" applyProtection="1">
      <alignment/>
      <protection/>
    </xf>
    <xf numFmtId="1" fontId="27" fillId="2" borderId="1" xfId="0" applyNumberFormat="1" applyFont="1" applyFill="1" applyBorder="1" applyAlignment="1" applyProtection="1">
      <alignment/>
      <protection locked="0"/>
    </xf>
    <xf numFmtId="179" fontId="0" fillId="8" borderId="0" xfId="0" applyFont="1" applyFill="1" applyBorder="1" applyAlignment="1" applyProtection="1">
      <alignment/>
      <protection/>
    </xf>
    <xf numFmtId="178" fontId="3" fillId="12" borderId="0" xfId="0" applyNumberFormat="1" applyFont="1" applyFill="1" applyBorder="1" applyAlignment="1" applyProtection="1">
      <alignment horizontal="center"/>
      <protection/>
    </xf>
    <xf numFmtId="178" fontId="9" fillId="6" borderId="0" xfId="0" applyNumberFormat="1" applyFont="1" applyFill="1" applyBorder="1" applyAlignment="1" applyProtection="1" quotePrefix="1">
      <alignment/>
      <protection/>
    </xf>
    <xf numFmtId="178" fontId="3" fillId="12" borderId="7" xfId="0" applyNumberFormat="1" applyFont="1" applyFill="1" applyBorder="1" applyAlignment="1" applyProtection="1">
      <alignment/>
      <protection/>
    </xf>
    <xf numFmtId="178" fontId="3" fillId="12" borderId="0" xfId="0" applyNumberFormat="1" applyFont="1" applyFill="1" applyBorder="1" applyAlignment="1" applyProtection="1">
      <alignment/>
      <protection/>
    </xf>
    <xf numFmtId="178" fontId="3" fillId="12" borderId="10" xfId="0" applyNumberFormat="1" applyFont="1" applyFill="1" applyBorder="1" applyAlignment="1" applyProtection="1">
      <alignment/>
      <protection/>
    </xf>
    <xf numFmtId="183" fontId="3" fillId="3" borderId="47" xfId="28" applyNumberFormat="1" applyFont="1" applyBorder="1" applyProtection="1">
      <alignment/>
      <protection/>
    </xf>
    <xf numFmtId="49" fontId="0" fillId="2" borderId="8" xfId="0" applyNumberFormat="1" applyBorder="1" applyAlignment="1" applyProtection="1">
      <alignment horizontal="center" vertical="center" shrinkToFit="1"/>
      <protection locked="0"/>
    </xf>
    <xf numFmtId="179" fontId="38" fillId="14" borderId="8" xfId="0" applyFont="1" applyFill="1" applyBorder="1" applyAlignment="1" applyProtection="1">
      <alignment/>
      <protection/>
    </xf>
    <xf numFmtId="179" fontId="4" fillId="12" borderId="8" xfId="0" applyFont="1" applyFill="1" applyBorder="1" applyAlignment="1" applyProtection="1">
      <alignment/>
      <protection/>
    </xf>
    <xf numFmtId="179" fontId="38" fillId="14" borderId="2" xfId="0" applyFont="1" applyFill="1" applyBorder="1" applyAlignment="1" applyProtection="1">
      <alignment/>
      <protection/>
    </xf>
    <xf numFmtId="49" fontId="0" fillId="2" borderId="8" xfId="0" applyNumberFormat="1" applyBorder="1" applyAlignment="1" applyProtection="1">
      <alignment horizontal="center" vertical="center"/>
      <protection locked="0"/>
    </xf>
    <xf numFmtId="179" fontId="38" fillId="12" borderId="4" xfId="0" applyFont="1" applyFill="1" applyBorder="1" applyAlignment="1" applyProtection="1">
      <alignment horizontal="right"/>
      <protection/>
    </xf>
    <xf numFmtId="179" fontId="0" fillId="12" borderId="5" xfId="0" applyFill="1" applyBorder="1" applyAlignment="1" applyProtection="1">
      <alignment/>
      <protection/>
    </xf>
    <xf numFmtId="179" fontId="0" fillId="12" borderId="3" xfId="0" applyFill="1" applyBorder="1" applyAlignment="1" applyProtection="1">
      <alignment/>
      <protection/>
    </xf>
    <xf numFmtId="179" fontId="0" fillId="12" borderId="0" xfId="0" applyFill="1" applyBorder="1" applyAlignment="1" applyProtection="1">
      <alignment/>
      <protection/>
    </xf>
    <xf numFmtId="179" fontId="0" fillId="12" borderId="8" xfId="0" applyFill="1" applyBorder="1" applyAlignment="1" applyProtection="1">
      <alignment/>
      <protection/>
    </xf>
    <xf numFmtId="179" fontId="38" fillId="12" borderId="0" xfId="0" applyFont="1" applyFill="1" applyBorder="1" applyAlignment="1" applyProtection="1" quotePrefix="1">
      <alignment/>
      <protection/>
    </xf>
    <xf numFmtId="179" fontId="0" fillId="12" borderId="9" xfId="0" applyFill="1" applyBorder="1" applyAlignment="1" applyProtection="1">
      <alignment/>
      <protection/>
    </xf>
    <xf numFmtId="179" fontId="0" fillId="12" borderId="2" xfId="0" applyFill="1" applyBorder="1" applyAlignment="1" applyProtection="1">
      <alignment/>
      <protection/>
    </xf>
    <xf numFmtId="179" fontId="38" fillId="12" borderId="8" xfId="0" applyFont="1" applyFill="1" applyBorder="1" applyAlignment="1" applyProtection="1" quotePrefix="1">
      <alignment/>
      <protection/>
    </xf>
    <xf numFmtId="179" fontId="0" fillId="12" borderId="6" xfId="0" applyFill="1" applyBorder="1" applyAlignment="1" applyProtection="1">
      <alignment/>
      <protection/>
    </xf>
    <xf numFmtId="179" fontId="38" fillId="12" borderId="7" xfId="0" applyFont="1" applyFill="1" applyBorder="1" applyAlignment="1" applyProtection="1" quotePrefix="1">
      <alignment/>
      <protection/>
    </xf>
    <xf numFmtId="179" fontId="38" fillId="12" borderId="7" xfId="0" applyFont="1" applyFill="1" applyBorder="1" applyAlignment="1" applyProtection="1">
      <alignment/>
      <protection/>
    </xf>
    <xf numFmtId="179" fontId="38" fillId="12" borderId="10" xfId="0" applyFont="1" applyFill="1" applyBorder="1" applyAlignment="1" applyProtection="1" quotePrefix="1">
      <alignment/>
      <protection/>
    </xf>
    <xf numFmtId="0" fontId="21" fillId="8" borderId="8" xfId="23" applyFont="1" applyFill="1" applyBorder="1" applyAlignment="1">
      <alignment horizontal="center"/>
      <protection/>
    </xf>
    <xf numFmtId="179" fontId="17" fillId="8" borderId="0" xfId="0" applyFont="1" applyFill="1" applyAlignment="1" applyProtection="1">
      <alignment horizontal="left"/>
      <protection hidden="1"/>
    </xf>
    <xf numFmtId="179" fontId="68" fillId="12" borderId="0" xfId="20" applyFont="1" applyFill="1" applyAlignment="1" applyProtection="1">
      <alignment/>
      <protection hidden="1"/>
    </xf>
    <xf numFmtId="179" fontId="2" fillId="8" borderId="0" xfId="0" applyFont="1" applyFill="1" applyBorder="1" applyAlignment="1" applyProtection="1">
      <alignment wrapText="1"/>
      <protection/>
    </xf>
    <xf numFmtId="179" fontId="2" fillId="8" borderId="0" xfId="0" applyFont="1" applyFill="1" applyBorder="1" applyAlignment="1" applyProtection="1">
      <alignment/>
      <protection/>
    </xf>
    <xf numFmtId="179" fontId="3" fillId="8" borderId="8" xfId="0" applyFont="1" applyFill="1" applyBorder="1" applyAlignment="1" applyProtection="1">
      <alignment horizontal="left"/>
      <protection/>
    </xf>
    <xf numFmtId="179" fontId="68" fillId="8" borderId="9" xfId="20" applyFont="1" applyFill="1" applyBorder="1" applyAlignment="1">
      <alignment/>
    </xf>
    <xf numFmtId="179" fontId="68" fillId="8" borderId="21" xfId="20" applyFont="1" applyFill="1" applyBorder="1" applyAlignment="1">
      <alignment/>
    </xf>
    <xf numFmtId="179" fontId="38" fillId="8" borderId="0" xfId="0" applyFont="1" applyFill="1" applyAlignment="1">
      <alignment horizontal="center"/>
    </xf>
    <xf numFmtId="179" fontId="0" fillId="8" borderId="0" xfId="0" applyFont="1" applyFill="1" applyAlignment="1">
      <alignment horizontal="center"/>
    </xf>
    <xf numFmtId="179" fontId="68" fillId="8" borderId="2" xfId="20" applyFont="1" applyFill="1" applyBorder="1" applyAlignment="1">
      <alignment/>
    </xf>
    <xf numFmtId="197" fontId="82" fillId="3" borderId="2" xfId="20" applyNumberFormat="1" applyFont="1" applyBorder="1" applyAlignment="1" applyProtection="1">
      <alignment/>
      <protection/>
    </xf>
    <xf numFmtId="179" fontId="28" fillId="8" borderId="0" xfId="0" applyFont="1" applyFill="1" applyAlignment="1" applyProtection="1">
      <alignment/>
      <protection hidden="1"/>
    </xf>
    <xf numFmtId="0" fontId="1" fillId="0" borderId="0" xfId="25" applyAlignment="1">
      <alignment horizontal="center"/>
      <protection/>
    </xf>
    <xf numFmtId="179" fontId="31" fillId="8" borderId="0" xfId="0" applyFont="1" applyFill="1" applyAlignment="1">
      <alignment horizontal="center" vertical="center"/>
    </xf>
    <xf numFmtId="0" fontId="10" fillId="11" borderId="0" xfId="26" applyFont="1" applyFill="1" applyBorder="1" applyAlignment="1" applyProtection="1">
      <alignment horizontal="center"/>
      <protection/>
    </xf>
    <xf numFmtId="0" fontId="41" fillId="11" borderId="0" xfId="26" applyFont="1" applyFill="1" applyBorder="1" applyAlignment="1" applyProtection="1">
      <alignment horizontal="center"/>
      <protection/>
    </xf>
    <xf numFmtId="0" fontId="23" fillId="0" borderId="0" xfId="26" applyFont="1">
      <alignment/>
      <protection/>
    </xf>
    <xf numFmtId="49" fontId="29" fillId="8" borderId="0" xfId="22" applyNumberFormat="1" applyFont="1" applyFill="1" applyAlignment="1" applyProtection="1">
      <alignment horizontal="center" vertical="center"/>
      <protection/>
    </xf>
    <xf numFmtId="179" fontId="0" fillId="8" borderId="0" xfId="22" applyFont="1" applyFill="1" applyProtection="1">
      <alignment/>
      <protection/>
    </xf>
    <xf numFmtId="179" fontId="31" fillId="8" borderId="0" xfId="22" applyFont="1" applyFill="1" applyProtection="1">
      <alignment/>
      <protection/>
    </xf>
    <xf numFmtId="179" fontId="47" fillId="8" borderId="0" xfId="0" applyFont="1" applyFill="1" applyBorder="1" applyAlignment="1" applyProtection="1">
      <alignment horizontal="left"/>
      <protection/>
    </xf>
    <xf numFmtId="179" fontId="48" fillId="8" borderId="0" xfId="0" applyFont="1" applyFill="1" applyBorder="1" applyAlignment="1" applyProtection="1">
      <alignment horizontal="left"/>
      <protection/>
    </xf>
    <xf numFmtId="179" fontId="24" fillId="8" borderId="0" xfId="0" applyFont="1" applyFill="1" applyBorder="1" applyAlignment="1" applyProtection="1">
      <alignment horizontal="center"/>
      <protection/>
    </xf>
    <xf numFmtId="179" fontId="38" fillId="8" borderId="0" xfId="22" applyFont="1" applyFill="1" applyProtection="1">
      <alignment/>
      <protection/>
    </xf>
    <xf numFmtId="49" fontId="31" fillId="8" borderId="0" xfId="22" applyNumberFormat="1" applyFont="1" applyFill="1" applyAlignment="1" applyProtection="1">
      <alignment horizontal="center" vertical="center"/>
      <protection/>
    </xf>
    <xf numFmtId="49" fontId="38" fillId="8" borderId="0" xfId="22" applyNumberFormat="1" applyFont="1" applyFill="1" applyAlignment="1" applyProtection="1">
      <alignment horizontal="center" vertical="center"/>
      <protection/>
    </xf>
    <xf numFmtId="49" fontId="7" fillId="0" borderId="0" xfId="22" applyNumberFormat="1" applyFont="1" applyFill="1" applyBorder="1" applyAlignment="1" applyProtection="1">
      <alignment horizontal="center" vertical="center"/>
      <protection/>
    </xf>
    <xf numFmtId="49" fontId="7" fillId="0" borderId="0" xfId="22" applyNumberFormat="1" applyFont="1" applyFill="1" applyBorder="1" applyAlignment="1" applyProtection="1">
      <alignment horizontal="center" vertical="center" shrinkToFit="1"/>
      <protection/>
    </xf>
    <xf numFmtId="179" fontId="4" fillId="0" borderId="0" xfId="22" applyFont="1" applyFill="1" applyBorder="1" applyAlignment="1" applyProtection="1">
      <alignment horizontal="center" vertical="center" wrapText="1"/>
      <protection/>
    </xf>
    <xf numFmtId="1" fontId="4" fillId="8" borderId="0" xfId="22" applyNumberFormat="1" applyFont="1" applyFill="1" applyBorder="1" applyAlignment="1" applyProtection="1">
      <alignment horizontal="center" vertical="center"/>
      <protection/>
    </xf>
    <xf numFmtId="1" fontId="4" fillId="8" borderId="0" xfId="22" applyNumberFormat="1" applyFont="1" applyFill="1" applyProtection="1">
      <alignment/>
      <protection/>
    </xf>
    <xf numFmtId="49" fontId="4" fillId="8" borderId="0" xfId="22" applyNumberFormat="1" applyFont="1" applyFill="1" applyBorder="1" applyAlignment="1" applyProtection="1">
      <alignment horizontal="center"/>
      <protection/>
    </xf>
    <xf numFmtId="179" fontId="5" fillId="8" borderId="0" xfId="22" applyFont="1" applyFill="1" applyAlignment="1" applyProtection="1">
      <alignment horizontal="right"/>
      <protection/>
    </xf>
    <xf numFmtId="0" fontId="83" fillId="8" borderId="0" xfId="24" applyFont="1" applyFill="1">
      <alignment/>
      <protection/>
    </xf>
    <xf numFmtId="197" fontId="2" fillId="2" borderId="2" xfId="0" applyNumberFormat="1" applyFont="1" applyFill="1" applyBorder="1" applyAlignment="1" applyProtection="1">
      <alignment horizontal="left"/>
      <protection locked="0"/>
    </xf>
    <xf numFmtId="1" fontId="2" fillId="3" borderId="11" xfId="28" applyNumberFormat="1" applyBorder="1" applyAlignment="1" applyProtection="1">
      <alignment horizontal="center"/>
      <protection locked="0"/>
    </xf>
    <xf numFmtId="197" fontId="2" fillId="3" borderId="8" xfId="28" applyNumberFormat="1" applyBorder="1" applyProtection="1">
      <alignment/>
      <protection locked="0"/>
    </xf>
    <xf numFmtId="49" fontId="5" fillId="8" borderId="0" xfId="22" applyNumberFormat="1" applyFont="1" applyFill="1" applyBorder="1" applyAlignment="1" applyProtection="1">
      <alignment horizontal="center" vertical="center"/>
      <protection/>
    </xf>
    <xf numFmtId="179" fontId="5" fillId="8" borderId="0" xfId="22" applyFont="1" applyFill="1" applyAlignment="1" applyProtection="1">
      <alignment horizontal="center"/>
      <protection/>
    </xf>
    <xf numFmtId="1" fontId="0" fillId="2" borderId="8" xfId="0" applyNumberFormat="1" applyBorder="1" applyAlignment="1" applyProtection="1">
      <alignment horizontal="center"/>
      <protection locked="0"/>
    </xf>
    <xf numFmtId="179" fontId="16" fillId="8" borderId="4" xfId="0" applyFont="1" applyFill="1" applyBorder="1" applyAlignment="1" applyProtection="1">
      <alignment horizontal="center"/>
      <protection hidden="1"/>
    </xf>
    <xf numFmtId="179" fontId="2" fillId="12" borderId="0" xfId="0" applyFont="1" applyFill="1" applyAlignment="1" applyProtection="1">
      <alignment/>
      <protection/>
    </xf>
    <xf numFmtId="179" fontId="4" fillId="12" borderId="3" xfId="0" applyFont="1" applyFill="1" applyBorder="1" applyAlignment="1" applyProtection="1">
      <alignment/>
      <protection/>
    </xf>
    <xf numFmtId="179" fontId="2" fillId="12" borderId="3" xfId="0" applyFont="1" applyFill="1" applyBorder="1" applyAlignment="1" applyProtection="1">
      <alignment vertical="top"/>
      <protection/>
    </xf>
    <xf numFmtId="179" fontId="2" fillId="12" borderId="3" xfId="0" applyFont="1" applyFill="1" applyBorder="1" applyAlignment="1" applyProtection="1">
      <alignment horizontal="center"/>
      <protection/>
    </xf>
    <xf numFmtId="179" fontId="3" fillId="12" borderId="4" xfId="0" applyFont="1" applyFill="1" applyBorder="1" applyAlignment="1" applyProtection="1">
      <alignment horizontal="center"/>
      <protection/>
    </xf>
    <xf numFmtId="179" fontId="18" fillId="12" borderId="0" xfId="0" applyFont="1" applyFill="1" applyAlignment="1" applyProtection="1">
      <alignment horizontal="left" vertical="center"/>
      <protection/>
    </xf>
    <xf numFmtId="179" fontId="3" fillId="12" borderId="0" xfId="0" applyFont="1" applyFill="1" applyBorder="1" applyAlignment="1" applyProtection="1" quotePrefix="1">
      <alignment horizontal="center"/>
      <protection/>
    </xf>
    <xf numFmtId="179" fontId="2" fillId="12" borderId="9" xfId="0" applyFont="1" applyFill="1" applyBorder="1" applyAlignment="1" applyProtection="1">
      <alignment horizontal="center"/>
      <protection/>
    </xf>
    <xf numFmtId="197" fontId="2" fillId="3" borderId="51" xfId="28" applyNumberFormat="1" applyFont="1" applyBorder="1" applyProtection="1">
      <alignment/>
      <protection/>
    </xf>
    <xf numFmtId="197" fontId="2" fillId="2" borderId="8" xfId="28" applyNumberFormat="1" applyFill="1" applyBorder="1" applyAlignment="1" applyProtection="1">
      <alignment vertical="center"/>
      <protection locked="0"/>
    </xf>
    <xf numFmtId="179" fontId="41" fillId="10" borderId="0" xfId="0" applyFont="1" applyFill="1" applyAlignment="1" applyProtection="1">
      <alignment horizontal="right" vertical="center"/>
      <protection/>
    </xf>
    <xf numFmtId="1" fontId="2" fillId="3" borderId="8" xfId="28" applyNumberFormat="1" applyBorder="1" applyProtection="1">
      <alignment/>
      <protection/>
    </xf>
    <xf numFmtId="197" fontId="2" fillId="2" borderId="47" xfId="28" applyNumberFormat="1" applyFill="1" applyBorder="1" applyProtection="1">
      <alignment/>
      <protection locked="0"/>
    </xf>
    <xf numFmtId="197" fontId="4" fillId="2" borderId="7" xfId="22" applyNumberFormat="1" applyFont="1" applyFill="1" applyBorder="1" applyAlignment="1" applyProtection="1">
      <alignment horizontal="right"/>
      <protection locked="0"/>
    </xf>
    <xf numFmtId="179" fontId="7" fillId="3" borderId="7" xfId="22" applyFont="1" applyFill="1" applyBorder="1" applyAlignment="1" applyProtection="1">
      <alignment horizontal="right"/>
      <protection/>
    </xf>
    <xf numFmtId="179" fontId="7" fillId="3" borderId="20" xfId="22" applyFont="1" applyFill="1" applyBorder="1" applyAlignment="1" applyProtection="1">
      <alignment horizontal="right"/>
      <protection/>
    </xf>
    <xf numFmtId="179" fontId="86" fillId="3" borderId="3" xfId="22" applyFont="1" applyFill="1" applyBorder="1" applyProtection="1">
      <alignment/>
      <protection/>
    </xf>
    <xf numFmtId="1" fontId="9" fillId="8" borderId="0" xfId="0" applyNumberFormat="1" applyFont="1" applyFill="1" applyAlignment="1" applyProtection="1">
      <alignment horizontal="center"/>
      <protection hidden="1"/>
    </xf>
    <xf numFmtId="179" fontId="87" fillId="8" borderId="0" xfId="0" applyFont="1" applyFill="1" applyAlignment="1" applyProtection="1">
      <alignment/>
      <protection hidden="1"/>
    </xf>
    <xf numFmtId="179" fontId="88" fillId="8" borderId="0" xfId="0" applyFont="1" applyFill="1" applyAlignment="1" applyProtection="1">
      <alignment horizontal="right"/>
      <protection hidden="1"/>
    </xf>
    <xf numFmtId="179" fontId="9" fillId="8" borderId="0" xfId="0" applyFont="1" applyFill="1" applyAlignment="1" applyProtection="1">
      <alignment horizontal="right"/>
      <protection hidden="1"/>
    </xf>
    <xf numFmtId="179" fontId="9" fillId="8" borderId="0" xfId="0" applyFont="1" applyFill="1" applyAlignment="1" applyProtection="1">
      <alignment/>
      <protection hidden="1"/>
    </xf>
    <xf numFmtId="179" fontId="73" fillId="8" borderId="0" xfId="0" applyFont="1" applyFill="1" applyAlignment="1" applyProtection="1">
      <alignment/>
      <protection hidden="1"/>
    </xf>
    <xf numFmtId="179" fontId="9" fillId="8" borderId="0" xfId="0" applyFont="1" applyFill="1" applyAlignment="1" applyProtection="1">
      <alignment horizontal="center" shrinkToFit="1"/>
      <protection hidden="1"/>
    </xf>
    <xf numFmtId="179" fontId="53" fillId="8" borderId="0" xfId="0" applyFont="1" applyFill="1" applyBorder="1" applyAlignment="1" applyProtection="1">
      <alignment horizontal="right"/>
      <protection hidden="1"/>
    </xf>
    <xf numFmtId="179" fontId="9" fillId="8" borderId="0" xfId="0" applyFont="1" applyFill="1" applyAlignment="1" applyProtection="1">
      <alignment shrinkToFit="1"/>
      <protection hidden="1"/>
    </xf>
    <xf numFmtId="179" fontId="73" fillId="8" borderId="0" xfId="0" applyFont="1" applyFill="1" applyBorder="1" applyAlignment="1" applyProtection="1">
      <alignment horizontal="right"/>
      <protection hidden="1"/>
    </xf>
    <xf numFmtId="179" fontId="3" fillId="12" borderId="0" xfId="0" applyFont="1" applyFill="1" applyBorder="1" applyAlignment="1" applyProtection="1" quotePrefix="1">
      <alignment horizontal="center" vertical="center"/>
      <protection/>
    </xf>
    <xf numFmtId="179" fontId="0" fillId="2" borderId="0" xfId="0" applyBorder="1" applyAlignment="1" applyProtection="1">
      <alignment/>
      <protection/>
    </xf>
    <xf numFmtId="0" fontId="1" fillId="0" borderId="0" xfId="24" applyFill="1" applyBorder="1">
      <alignment/>
      <protection/>
    </xf>
    <xf numFmtId="202" fontId="63" fillId="0" borderId="0" xfId="24" applyNumberFormat="1" applyFont="1" applyFill="1" applyBorder="1" applyAlignment="1">
      <alignment/>
      <protection/>
    </xf>
    <xf numFmtId="0" fontId="60" fillId="0" borderId="0" xfId="25" applyFont="1" applyFill="1" applyBorder="1" applyProtection="1">
      <alignment/>
      <protection/>
    </xf>
    <xf numFmtId="1" fontId="53" fillId="0" borderId="0" xfId="0" applyNumberFormat="1" applyFont="1" applyFill="1" applyAlignment="1" applyProtection="1">
      <alignment/>
      <protection/>
    </xf>
    <xf numFmtId="179" fontId="53" fillId="0" borderId="0" xfId="0" applyFont="1" applyFill="1" applyAlignment="1" applyProtection="1">
      <alignment/>
      <protection/>
    </xf>
    <xf numFmtId="179" fontId="0" fillId="0" borderId="0" xfId="0" applyFill="1" applyAlignment="1" applyProtection="1">
      <alignment/>
      <protection/>
    </xf>
    <xf numFmtId="0" fontId="63" fillId="0" borderId="0" xfId="24" applyFont="1" applyFill="1" applyBorder="1">
      <alignment/>
      <protection/>
    </xf>
    <xf numFmtId="0" fontId="83" fillId="0" borderId="0" xfId="24" applyFont="1" applyFill="1" applyBorder="1">
      <alignment/>
      <protection/>
    </xf>
    <xf numFmtId="195" fontId="63" fillId="0" borderId="0" xfId="24" applyNumberFormat="1" applyFont="1" applyFill="1" applyBorder="1">
      <alignment/>
      <protection/>
    </xf>
    <xf numFmtId="208" fontId="63" fillId="0" borderId="0" xfId="24" applyNumberFormat="1" applyFont="1" applyFill="1" applyBorder="1">
      <alignment/>
      <protection/>
    </xf>
    <xf numFmtId="0" fontId="1" fillId="0" borderId="0" xfId="25" applyFill="1">
      <alignment/>
      <protection/>
    </xf>
    <xf numFmtId="1" fontId="19" fillId="8" borderId="0" xfId="24" applyNumberFormat="1" applyFont="1" applyFill="1" applyAlignment="1">
      <alignment horizontal="left" vertical="top"/>
      <protection/>
    </xf>
    <xf numFmtId="179" fontId="0" fillId="2" borderId="3" xfId="0" applyBorder="1" applyAlignment="1">
      <alignment horizontal="center"/>
    </xf>
    <xf numFmtId="179" fontId="0" fillId="2" borderId="7" xfId="0" applyBorder="1" applyAlignment="1">
      <alignment/>
    </xf>
    <xf numFmtId="179" fontId="0" fillId="2" borderId="0" xfId="0" applyAlignment="1" applyProtection="1">
      <alignment/>
      <protection hidden="1"/>
    </xf>
    <xf numFmtId="179" fontId="23" fillId="8" borderId="0" xfId="0" applyFont="1" applyFill="1" applyAlignment="1" applyProtection="1">
      <alignment wrapText="1"/>
      <protection hidden="1"/>
    </xf>
    <xf numFmtId="179" fontId="0" fillId="8" borderId="0" xfId="0" applyFill="1" applyAlignment="1" applyProtection="1">
      <alignment/>
      <protection hidden="1"/>
    </xf>
    <xf numFmtId="179" fontId="0" fillId="8" borderId="3" xfId="0" applyFill="1" applyBorder="1" applyAlignment="1">
      <alignment horizontal="center"/>
    </xf>
    <xf numFmtId="179" fontId="0" fillId="8" borderId="0" xfId="0" applyFill="1" applyAlignment="1" applyProtection="1">
      <alignment wrapText="1"/>
      <protection hidden="1"/>
    </xf>
    <xf numFmtId="179" fontId="7" fillId="8" borderId="0" xfId="0" applyFont="1" applyFill="1" applyAlignment="1" applyProtection="1">
      <alignment vertical="top"/>
      <protection hidden="1"/>
    </xf>
    <xf numFmtId="179" fontId="47" fillId="8" borderId="0" xfId="0" applyFont="1" applyFill="1" applyBorder="1" applyAlignment="1">
      <alignment/>
    </xf>
    <xf numFmtId="179" fontId="0" fillId="8" borderId="5" xfId="0" applyFont="1" applyFill="1" applyBorder="1" applyAlignment="1">
      <alignment horizontal="left"/>
    </xf>
    <xf numFmtId="179" fontId="0" fillId="8" borderId="0" xfId="0" applyFont="1" applyFill="1" applyBorder="1" applyAlignment="1">
      <alignment horizontal="left"/>
    </xf>
    <xf numFmtId="0" fontId="63" fillId="5" borderId="4" xfId="24" applyFont="1" applyFill="1" applyBorder="1">
      <alignment/>
      <protection/>
    </xf>
    <xf numFmtId="0" fontId="63" fillId="5" borderId="5" xfId="24" applyFont="1" applyFill="1" applyBorder="1">
      <alignment/>
      <protection/>
    </xf>
    <xf numFmtId="0" fontId="79" fillId="5" borderId="5" xfId="24" applyFont="1" applyFill="1" applyBorder="1">
      <alignment/>
      <protection/>
    </xf>
    <xf numFmtId="0" fontId="63" fillId="5" borderId="6" xfId="24" applyFont="1" applyFill="1" applyBorder="1">
      <alignment/>
      <protection/>
    </xf>
    <xf numFmtId="0" fontId="79" fillId="5" borderId="5" xfId="24" applyFont="1" applyFill="1" applyBorder="1" applyAlignment="1">
      <alignment horizontal="center"/>
      <protection/>
    </xf>
    <xf numFmtId="0" fontId="63" fillId="5" borderId="3" xfId="24" applyFont="1" applyFill="1" applyBorder="1">
      <alignment/>
      <protection/>
    </xf>
    <xf numFmtId="0" fontId="63" fillId="5" borderId="0" xfId="24" applyFont="1" applyFill="1" applyBorder="1">
      <alignment/>
      <protection/>
    </xf>
    <xf numFmtId="0" fontId="63" fillId="5" borderId="7" xfId="24" applyFont="1" applyFill="1" applyBorder="1">
      <alignment/>
      <protection/>
    </xf>
    <xf numFmtId="0" fontId="79" fillId="5" borderId="0" xfId="24" applyFont="1" applyFill="1" applyBorder="1" applyAlignment="1">
      <alignment horizontal="center"/>
      <protection/>
    </xf>
    <xf numFmtId="0" fontId="79" fillId="5" borderId="0" xfId="24" applyFont="1" applyFill="1" applyBorder="1">
      <alignment/>
      <protection/>
    </xf>
    <xf numFmtId="0" fontId="90" fillId="5" borderId="0" xfId="24" applyFont="1" applyFill="1" applyBorder="1">
      <alignment/>
      <protection/>
    </xf>
    <xf numFmtId="49" fontId="24" fillId="8" borderId="0" xfId="24" applyNumberFormat="1" applyFont="1" applyFill="1" applyBorder="1">
      <alignment/>
      <protection/>
    </xf>
    <xf numFmtId="0" fontId="63" fillId="5" borderId="0" xfId="24" applyFont="1" applyFill="1">
      <alignment/>
      <protection/>
    </xf>
    <xf numFmtId="0" fontId="63" fillId="8" borderId="0" xfId="24" applyFont="1" applyFill="1">
      <alignment/>
      <protection/>
    </xf>
    <xf numFmtId="0" fontId="63" fillId="5" borderId="54" xfId="24" applyFont="1" applyFill="1" applyBorder="1">
      <alignment/>
      <protection/>
    </xf>
    <xf numFmtId="0" fontId="1" fillId="8" borderId="56" xfId="24" applyFill="1" applyBorder="1">
      <alignment/>
      <protection/>
    </xf>
    <xf numFmtId="0" fontId="1" fillId="8" borderId="0" xfId="24" applyFont="1" applyFill="1" applyBorder="1" applyAlignment="1">
      <alignment horizontal="right"/>
      <protection/>
    </xf>
    <xf numFmtId="0" fontId="21" fillId="8" borderId="9" xfId="24" applyFont="1" applyFill="1" applyBorder="1">
      <alignment/>
      <protection/>
    </xf>
    <xf numFmtId="0" fontId="1" fillId="8" borderId="57" xfId="24" applyFill="1" applyBorder="1">
      <alignment/>
      <protection/>
    </xf>
    <xf numFmtId="0" fontId="1" fillId="8" borderId="58" xfId="24" applyFill="1" applyBorder="1">
      <alignment/>
      <protection/>
    </xf>
    <xf numFmtId="0" fontId="1" fillId="0" borderId="41" xfId="24" applyFill="1" applyBorder="1">
      <alignment/>
      <protection/>
    </xf>
    <xf numFmtId="0" fontId="1" fillId="0" borderId="42" xfId="24" applyFill="1" applyBorder="1">
      <alignment/>
      <protection/>
    </xf>
    <xf numFmtId="0" fontId="1" fillId="0" borderId="43" xfId="24" applyFill="1" applyBorder="1">
      <alignment/>
      <protection/>
    </xf>
    <xf numFmtId="0" fontId="1" fillId="0" borderId="59" xfId="24" applyFill="1" applyBorder="1">
      <alignment/>
      <protection/>
    </xf>
    <xf numFmtId="0" fontId="26" fillId="0" borderId="0" xfId="24" applyFont="1" applyFill="1" applyBorder="1" applyAlignment="1">
      <alignment horizontal="left"/>
      <protection/>
    </xf>
    <xf numFmtId="0" fontId="22" fillId="0" borderId="0" xfId="24" applyFont="1" applyFill="1" applyBorder="1" applyAlignment="1">
      <alignment horizontal="left"/>
      <protection/>
    </xf>
    <xf numFmtId="0" fontId="1" fillId="0" borderId="53" xfId="24" applyFill="1" applyBorder="1">
      <alignment/>
      <protection/>
    </xf>
    <xf numFmtId="0" fontId="23" fillId="0" borderId="0" xfId="24" applyFont="1" applyFill="1" applyBorder="1">
      <alignment/>
      <protection/>
    </xf>
    <xf numFmtId="0" fontId="1" fillId="0" borderId="60" xfId="24" applyFill="1" applyBorder="1">
      <alignment/>
      <protection/>
    </xf>
    <xf numFmtId="0" fontId="23" fillId="0" borderId="0" xfId="24" applyFont="1" applyFill="1" applyBorder="1" applyAlignment="1">
      <alignment horizontal="right"/>
      <protection/>
    </xf>
    <xf numFmtId="0" fontId="23" fillId="0" borderId="0" xfId="24" applyFont="1" applyFill="1" applyBorder="1" quotePrefix="1">
      <alignment/>
      <protection/>
    </xf>
    <xf numFmtId="0" fontId="1" fillId="0" borderId="61" xfId="24" applyFill="1" applyBorder="1">
      <alignment/>
      <protection/>
    </xf>
    <xf numFmtId="0" fontId="23" fillId="0" borderId="22" xfId="24" applyFont="1" applyFill="1" applyBorder="1">
      <alignment/>
      <protection/>
    </xf>
    <xf numFmtId="0" fontId="1" fillId="0" borderId="22" xfId="24" applyFill="1" applyBorder="1">
      <alignment/>
      <protection/>
    </xf>
    <xf numFmtId="0" fontId="1" fillId="0" borderId="54" xfId="24" applyFill="1" applyBorder="1">
      <alignment/>
      <protection/>
    </xf>
    <xf numFmtId="0" fontId="21" fillId="0" borderId="0" xfId="24" applyFont="1" applyFill="1" applyBorder="1" applyProtection="1">
      <alignment/>
      <protection/>
    </xf>
    <xf numFmtId="0" fontId="91" fillId="0" borderId="0" xfId="24" applyFont="1" applyFill="1" applyBorder="1" applyAlignment="1">
      <alignment horizontal="right"/>
      <protection/>
    </xf>
    <xf numFmtId="0" fontId="1" fillId="8" borderId="0" xfId="24" applyFont="1" applyFill="1" applyAlignment="1">
      <alignment vertical="top"/>
      <protection/>
    </xf>
    <xf numFmtId="0" fontId="23" fillId="0" borderId="0" xfId="24" applyFont="1" applyFill="1" applyBorder="1">
      <alignment/>
      <protection/>
    </xf>
    <xf numFmtId="0" fontId="62" fillId="8" borderId="0" xfId="24" applyFont="1" applyFill="1">
      <alignment/>
      <protection/>
    </xf>
    <xf numFmtId="0" fontId="10" fillId="8" borderId="0" xfId="24" applyFont="1" applyFill="1" applyAlignment="1">
      <alignment horizontal="center"/>
      <protection/>
    </xf>
    <xf numFmtId="0" fontId="1" fillId="9" borderId="13" xfId="24" applyFill="1" applyBorder="1">
      <alignment/>
      <protection/>
    </xf>
    <xf numFmtId="0" fontId="1" fillId="9" borderId="10" xfId="24" applyFill="1" applyBorder="1">
      <alignment/>
      <protection/>
    </xf>
    <xf numFmtId="0" fontId="21" fillId="8" borderId="5" xfId="24" applyFont="1" applyFill="1" applyBorder="1">
      <alignment/>
      <protection/>
    </xf>
    <xf numFmtId="0" fontId="1" fillId="8" borderId="4" xfId="24" applyFont="1" applyFill="1" applyBorder="1">
      <alignment/>
      <protection/>
    </xf>
    <xf numFmtId="197" fontId="7" fillId="3" borderId="8" xfId="28" applyNumberFormat="1" applyFont="1" applyBorder="1" applyAlignment="1" applyProtection="1">
      <alignment horizontal="center"/>
      <protection/>
    </xf>
    <xf numFmtId="197" fontId="7" fillId="3" borderId="8" xfId="28" applyNumberFormat="1" applyFont="1" applyBorder="1" applyAlignment="1" applyProtection="1">
      <alignment horizontal="right"/>
      <protection/>
    </xf>
    <xf numFmtId="197" fontId="7" fillId="2" borderId="47" xfId="28" applyNumberFormat="1" applyFont="1" applyFill="1" applyBorder="1" applyAlignment="1" applyProtection="1">
      <alignment horizontal="right"/>
      <protection locked="0"/>
    </xf>
    <xf numFmtId="197" fontId="7" fillId="2" borderId="22" xfId="0" applyNumberFormat="1" applyFont="1" applyFill="1" applyBorder="1" applyAlignment="1" applyProtection="1">
      <alignment horizontal="right"/>
      <protection locked="0"/>
    </xf>
    <xf numFmtId="2" fontId="25" fillId="8" borderId="0" xfId="24" applyNumberFormat="1" applyFont="1" applyFill="1" applyBorder="1" applyAlignment="1" applyProtection="1">
      <alignment horizontal="right"/>
      <protection/>
    </xf>
    <xf numFmtId="0" fontId="24" fillId="8" borderId="0" xfId="24" applyFont="1" applyFill="1" applyBorder="1" applyAlignment="1" applyProtection="1">
      <alignment horizontal="left" vertical="center"/>
      <protection/>
    </xf>
    <xf numFmtId="0" fontId="26" fillId="0" borderId="0" xfId="24" applyFont="1" applyFill="1" applyBorder="1" applyProtection="1">
      <alignment/>
      <protection/>
    </xf>
    <xf numFmtId="179" fontId="0" fillId="8" borderId="8" xfId="0" applyFont="1" applyFill="1" applyBorder="1" applyAlignment="1">
      <alignment/>
    </xf>
    <xf numFmtId="179" fontId="15" fillId="8" borderId="8" xfId="0" applyFont="1" applyFill="1" applyBorder="1" applyAlignment="1" applyProtection="1">
      <alignment vertical="top"/>
      <protection/>
    </xf>
    <xf numFmtId="179" fontId="93" fillId="8" borderId="0" xfId="20" applyFont="1" applyFill="1" applyAlignment="1" applyProtection="1">
      <alignment wrapText="1"/>
      <protection hidden="1"/>
    </xf>
    <xf numFmtId="179" fontId="7" fillId="8" borderId="0" xfId="0" applyFont="1" applyFill="1" applyAlignment="1" applyProtection="1">
      <alignment vertical="top" wrapText="1"/>
      <protection hidden="1"/>
    </xf>
    <xf numFmtId="179" fontId="0" fillId="8" borderId="8" xfId="0" applyFont="1" applyFill="1" applyBorder="1" applyAlignment="1">
      <alignment horizontal="center"/>
    </xf>
    <xf numFmtId="179" fontId="47" fillId="8" borderId="2" xfId="0" applyFont="1" applyFill="1" applyBorder="1" applyAlignment="1">
      <alignment horizontal="left"/>
    </xf>
    <xf numFmtId="179" fontId="0" fillId="8" borderId="2" xfId="0" applyFont="1" applyFill="1" applyBorder="1" applyAlignment="1">
      <alignment horizontal="left" vertical="center"/>
    </xf>
    <xf numFmtId="179" fontId="0" fillId="8" borderId="8" xfId="0" applyFill="1" applyBorder="1" applyAlignment="1">
      <alignment/>
    </xf>
    <xf numFmtId="179" fontId="0" fillId="8" borderId="14" xfId="0" applyFill="1" applyBorder="1" applyAlignment="1">
      <alignment horizontal="left" vertical="center"/>
    </xf>
    <xf numFmtId="178" fontId="3" fillId="8" borderId="5" xfId="0" applyNumberFormat="1" applyFont="1" applyFill="1" applyBorder="1" applyAlignment="1" applyProtection="1">
      <alignment/>
      <protection/>
    </xf>
    <xf numFmtId="179" fontId="4" fillId="2" borderId="5" xfId="0" applyFont="1" applyFill="1" applyBorder="1" applyAlignment="1" applyProtection="1">
      <alignment/>
      <protection/>
    </xf>
    <xf numFmtId="179" fontId="12" fillId="2" borderId="5" xfId="0" applyFont="1" applyFill="1" applyBorder="1" applyAlignment="1" applyProtection="1">
      <alignment/>
      <protection/>
    </xf>
    <xf numFmtId="179" fontId="2" fillId="2" borderId="5" xfId="0" applyFont="1" applyFill="1" applyBorder="1" applyAlignment="1" applyProtection="1">
      <alignment/>
      <protection/>
    </xf>
    <xf numFmtId="179" fontId="3" fillId="2" borderId="5" xfId="0" applyFont="1" applyFill="1" applyBorder="1" applyAlignment="1" applyProtection="1">
      <alignment horizontal="center"/>
      <protection/>
    </xf>
    <xf numFmtId="179" fontId="3" fillId="2" borderId="5" xfId="0" applyFont="1" applyFill="1" applyBorder="1" applyAlignment="1" applyProtection="1">
      <alignment/>
      <protection/>
    </xf>
    <xf numFmtId="178" fontId="4" fillId="2" borderId="6" xfId="0" applyNumberFormat="1" applyFont="1" applyFill="1" applyBorder="1" applyAlignment="1" applyProtection="1">
      <alignment/>
      <protection/>
    </xf>
    <xf numFmtId="179" fontId="2" fillId="2" borderId="3" xfId="0" applyFont="1" applyFill="1" applyBorder="1" applyAlignment="1" applyProtection="1">
      <alignment/>
      <protection/>
    </xf>
    <xf numFmtId="179" fontId="2" fillId="2" borderId="0" xfId="0" applyFont="1" applyFill="1" applyBorder="1" applyAlignment="1" applyProtection="1">
      <alignment/>
      <protection/>
    </xf>
    <xf numFmtId="179" fontId="12" fillId="2" borderId="0" xfId="0" applyFont="1" applyFill="1" applyBorder="1" applyAlignment="1" applyProtection="1">
      <alignment/>
      <protection/>
    </xf>
    <xf numFmtId="179" fontId="3" fillId="2" borderId="0" xfId="0" applyFont="1" applyFill="1" applyBorder="1" applyAlignment="1" applyProtection="1">
      <alignment horizontal="center"/>
      <protection/>
    </xf>
    <xf numFmtId="179" fontId="3" fillId="2" borderId="0" xfId="0" applyFont="1" applyFill="1" applyBorder="1" applyAlignment="1" applyProtection="1">
      <alignment/>
      <protection/>
    </xf>
    <xf numFmtId="178" fontId="4" fillId="2" borderId="7" xfId="0" applyNumberFormat="1" applyFont="1" applyFill="1" applyBorder="1" applyAlignment="1" applyProtection="1">
      <alignment/>
      <protection/>
    </xf>
    <xf numFmtId="179" fontId="2" fillId="2" borderId="0" xfId="0" applyFont="1" applyFill="1" applyBorder="1" applyAlignment="1" applyProtection="1">
      <alignment horizontal="right"/>
      <protection/>
    </xf>
    <xf numFmtId="179" fontId="16" fillId="2" borderId="11" xfId="0" applyNumberFormat="1" applyFont="1" applyFill="1" applyBorder="1" applyAlignment="1" applyProtection="1" quotePrefix="1">
      <alignment horizontal="center"/>
      <protection locked="0"/>
    </xf>
    <xf numFmtId="179" fontId="2" fillId="2" borderId="0" xfId="0" applyFont="1" applyFill="1" applyBorder="1" applyAlignment="1" applyProtection="1">
      <alignment horizontal="center"/>
      <protection/>
    </xf>
    <xf numFmtId="179" fontId="16" fillId="2" borderId="11" xfId="0" applyNumberFormat="1" applyFont="1" applyFill="1" applyBorder="1" applyAlignment="1" applyProtection="1">
      <alignment horizontal="center"/>
      <protection locked="0"/>
    </xf>
    <xf numFmtId="178" fontId="7" fillId="2" borderId="7" xfId="0" applyNumberFormat="1" applyFont="1" applyFill="1" applyBorder="1" applyAlignment="1" applyProtection="1" quotePrefix="1">
      <alignment/>
      <protection/>
    </xf>
    <xf numFmtId="179" fontId="2" fillId="2" borderId="8" xfId="0" applyFont="1" applyFill="1" applyBorder="1" applyAlignment="1" applyProtection="1">
      <alignment/>
      <protection/>
    </xf>
    <xf numFmtId="179" fontId="12" fillId="2" borderId="8" xfId="0" applyFont="1" applyFill="1" applyBorder="1" applyAlignment="1" applyProtection="1">
      <alignment/>
      <protection/>
    </xf>
    <xf numFmtId="179" fontId="3" fillId="2" borderId="8" xfId="0" applyFont="1" applyFill="1" applyBorder="1" applyAlignment="1" applyProtection="1">
      <alignment horizontal="center"/>
      <protection/>
    </xf>
    <xf numFmtId="179" fontId="3" fillId="2" borderId="8" xfId="0" applyFont="1" applyFill="1" applyBorder="1" applyAlignment="1" applyProtection="1">
      <alignment/>
      <protection/>
    </xf>
    <xf numFmtId="178" fontId="4" fillId="2" borderId="10" xfId="0" applyNumberFormat="1" applyFont="1" applyFill="1" applyBorder="1" applyAlignment="1" applyProtection="1">
      <alignment/>
      <protection/>
    </xf>
    <xf numFmtId="178" fontId="9" fillId="5" borderId="0" xfId="0" applyNumberFormat="1" applyFont="1" applyFill="1" applyAlignment="1" applyProtection="1">
      <alignment/>
      <protection/>
    </xf>
    <xf numFmtId="179" fontId="2" fillId="2" borderId="9" xfId="0" applyFont="1" applyFill="1" applyBorder="1" applyAlignment="1" applyProtection="1">
      <alignment vertical="center"/>
      <protection/>
    </xf>
    <xf numFmtId="179" fontId="95" fillId="8" borderId="0" xfId="0" applyFont="1" applyFill="1" applyBorder="1" applyAlignment="1" applyProtection="1">
      <alignment/>
      <protection/>
    </xf>
    <xf numFmtId="179" fontId="96" fillId="8" borderId="0" xfId="0" applyFont="1" applyFill="1" applyBorder="1" applyAlignment="1" applyProtection="1">
      <alignment horizontal="right"/>
      <protection/>
    </xf>
    <xf numFmtId="179" fontId="92" fillId="8" borderId="0" xfId="0" applyFont="1" applyFill="1" applyAlignment="1" applyProtection="1">
      <alignment/>
      <protection/>
    </xf>
    <xf numFmtId="49" fontId="47" fillId="2" borderId="8" xfId="0" applyNumberFormat="1" applyFont="1" applyBorder="1" applyAlignment="1" applyProtection="1">
      <alignment horizontal="center" vertical="center"/>
      <protection locked="0"/>
    </xf>
    <xf numFmtId="179" fontId="30" fillId="8" borderId="0" xfId="0" applyFont="1" applyFill="1" applyBorder="1" applyAlignment="1" applyProtection="1">
      <alignment horizontal="center"/>
      <protection/>
    </xf>
    <xf numFmtId="179" fontId="47" fillId="8" borderId="5" xfId="0" applyFont="1" applyFill="1" applyBorder="1" applyAlignment="1" applyProtection="1">
      <alignment horizontal="center"/>
      <protection/>
    </xf>
    <xf numFmtId="179" fontId="38" fillId="8" borderId="4" xfId="0" applyFont="1" applyFill="1" applyBorder="1" applyAlignment="1" applyProtection="1" quotePrefix="1">
      <alignment/>
      <protection/>
    </xf>
    <xf numFmtId="179" fontId="0" fillId="8" borderId="3" xfId="0" applyFill="1" applyBorder="1" applyAlignment="1" applyProtection="1">
      <alignment horizontal="center"/>
      <protection/>
    </xf>
    <xf numFmtId="179" fontId="0" fillId="8" borderId="9" xfId="0" applyFill="1" applyBorder="1" applyAlignment="1" applyProtection="1">
      <alignment horizontal="center"/>
      <protection/>
    </xf>
    <xf numFmtId="179" fontId="47" fillId="8" borderId="2" xfId="0" applyFont="1" applyFill="1" applyBorder="1" applyAlignment="1" applyProtection="1">
      <alignment horizontal="left"/>
      <protection/>
    </xf>
    <xf numFmtId="179" fontId="0" fillId="8" borderId="2" xfId="0" applyFill="1" applyBorder="1" applyAlignment="1" applyProtection="1">
      <alignment/>
      <protection/>
    </xf>
    <xf numFmtId="179" fontId="0" fillId="8" borderId="14" xfId="0" applyFill="1" applyBorder="1" applyAlignment="1" applyProtection="1">
      <alignment/>
      <protection/>
    </xf>
    <xf numFmtId="179" fontId="16" fillId="9" borderId="0" xfId="0" applyFont="1" applyFill="1" applyBorder="1" applyAlignment="1" applyProtection="1">
      <alignment/>
      <protection/>
    </xf>
    <xf numFmtId="1" fontId="2" fillId="8" borderId="8" xfId="0" applyNumberFormat="1" applyFont="1" applyFill="1" applyBorder="1" applyAlignment="1" applyProtection="1">
      <alignment horizontal="left"/>
      <protection/>
    </xf>
    <xf numFmtId="179" fontId="7" fillId="8" borderId="8" xfId="0" applyFont="1" applyFill="1" applyBorder="1" applyAlignment="1" applyProtection="1">
      <alignment/>
      <protection/>
    </xf>
    <xf numFmtId="1" fontId="2" fillId="8" borderId="2" xfId="0" applyNumberFormat="1" applyFont="1" applyFill="1" applyBorder="1" applyAlignment="1" applyProtection="1">
      <alignment horizontal="left"/>
      <protection/>
    </xf>
    <xf numFmtId="179" fontId="7" fillId="8" borderId="2" xfId="0" applyFont="1" applyFill="1" applyBorder="1" applyAlignment="1" applyProtection="1">
      <alignment/>
      <protection/>
    </xf>
    <xf numFmtId="179" fontId="2" fillId="9" borderId="0" xfId="0" applyFont="1" applyFill="1" applyBorder="1" applyAlignment="1" applyProtection="1">
      <alignment/>
      <protection/>
    </xf>
    <xf numFmtId="179" fontId="2" fillId="9" borderId="0" xfId="0" applyFont="1" applyFill="1" applyAlignment="1" applyProtection="1">
      <alignment/>
      <protection/>
    </xf>
    <xf numFmtId="1" fontId="2" fillId="9" borderId="0" xfId="0" applyNumberFormat="1" applyFont="1" applyFill="1" applyAlignment="1" applyProtection="1">
      <alignment horizontal="left"/>
      <protection/>
    </xf>
    <xf numFmtId="179" fontId="7" fillId="9" borderId="0" xfId="0" applyFont="1" applyFill="1" applyAlignment="1" applyProtection="1">
      <alignment/>
      <protection/>
    </xf>
    <xf numFmtId="179" fontId="2" fillId="7" borderId="0" xfId="0" applyFont="1" applyFill="1" applyAlignment="1" applyProtection="1">
      <alignment/>
      <protection/>
    </xf>
    <xf numFmtId="179" fontId="2" fillId="2" borderId="0" xfId="0" applyNumberFormat="1" applyFont="1" applyFill="1" applyBorder="1" applyAlignment="1" applyProtection="1">
      <alignment/>
      <protection/>
    </xf>
    <xf numFmtId="179" fontId="2" fillId="8" borderId="0" xfId="0" applyFont="1" applyFill="1" applyBorder="1" applyAlignment="1" applyProtection="1" quotePrefix="1">
      <alignment/>
      <protection/>
    </xf>
    <xf numFmtId="1" fontId="2" fillId="8" borderId="0" xfId="0" applyNumberFormat="1" applyFont="1" applyFill="1" applyBorder="1" applyAlignment="1" applyProtection="1" quotePrefix="1">
      <alignment horizontal="left"/>
      <protection/>
    </xf>
    <xf numFmtId="179" fontId="0" fillId="7" borderId="0" xfId="0" applyFill="1" applyAlignment="1">
      <alignment/>
    </xf>
    <xf numFmtId="179" fontId="0" fillId="9" borderId="0" xfId="0" applyFill="1" applyAlignment="1">
      <alignment/>
    </xf>
    <xf numFmtId="179" fontId="7" fillId="9" borderId="0" xfId="0" applyFont="1" applyFill="1" applyBorder="1" applyAlignment="1" applyProtection="1">
      <alignment/>
      <protection/>
    </xf>
    <xf numFmtId="179" fontId="2" fillId="8" borderId="0" xfId="0" applyNumberFormat="1" applyFont="1" applyFill="1" applyBorder="1" applyAlignment="1" applyProtection="1">
      <alignment/>
      <protection/>
    </xf>
    <xf numFmtId="179" fontId="31" fillId="8" borderId="0" xfId="0" applyFont="1" applyFill="1" applyBorder="1" applyAlignment="1">
      <alignment/>
    </xf>
    <xf numFmtId="179" fontId="29" fillId="8" borderId="0" xfId="0" applyFont="1" applyFill="1" applyBorder="1" applyAlignment="1">
      <alignment/>
    </xf>
    <xf numFmtId="179" fontId="7" fillId="7" borderId="0" xfId="0" applyFont="1" applyFill="1" applyBorder="1" applyAlignment="1" applyProtection="1">
      <alignment/>
      <protection/>
    </xf>
    <xf numFmtId="179" fontId="0" fillId="8" borderId="5" xfId="0" applyFill="1" applyBorder="1" applyAlignment="1">
      <alignment/>
    </xf>
    <xf numFmtId="179" fontId="4" fillId="9" borderId="0" xfId="0" applyFont="1" applyFill="1" applyBorder="1" applyAlignment="1" applyProtection="1">
      <alignment/>
      <protection/>
    </xf>
    <xf numFmtId="179" fontId="70" fillId="8" borderId="0" xfId="0" applyFont="1" applyFill="1" applyBorder="1" applyAlignment="1" applyProtection="1">
      <alignment/>
      <protection/>
    </xf>
    <xf numFmtId="179" fontId="2" fillId="8" borderId="42" xfId="0" applyFont="1" applyFill="1" applyBorder="1" applyAlignment="1" applyProtection="1">
      <alignment/>
      <protection/>
    </xf>
    <xf numFmtId="197" fontId="7" fillId="3" borderId="22" xfId="28" applyNumberFormat="1" applyFont="1" applyBorder="1" applyProtection="1">
      <alignment/>
      <protection locked="0"/>
    </xf>
    <xf numFmtId="179" fontId="70" fillId="9" borderId="0" xfId="0" applyFont="1" applyFill="1" applyBorder="1" applyAlignment="1" applyProtection="1">
      <alignment/>
      <protection/>
    </xf>
    <xf numFmtId="1" fontId="2" fillId="9" borderId="0" xfId="0" applyNumberFormat="1" applyFont="1" applyFill="1" applyBorder="1" applyAlignment="1" applyProtection="1">
      <alignment horizontal="left"/>
      <protection/>
    </xf>
    <xf numFmtId="179" fontId="0" fillId="9" borderId="0" xfId="0" applyFill="1" applyBorder="1" applyAlignment="1">
      <alignment/>
    </xf>
    <xf numFmtId="197" fontId="7" fillId="8" borderId="2" xfId="28" applyNumberFormat="1" applyFont="1" applyFill="1" applyBorder="1" applyProtection="1">
      <alignment/>
      <protection/>
    </xf>
    <xf numFmtId="179" fontId="18" fillId="8" borderId="0" xfId="0" applyFont="1" applyFill="1" applyAlignment="1" applyProtection="1">
      <alignment horizontal="center"/>
      <protection/>
    </xf>
    <xf numFmtId="179" fontId="18" fillId="8" borderId="0" xfId="0" applyFont="1" applyFill="1" applyAlignment="1" applyProtection="1">
      <alignment horizontal="left"/>
      <protection/>
    </xf>
    <xf numFmtId="1" fontId="4" fillId="8" borderId="0" xfId="0" applyNumberFormat="1" applyFont="1" applyFill="1" applyBorder="1" applyAlignment="1" applyProtection="1">
      <alignment horizontal="center"/>
      <protection/>
    </xf>
    <xf numFmtId="179" fontId="27" fillId="9" borderId="0" xfId="0" applyFont="1" applyFill="1" applyBorder="1" applyAlignment="1" applyProtection="1">
      <alignment/>
      <protection/>
    </xf>
    <xf numFmtId="179" fontId="0" fillId="2" borderId="0" xfId="0" applyAlignment="1">
      <alignment/>
    </xf>
    <xf numFmtId="179" fontId="3" fillId="8" borderId="0" xfId="0" applyFont="1" applyFill="1" applyAlignment="1" applyProtection="1">
      <alignment/>
      <protection/>
    </xf>
    <xf numFmtId="178" fontId="3" fillId="8" borderId="0" xfId="0" applyNumberFormat="1" applyFont="1" applyFill="1" applyAlignment="1" applyProtection="1">
      <alignment horizontal="right"/>
      <protection/>
    </xf>
    <xf numFmtId="179" fontId="4" fillId="8" borderId="0" xfId="22" applyFont="1" applyFill="1" applyAlignment="1" applyProtection="1" quotePrefix="1">
      <alignment horizontal="center"/>
      <protection/>
    </xf>
    <xf numFmtId="179" fontId="28" fillId="8" borderId="0" xfId="22" applyFont="1" applyFill="1" applyProtection="1">
      <alignment/>
      <protection/>
    </xf>
    <xf numFmtId="179" fontId="2" fillId="8" borderId="0" xfId="0" applyFont="1" applyFill="1" applyAlignment="1" applyProtection="1" quotePrefix="1">
      <alignment/>
      <protection/>
    </xf>
    <xf numFmtId="1" fontId="2" fillId="8" borderId="0" xfId="0" applyNumberFormat="1" applyFont="1" applyFill="1" applyAlignment="1" applyProtection="1" quotePrefix="1">
      <alignment horizontal="center"/>
      <protection/>
    </xf>
    <xf numFmtId="179" fontId="2" fillId="8" borderId="0" xfId="0" applyFont="1" applyFill="1" applyAlignment="1" applyProtection="1" quotePrefix="1">
      <alignment horizontal="center"/>
      <protection/>
    </xf>
    <xf numFmtId="179" fontId="3" fillId="8" borderId="0" xfId="0" applyFont="1" applyFill="1" applyAlignment="1" applyProtection="1">
      <alignment horizontal="center"/>
      <protection/>
    </xf>
    <xf numFmtId="197" fontId="2" fillId="8" borderId="0" xfId="0" applyNumberFormat="1" applyFont="1" applyFill="1" applyBorder="1" applyAlignment="1" applyProtection="1">
      <alignment horizontal="right"/>
      <protection/>
    </xf>
    <xf numFmtId="179" fontId="2" fillId="8" borderId="0" xfId="0" applyFont="1" applyFill="1" applyAlignment="1" applyProtection="1">
      <alignment horizontal="center"/>
      <protection/>
    </xf>
    <xf numFmtId="212" fontId="2" fillId="2" borderId="11" xfId="0" applyNumberFormat="1" applyFont="1" applyFill="1" applyBorder="1" applyAlignment="1" applyProtection="1">
      <alignment/>
      <protection locked="0"/>
    </xf>
    <xf numFmtId="179" fontId="2" fillId="8" borderId="2" xfId="0" applyFont="1" applyFill="1" applyBorder="1" applyAlignment="1" applyProtection="1" quotePrefix="1">
      <alignment horizontal="center"/>
      <protection/>
    </xf>
    <xf numFmtId="178" fontId="2" fillId="8" borderId="2" xfId="0" applyNumberFormat="1" applyFont="1" applyFill="1" applyBorder="1" applyAlignment="1" applyProtection="1" quotePrefix="1">
      <alignment horizontal="center"/>
      <protection/>
    </xf>
    <xf numFmtId="178" fontId="2" fillId="8" borderId="8" xfId="0" applyNumberFormat="1" applyFont="1" applyFill="1" applyBorder="1" applyAlignment="1" applyProtection="1" quotePrefix="1">
      <alignment horizontal="center"/>
      <protection/>
    </xf>
    <xf numFmtId="178" fontId="9" fillId="5" borderId="6" xfId="0" applyNumberFormat="1" applyFont="1" applyFill="1" applyBorder="1" applyAlignment="1" applyProtection="1">
      <alignment horizontal="center"/>
      <protection/>
    </xf>
    <xf numFmtId="178" fontId="9" fillId="5" borderId="6" xfId="0" applyNumberFormat="1" applyFont="1" applyFill="1" applyBorder="1" applyAlignment="1" applyProtection="1">
      <alignment/>
      <protection/>
    </xf>
    <xf numFmtId="179" fontId="2" fillId="8" borderId="8" xfId="0" applyFont="1" applyFill="1" applyBorder="1" applyAlignment="1" applyProtection="1">
      <alignment/>
      <protection/>
    </xf>
    <xf numFmtId="179" fontId="10" fillId="8" borderId="20" xfId="0" applyFont="1" applyFill="1" applyBorder="1" applyAlignment="1" applyProtection="1">
      <alignment horizontal="center"/>
      <protection/>
    </xf>
    <xf numFmtId="179" fontId="10" fillId="8" borderId="13" xfId="0" applyFont="1" applyFill="1" applyBorder="1" applyAlignment="1" applyProtection="1">
      <alignment horizontal="center"/>
      <protection/>
    </xf>
    <xf numFmtId="197" fontId="2" fillId="2" borderId="9" xfId="0" applyNumberFormat="1" applyFont="1" applyFill="1" applyBorder="1" applyAlignment="1" applyProtection="1">
      <alignment/>
      <protection locked="0"/>
    </xf>
    <xf numFmtId="212" fontId="2" fillId="3" borderId="21" xfId="0" applyNumberFormat="1" applyFont="1" applyFill="1" applyBorder="1" applyAlignment="1" applyProtection="1">
      <alignment/>
      <protection/>
    </xf>
    <xf numFmtId="212" fontId="2" fillId="2" borderId="21" xfId="0" applyNumberFormat="1" applyFont="1" applyFill="1" applyBorder="1" applyAlignment="1" applyProtection="1">
      <alignment/>
      <protection locked="0"/>
    </xf>
    <xf numFmtId="212" fontId="2" fillId="3" borderId="2" xfId="0" applyNumberFormat="1" applyFont="1" applyFill="1" applyBorder="1" applyAlignment="1" applyProtection="1">
      <alignment/>
      <protection/>
    </xf>
    <xf numFmtId="212" fontId="2" fillId="2" borderId="2" xfId="0" applyNumberFormat="1" applyFont="1" applyFill="1" applyBorder="1" applyAlignment="1" applyProtection="1">
      <alignment/>
      <protection locked="0"/>
    </xf>
    <xf numFmtId="179" fontId="14" fillId="8" borderId="0" xfId="0" applyFont="1" applyFill="1" applyAlignment="1" applyProtection="1">
      <alignment horizontal="left"/>
      <protection/>
    </xf>
    <xf numFmtId="179" fontId="3" fillId="8" borderId="0" xfId="0" applyFont="1" applyFill="1" applyAlignment="1" applyProtection="1">
      <alignment horizontal="center" vertical="top"/>
      <protection/>
    </xf>
    <xf numFmtId="179" fontId="27" fillId="8" borderId="0" xfId="0" applyFont="1" applyFill="1" applyBorder="1" applyAlignment="1" applyProtection="1">
      <alignment horizontal="left"/>
      <protection/>
    </xf>
    <xf numFmtId="179" fontId="27" fillId="8" borderId="0" xfId="0" applyFont="1" applyFill="1" applyBorder="1" applyAlignment="1" applyProtection="1">
      <alignment horizontal="center"/>
      <protection/>
    </xf>
    <xf numFmtId="179" fontId="28" fillId="8" borderId="15" xfId="0" applyFont="1" applyFill="1" applyBorder="1" applyAlignment="1" applyProtection="1">
      <alignment/>
      <protection/>
    </xf>
    <xf numFmtId="179" fontId="27" fillId="8" borderId="1" xfId="0" applyFont="1" applyFill="1" applyBorder="1" applyAlignment="1" applyProtection="1">
      <alignment horizontal="center"/>
      <protection/>
    </xf>
    <xf numFmtId="179" fontId="27" fillId="8" borderId="15" xfId="0" applyFont="1" applyFill="1" applyBorder="1" applyAlignment="1" applyProtection="1">
      <alignment horizontal="center"/>
      <protection/>
    </xf>
    <xf numFmtId="178" fontId="28" fillId="8" borderId="0" xfId="0" applyNumberFormat="1" applyFont="1" applyFill="1" applyAlignment="1" applyProtection="1">
      <alignment horizontal="center"/>
      <protection/>
    </xf>
    <xf numFmtId="179" fontId="28" fillId="8" borderId="8" xfId="0" applyFont="1" applyFill="1" applyBorder="1" applyAlignment="1" applyProtection="1">
      <alignment/>
      <protection/>
    </xf>
    <xf numFmtId="179" fontId="27" fillId="8" borderId="5" xfId="0" applyFont="1" applyFill="1" applyBorder="1" applyAlignment="1" applyProtection="1">
      <alignment/>
      <protection/>
    </xf>
    <xf numFmtId="179" fontId="27" fillId="8" borderId="0" xfId="0" applyFont="1" applyFill="1" applyBorder="1" applyAlignment="1" applyProtection="1">
      <alignment horizontal="center"/>
      <protection/>
    </xf>
    <xf numFmtId="179" fontId="27" fillId="8" borderId="8" xfId="0" applyFont="1" applyFill="1" applyBorder="1" applyAlignment="1" applyProtection="1">
      <alignment horizontal="right"/>
      <protection/>
    </xf>
    <xf numFmtId="179" fontId="27" fillId="8" borderId="0" xfId="0" applyFont="1" applyFill="1" applyAlignment="1" applyProtection="1">
      <alignment horizontal="center"/>
      <protection/>
    </xf>
    <xf numFmtId="179" fontId="78" fillId="8" borderId="12" xfId="0" applyFont="1" applyFill="1" applyBorder="1" applyAlignment="1" applyProtection="1">
      <alignment/>
      <protection/>
    </xf>
    <xf numFmtId="179" fontId="80" fillId="8" borderId="1" xfId="0" applyFont="1" applyFill="1" applyBorder="1" applyAlignment="1" applyProtection="1">
      <alignment horizontal="left"/>
      <protection/>
    </xf>
    <xf numFmtId="179" fontId="80" fillId="8" borderId="1" xfId="0" applyFont="1" applyFill="1" applyBorder="1" applyAlignment="1" applyProtection="1">
      <alignment horizontal="center"/>
      <protection/>
    </xf>
    <xf numFmtId="179" fontId="3" fillId="12" borderId="0" xfId="0" applyFont="1" applyFill="1" applyAlignment="1" applyProtection="1">
      <alignment horizontal="center" vertical="center"/>
      <protection/>
    </xf>
    <xf numFmtId="179" fontId="2" fillId="12" borderId="8" xfId="0" applyFont="1" applyFill="1" applyBorder="1" applyAlignment="1" applyProtection="1">
      <alignment/>
      <protection/>
    </xf>
    <xf numFmtId="179" fontId="2" fillId="12" borderId="0" xfId="0" applyFont="1" applyFill="1" applyAlignment="1" applyProtection="1">
      <alignment horizontal="center"/>
      <protection/>
    </xf>
    <xf numFmtId="179" fontId="0" fillId="3" borderId="11" xfId="0" applyFill="1" applyBorder="1" applyAlignment="1" applyProtection="1">
      <alignment/>
      <protection/>
    </xf>
    <xf numFmtId="179" fontId="0" fillId="3" borderId="2" xfId="0" applyFill="1" applyBorder="1" applyAlignment="1" applyProtection="1">
      <alignment/>
      <protection/>
    </xf>
    <xf numFmtId="179" fontId="0" fillId="3" borderId="8" xfId="0" applyFill="1" applyBorder="1" applyAlignment="1" applyProtection="1">
      <alignment/>
      <protection/>
    </xf>
    <xf numFmtId="179" fontId="41" fillId="12" borderId="8" xfId="0" applyFont="1" applyFill="1" applyBorder="1" applyAlignment="1" applyProtection="1">
      <alignment horizontal="right"/>
      <protection/>
    </xf>
    <xf numFmtId="197" fontId="4" fillId="2" borderId="7" xfId="22" applyNumberFormat="1" applyFont="1" applyFill="1" applyBorder="1" applyAlignment="1" applyProtection="1">
      <alignment horizontal="center" vertical="center"/>
      <protection locked="0"/>
    </xf>
    <xf numFmtId="0" fontId="1" fillId="0" borderId="0" xfId="25" applyFont="1">
      <alignment/>
      <protection/>
    </xf>
    <xf numFmtId="0" fontId="99" fillId="8" borderId="0" xfId="25" applyFont="1" applyFill="1">
      <alignment/>
      <protection/>
    </xf>
    <xf numFmtId="0" fontId="99" fillId="8" borderId="0" xfId="25" applyFont="1" applyFill="1" applyBorder="1">
      <alignment/>
      <protection/>
    </xf>
    <xf numFmtId="0" fontId="56" fillId="8" borderId="30" xfId="25" applyFont="1" applyFill="1" applyBorder="1" applyAlignment="1" applyProtection="1">
      <alignment horizontal="right"/>
      <protection/>
    </xf>
    <xf numFmtId="2" fontId="56" fillId="3" borderId="22" xfId="25" applyNumberFormat="1" applyFont="1" applyFill="1" applyBorder="1" applyAlignment="1" applyProtection="1" quotePrefix="1">
      <alignment horizontal="right"/>
      <protection/>
    </xf>
    <xf numFmtId="0" fontId="57" fillId="8" borderId="0" xfId="25" applyFont="1" applyFill="1" applyBorder="1" applyAlignment="1" applyProtection="1">
      <alignment horizontal="left"/>
      <protection/>
    </xf>
    <xf numFmtId="0" fontId="56" fillId="8" borderId="0" xfId="25" applyFont="1" applyFill="1" applyBorder="1" applyAlignment="1" applyProtection="1">
      <alignment horizontal="left"/>
      <protection/>
    </xf>
    <xf numFmtId="0" fontId="1" fillId="8" borderId="0" xfId="24" applyFont="1" applyFill="1" applyAlignment="1" applyProtection="1">
      <alignment horizontal="center" vertical="top"/>
      <protection/>
    </xf>
    <xf numFmtId="179" fontId="26" fillId="8" borderId="30" xfId="22" applyFont="1" applyFill="1" applyBorder="1" applyAlignment="1" applyProtection="1">
      <alignment horizontal="left" wrapText="1"/>
      <protection/>
    </xf>
    <xf numFmtId="179" fontId="26" fillId="8" borderId="29" xfId="22" applyFont="1" applyFill="1" applyBorder="1" applyAlignment="1" applyProtection="1">
      <alignment horizontal="left" wrapText="1"/>
      <protection/>
    </xf>
    <xf numFmtId="179" fontId="0" fillId="8" borderId="0" xfId="0" applyFill="1" applyBorder="1" applyAlignment="1" applyProtection="1">
      <alignment horizontal="left"/>
      <protection/>
    </xf>
    <xf numFmtId="1" fontId="102" fillId="0" borderId="0" xfId="0" applyNumberFormat="1" applyFont="1" applyFill="1" applyAlignment="1" applyProtection="1">
      <alignment/>
      <protection/>
    </xf>
    <xf numFmtId="197" fontId="4" fillId="2" borderId="7" xfId="22" applyNumberFormat="1" applyFont="1" applyFill="1" applyBorder="1" applyAlignment="1" applyProtection="1">
      <alignment horizontal="center"/>
      <protection locked="0"/>
    </xf>
    <xf numFmtId="197" fontId="4" fillId="2" borderId="20" xfId="22" applyNumberFormat="1" applyFont="1" applyFill="1" applyBorder="1" applyAlignment="1" applyProtection="1">
      <alignment horizontal="center"/>
      <protection locked="0"/>
    </xf>
    <xf numFmtId="2" fontId="31" fillId="15" borderId="13" xfId="22" applyNumberFormat="1" applyFont="1" applyFill="1" applyBorder="1" applyAlignment="1" applyProtection="1">
      <alignment vertical="center"/>
      <protection/>
    </xf>
    <xf numFmtId="2" fontId="31" fillId="15" borderId="11" xfId="22" applyNumberFormat="1" applyFont="1" applyFill="1" applyBorder="1" applyAlignment="1" applyProtection="1">
      <alignment vertical="center"/>
      <protection/>
    </xf>
    <xf numFmtId="178" fontId="3" fillId="12" borderId="0" xfId="0" applyNumberFormat="1" applyFont="1" applyFill="1" applyBorder="1" applyAlignment="1" applyProtection="1" quotePrefix="1">
      <alignment horizontal="center"/>
      <protection/>
    </xf>
    <xf numFmtId="178" fontId="3" fillId="12" borderId="0" xfId="0" applyNumberFormat="1" applyFont="1" applyFill="1" applyBorder="1" applyAlignment="1" applyProtection="1">
      <alignment horizontal="center"/>
      <protection/>
    </xf>
    <xf numFmtId="179" fontId="11" fillId="12" borderId="21" xfId="0" applyFont="1" applyFill="1" applyBorder="1" applyAlignment="1" applyProtection="1">
      <alignment horizontal="center" vertical="center"/>
      <protection/>
    </xf>
    <xf numFmtId="179" fontId="2" fillId="12" borderId="2" xfId="0" applyFont="1" applyFill="1" applyBorder="1" applyAlignment="1" applyProtection="1">
      <alignment wrapText="1"/>
      <protection/>
    </xf>
    <xf numFmtId="179" fontId="11" fillId="12" borderId="0" xfId="0" applyFont="1" applyFill="1" applyAlignment="1" applyProtection="1">
      <alignment horizontal="center"/>
      <protection/>
    </xf>
    <xf numFmtId="183" fontId="2" fillId="3" borderId="47" xfId="28" applyNumberFormat="1" applyFont="1" applyBorder="1" applyAlignment="1" applyProtection="1">
      <alignment horizontal="right"/>
      <protection/>
    </xf>
    <xf numFmtId="179" fontId="10" fillId="12" borderId="0" xfId="0" applyFont="1" applyFill="1" applyAlignment="1" applyProtection="1">
      <alignment shrinkToFit="1"/>
      <protection/>
    </xf>
    <xf numFmtId="179" fontId="10" fillId="12" borderId="8" xfId="0" applyFont="1" applyFill="1" applyBorder="1" applyAlignment="1" applyProtection="1">
      <alignment shrinkToFit="1"/>
      <protection/>
    </xf>
    <xf numFmtId="179" fontId="4" fillId="12" borderId="0" xfId="0" applyFont="1" applyFill="1" applyAlignment="1" applyProtection="1">
      <alignment/>
      <protection/>
    </xf>
    <xf numFmtId="179" fontId="7" fillId="8" borderId="0" xfId="0" applyFont="1" applyFill="1" applyAlignment="1" applyProtection="1">
      <alignment vertical="center"/>
      <protection hidden="1"/>
    </xf>
    <xf numFmtId="197" fontId="2" fillId="3" borderId="0" xfId="28" applyNumberFormat="1" applyBorder="1" applyProtection="1">
      <alignment/>
      <protection/>
    </xf>
    <xf numFmtId="49" fontId="7" fillId="8" borderId="0" xfId="22" applyNumberFormat="1" applyFont="1" applyFill="1" applyBorder="1" applyAlignment="1" applyProtection="1" quotePrefix="1">
      <alignment horizontal="center" vertical="center"/>
      <protection/>
    </xf>
    <xf numFmtId="0" fontId="1" fillId="9" borderId="21" xfId="24" applyFill="1" applyBorder="1" applyAlignment="1">
      <alignment horizontal="center"/>
      <protection/>
    </xf>
    <xf numFmtId="0" fontId="1" fillId="9" borderId="14" xfId="24" applyFill="1" applyBorder="1" applyAlignment="1">
      <alignment horizontal="center"/>
      <protection/>
    </xf>
    <xf numFmtId="0" fontId="1" fillId="9" borderId="2" xfId="24" applyFill="1" applyBorder="1" applyAlignment="1">
      <alignment horizontal="center"/>
      <protection/>
    </xf>
    <xf numFmtId="0" fontId="103" fillId="8" borderId="0" xfId="24" applyFont="1" applyFill="1" applyAlignment="1">
      <alignment horizontal="center" vertical="center"/>
      <protection/>
    </xf>
    <xf numFmtId="0" fontId="104" fillId="8" borderId="0" xfId="24" applyFont="1" applyFill="1" applyProtection="1">
      <alignment/>
      <protection/>
    </xf>
    <xf numFmtId="0" fontId="104" fillId="0" borderId="0" xfId="24" applyFont="1" applyFill="1" applyBorder="1">
      <alignment/>
      <protection/>
    </xf>
    <xf numFmtId="179" fontId="105" fillId="2" borderId="4" xfId="0" applyFont="1" applyFill="1" applyBorder="1" applyAlignment="1" applyProtection="1">
      <alignment/>
      <protection/>
    </xf>
    <xf numFmtId="179" fontId="104" fillId="8" borderId="0" xfId="0" applyFont="1" applyFill="1" applyAlignment="1" applyProtection="1">
      <alignment/>
      <protection/>
    </xf>
    <xf numFmtId="179" fontId="106" fillId="8" borderId="0" xfId="0" applyFont="1" applyFill="1" applyAlignment="1" applyProtection="1">
      <alignment horizontal="right"/>
      <protection/>
    </xf>
    <xf numFmtId="179" fontId="107" fillId="8" borderId="0" xfId="0" applyFont="1" applyFill="1" applyAlignment="1" applyProtection="1">
      <alignment horizontal="right"/>
      <protection/>
    </xf>
    <xf numFmtId="179" fontId="106" fillId="8" borderId="0" xfId="0" applyFont="1" applyFill="1" applyAlignment="1" applyProtection="1">
      <alignment/>
      <protection/>
    </xf>
    <xf numFmtId="0" fontId="108" fillId="5" borderId="0" xfId="24" applyFont="1" applyFill="1" applyBorder="1" applyAlignment="1">
      <alignment vertical="center"/>
      <protection/>
    </xf>
    <xf numFmtId="0" fontId="109" fillId="8" borderId="0" xfId="24" applyFont="1" applyFill="1" applyBorder="1" applyAlignment="1">
      <alignment vertical="center"/>
      <protection/>
    </xf>
    <xf numFmtId="0" fontId="109" fillId="8" borderId="8" xfId="24" applyFont="1" applyFill="1" applyBorder="1" applyAlignment="1">
      <alignment vertical="center"/>
      <protection/>
    </xf>
    <xf numFmtId="0" fontId="21" fillId="8" borderId="0" xfId="24" applyFont="1" applyFill="1" applyBorder="1" applyAlignment="1">
      <alignment horizontal="right"/>
      <protection/>
    </xf>
    <xf numFmtId="0" fontId="1" fillId="8" borderId="42" xfId="24" applyFont="1" applyFill="1" applyBorder="1">
      <alignment/>
      <protection/>
    </xf>
    <xf numFmtId="0" fontId="21" fillId="8" borderId="8" xfId="24" applyFont="1" applyFill="1" applyBorder="1" applyAlignment="1">
      <alignment vertical="top"/>
      <protection/>
    </xf>
    <xf numFmtId="0" fontId="105" fillId="0" borderId="0" xfId="24" applyFont="1" applyFill="1" applyBorder="1" applyAlignment="1">
      <alignment horizontal="center" vertical="top"/>
      <protection/>
    </xf>
    <xf numFmtId="0" fontId="1" fillId="0" borderId="59" xfId="24" applyFont="1" applyFill="1" applyBorder="1">
      <alignment/>
      <protection/>
    </xf>
    <xf numFmtId="0" fontId="1" fillId="0" borderId="59" xfId="24" applyBorder="1">
      <alignment/>
      <protection/>
    </xf>
    <xf numFmtId="0" fontId="1" fillId="0" borderId="0" xfId="24" applyFont="1">
      <alignment/>
      <protection/>
    </xf>
    <xf numFmtId="0" fontId="23" fillId="0" borderId="0" xfId="24" applyFont="1" applyAlignment="1">
      <alignment vertical="center"/>
      <protection/>
    </xf>
    <xf numFmtId="0" fontId="23" fillId="0" borderId="22" xfId="24" applyFont="1" applyFill="1" applyBorder="1" applyAlignment="1">
      <alignment vertical="top"/>
      <protection/>
    </xf>
    <xf numFmtId="0" fontId="1" fillId="9" borderId="21" xfId="24" applyFill="1" applyBorder="1">
      <alignment/>
      <protection/>
    </xf>
    <xf numFmtId="0" fontId="1" fillId="9" borderId="14" xfId="24" applyFill="1" applyBorder="1">
      <alignment/>
      <protection/>
    </xf>
    <xf numFmtId="0" fontId="21" fillId="8" borderId="13" xfId="24" applyFont="1" applyFill="1" applyBorder="1" applyAlignment="1">
      <alignment vertical="center"/>
      <protection/>
    </xf>
    <xf numFmtId="0" fontId="22" fillId="0" borderId="60" xfId="24" applyFont="1" applyFill="1" applyBorder="1" applyAlignment="1">
      <alignment horizontal="left"/>
      <protection/>
    </xf>
    <xf numFmtId="0" fontId="79" fillId="5" borderId="0" xfId="24" applyFont="1" applyFill="1" applyAlignment="1">
      <alignment horizontal="center"/>
      <protection/>
    </xf>
    <xf numFmtId="179" fontId="3" fillId="8" borderId="2" xfId="0" applyFont="1" applyFill="1" applyBorder="1" applyAlignment="1" applyProtection="1">
      <alignment/>
      <protection/>
    </xf>
    <xf numFmtId="178" fontId="3" fillId="8" borderId="0" xfId="0" applyNumberFormat="1" applyFont="1" applyFill="1" applyAlignment="1" applyProtection="1">
      <alignment/>
      <protection/>
    </xf>
    <xf numFmtId="179" fontId="0" fillId="2" borderId="2" xfId="0" applyFill="1" applyBorder="1" applyAlignment="1" applyProtection="1">
      <alignment/>
      <protection/>
    </xf>
    <xf numFmtId="179" fontId="16" fillId="8" borderId="0" xfId="0" applyFont="1" applyFill="1" applyBorder="1" applyAlignment="1" applyProtection="1">
      <alignment/>
      <protection/>
    </xf>
    <xf numFmtId="179" fontId="41" fillId="8" borderId="0" xfId="0" applyFont="1" applyFill="1" applyBorder="1" applyAlignment="1" applyProtection="1">
      <alignment horizontal="right"/>
      <protection/>
    </xf>
    <xf numFmtId="179" fontId="10" fillId="8" borderId="0" xfId="0" applyFont="1" applyFill="1" applyBorder="1" applyAlignment="1" applyProtection="1">
      <alignment horizontal="right"/>
      <protection/>
    </xf>
    <xf numFmtId="179" fontId="55" fillId="8" borderId="0" xfId="0" applyFont="1" applyFill="1" applyAlignment="1" applyProtection="1">
      <alignment horizontal="right"/>
      <protection/>
    </xf>
    <xf numFmtId="179" fontId="111" fillId="8" borderId="0" xfId="0" applyFont="1" applyFill="1" applyAlignment="1" applyProtection="1">
      <alignment horizontal="right"/>
      <protection/>
    </xf>
    <xf numFmtId="179" fontId="72" fillId="8" borderId="8" xfId="0" applyFont="1" applyFill="1" applyBorder="1" applyAlignment="1" applyProtection="1" quotePrefix="1">
      <alignment horizontal="right"/>
      <protection/>
    </xf>
    <xf numFmtId="197" fontId="2" fillId="3" borderId="13" xfId="28" applyNumberFormat="1" applyFill="1" applyBorder="1" applyAlignment="1" applyProtection="1">
      <alignment horizontal="center"/>
      <protection locked="0"/>
    </xf>
    <xf numFmtId="179" fontId="0" fillId="8" borderId="7" xfId="0" applyFill="1" applyBorder="1" applyAlignment="1">
      <alignment/>
    </xf>
    <xf numFmtId="179" fontId="68" fillId="8" borderId="3" xfId="20" applyFont="1" applyFill="1" applyBorder="1" applyAlignment="1">
      <alignment horizontal="center" vertical="center"/>
    </xf>
    <xf numFmtId="179" fontId="0" fillId="8" borderId="4" xfId="0" applyFill="1" applyBorder="1" applyAlignment="1">
      <alignment/>
    </xf>
    <xf numFmtId="179" fontId="0" fillId="8" borderId="3" xfId="0" applyFill="1" applyBorder="1" applyAlignment="1">
      <alignment/>
    </xf>
    <xf numFmtId="179" fontId="38" fillId="8" borderId="0" xfId="0" applyFont="1" applyFill="1" applyAlignment="1">
      <alignment/>
    </xf>
    <xf numFmtId="179" fontId="31" fillId="8" borderId="0" xfId="0" applyFont="1" applyFill="1" applyAlignment="1">
      <alignment/>
    </xf>
    <xf numFmtId="179" fontId="112" fillId="8" borderId="0" xfId="0" applyFont="1" applyFill="1" applyAlignment="1">
      <alignment/>
    </xf>
    <xf numFmtId="179" fontId="0" fillId="8" borderId="0" xfId="0" applyFill="1" applyAlignment="1">
      <alignment horizontal="center"/>
    </xf>
    <xf numFmtId="179" fontId="113" fillId="5" borderId="0" xfId="0" applyFont="1" applyFill="1" applyAlignment="1" quotePrefix="1">
      <alignment horizontal="center"/>
    </xf>
    <xf numFmtId="179" fontId="46" fillId="8" borderId="5" xfId="0" applyFont="1" applyFill="1" applyBorder="1" applyAlignment="1">
      <alignment/>
    </xf>
    <xf numFmtId="179" fontId="0" fillId="8" borderId="6" xfId="0" applyFill="1" applyBorder="1" applyAlignment="1">
      <alignment/>
    </xf>
    <xf numFmtId="179" fontId="0" fillId="8" borderId="5" xfId="0" applyFill="1" applyBorder="1" applyAlignment="1">
      <alignment horizontal="right"/>
    </xf>
    <xf numFmtId="179" fontId="31" fillId="8" borderId="0" xfId="0" applyFont="1" applyFill="1" applyAlignment="1">
      <alignment horizontal="right"/>
    </xf>
    <xf numFmtId="179" fontId="0" fillId="8" borderId="9" xfId="0" applyFill="1" applyBorder="1" applyAlignment="1">
      <alignment/>
    </xf>
    <xf numFmtId="179" fontId="0" fillId="3" borderId="0" xfId="0" applyFill="1" applyAlignment="1">
      <alignment/>
    </xf>
    <xf numFmtId="179" fontId="0" fillId="3" borderId="8" xfId="0" applyFill="1" applyBorder="1" applyAlignment="1">
      <alignment/>
    </xf>
    <xf numFmtId="179" fontId="0" fillId="3" borderId="11" xfId="0" applyFill="1" applyBorder="1" applyAlignment="1">
      <alignment/>
    </xf>
    <xf numFmtId="179" fontId="0" fillId="8" borderId="0" xfId="0" applyFill="1" applyAlignment="1" quotePrefix="1">
      <alignment horizontal="center"/>
    </xf>
    <xf numFmtId="179" fontId="0" fillId="8" borderId="8" xfId="0" applyFill="1" applyBorder="1" applyAlignment="1">
      <alignment horizontal="right"/>
    </xf>
    <xf numFmtId="179" fontId="0" fillId="2" borderId="11" xfId="0" applyFill="1" applyBorder="1" applyAlignment="1" applyProtection="1">
      <alignment/>
      <protection locked="0"/>
    </xf>
    <xf numFmtId="179" fontId="48" fillId="8" borderId="8" xfId="0" applyFont="1" applyFill="1" applyBorder="1" applyAlignment="1">
      <alignment/>
    </xf>
    <xf numFmtId="179" fontId="0" fillId="8" borderId="0" xfId="0" applyFill="1" applyBorder="1" applyAlignment="1">
      <alignment/>
    </xf>
    <xf numFmtId="179" fontId="38" fillId="8" borderId="0" xfId="0" applyFont="1" applyFill="1" applyBorder="1" applyAlignment="1">
      <alignment/>
    </xf>
    <xf numFmtId="179" fontId="38" fillId="8" borderId="0" xfId="0" applyFont="1" applyFill="1" applyBorder="1" applyAlignment="1">
      <alignment vertical="top"/>
    </xf>
    <xf numFmtId="179" fontId="0" fillId="2" borderId="2" xfId="0" applyFill="1" applyBorder="1" applyAlignment="1" applyProtection="1">
      <alignment/>
      <protection locked="0"/>
    </xf>
    <xf numFmtId="179" fontId="0" fillId="2" borderId="8" xfId="0" applyFill="1" applyBorder="1" applyAlignment="1" applyProtection="1">
      <alignment/>
      <protection locked="0"/>
    </xf>
    <xf numFmtId="179" fontId="15" fillId="8" borderId="0" xfId="0" applyFont="1" applyFill="1" applyAlignment="1">
      <alignment horizontal="center"/>
    </xf>
    <xf numFmtId="179" fontId="38" fillId="8" borderId="0" xfId="0" applyFont="1" applyFill="1" applyBorder="1" applyAlignment="1">
      <alignment horizontal="center"/>
    </xf>
    <xf numFmtId="179" fontId="0" fillId="3" borderId="0" xfId="0" applyFill="1" applyBorder="1" applyAlignment="1">
      <alignment/>
    </xf>
    <xf numFmtId="179" fontId="0" fillId="8" borderId="0" xfId="0" applyFill="1" applyBorder="1" applyAlignment="1">
      <alignment horizontal="right"/>
    </xf>
    <xf numFmtId="179" fontId="47" fillId="8" borderId="8" xfId="0" applyFont="1" applyFill="1" applyBorder="1" applyAlignment="1">
      <alignment horizontal="left"/>
    </xf>
    <xf numFmtId="218" fontId="47" fillId="2" borderId="8" xfId="0" applyNumberFormat="1" applyFont="1" applyFill="1" applyBorder="1" applyAlignment="1" applyProtection="1">
      <alignment horizontal="center"/>
      <protection locked="0"/>
    </xf>
    <xf numFmtId="179" fontId="38" fillId="8" borderId="8" xfId="0" applyFont="1" applyFill="1" applyBorder="1" applyAlignment="1">
      <alignment horizontal="center"/>
    </xf>
    <xf numFmtId="197" fontId="7" fillId="8" borderId="0" xfId="28" applyNumberFormat="1" applyFont="1" applyFill="1" applyBorder="1" applyProtection="1">
      <alignment/>
      <protection/>
    </xf>
    <xf numFmtId="179" fontId="31" fillId="8" borderId="0" xfId="0" applyFont="1" applyFill="1" applyAlignment="1" applyProtection="1">
      <alignment horizontal="center" vertical="center"/>
      <protection hidden="1"/>
    </xf>
    <xf numFmtId="179" fontId="0" fillId="8" borderId="3" xfId="0" applyFont="1" applyFill="1" applyBorder="1" applyAlignment="1">
      <alignment horizontal="center"/>
    </xf>
    <xf numFmtId="179" fontId="0" fillId="8" borderId="7" xfId="0" applyFont="1" applyFill="1" applyBorder="1" applyAlignment="1">
      <alignment/>
    </xf>
    <xf numFmtId="0" fontId="1" fillId="8" borderId="0" xfId="24" applyFont="1" applyFill="1" applyBorder="1">
      <alignment/>
      <protection/>
    </xf>
    <xf numFmtId="179" fontId="68" fillId="8" borderId="2" xfId="20" applyFont="1" applyFill="1" applyBorder="1" applyAlignment="1">
      <alignment vertical="center"/>
    </xf>
    <xf numFmtId="179" fontId="68" fillId="8" borderId="2" xfId="20" applyFont="1" applyFill="1" applyBorder="1" applyAlignment="1">
      <alignment horizontal="right" vertical="center"/>
    </xf>
    <xf numFmtId="179" fontId="0" fillId="8" borderId="8" xfId="0" applyFont="1" applyFill="1" applyBorder="1" applyAlignment="1">
      <alignment/>
    </xf>
    <xf numFmtId="179" fontId="0" fillId="8" borderId="14" xfId="0" applyFont="1" applyFill="1" applyBorder="1" applyAlignment="1">
      <alignment/>
    </xf>
    <xf numFmtId="179" fontId="0" fillId="8" borderId="2" xfId="0" applyFont="1" applyFill="1" applyBorder="1" applyAlignment="1">
      <alignment horizontal="left" vertical="center"/>
    </xf>
    <xf numFmtId="179" fontId="0" fillId="8" borderId="14" xfId="0" applyFont="1" applyFill="1" applyBorder="1" applyAlignment="1">
      <alignment horizontal="left" vertical="center"/>
    </xf>
    <xf numFmtId="179" fontId="68" fillId="8" borderId="8" xfId="20" applyFont="1" applyFill="1" applyBorder="1" applyAlignment="1">
      <alignment vertical="center"/>
    </xf>
    <xf numFmtId="179" fontId="47" fillId="8" borderId="0" xfId="0" applyFont="1" applyFill="1" applyBorder="1" applyAlignment="1" applyProtection="1">
      <alignment horizontal="center"/>
      <protection/>
    </xf>
    <xf numFmtId="179" fontId="48" fillId="8" borderId="0" xfId="0" applyFont="1" applyFill="1" applyBorder="1" applyAlignment="1" applyProtection="1">
      <alignment horizontal="center"/>
      <protection/>
    </xf>
    <xf numFmtId="179" fontId="3" fillId="8" borderId="0" xfId="0" applyFont="1" applyFill="1" applyBorder="1" applyAlignment="1" applyProtection="1">
      <alignment wrapText="1"/>
      <protection/>
    </xf>
    <xf numFmtId="197" fontId="2" fillId="2" borderId="9" xfId="0" applyNumberFormat="1" applyFont="1" applyFill="1" applyBorder="1" applyAlignment="1" applyProtection="1">
      <alignment/>
      <protection locked="0"/>
    </xf>
    <xf numFmtId="179" fontId="0" fillId="8" borderId="0" xfId="0" applyFill="1" applyAlignment="1" applyProtection="1">
      <alignment horizontal="center" textRotation="90"/>
      <protection/>
    </xf>
    <xf numFmtId="197" fontId="2" fillId="2" borderId="10" xfId="0" applyNumberFormat="1" applyFont="1" applyFill="1" applyBorder="1" applyAlignment="1" applyProtection="1">
      <alignment horizontal="center"/>
      <protection locked="0"/>
    </xf>
    <xf numFmtId="197" fontId="0" fillId="0" borderId="0" xfId="0" applyNumberFormat="1" applyFill="1" applyBorder="1" applyAlignment="1" applyProtection="1">
      <alignment vertical="center"/>
      <protection/>
    </xf>
    <xf numFmtId="179" fontId="4" fillId="8" borderId="0" xfId="0" applyFont="1" applyFill="1" applyAlignment="1" applyProtection="1">
      <alignment vertical="center"/>
      <protection/>
    </xf>
    <xf numFmtId="179" fontId="2" fillId="8" borderId="0" xfId="0" applyFont="1" applyFill="1" applyAlignment="1" applyProtection="1">
      <alignment vertical="center"/>
      <protection/>
    </xf>
    <xf numFmtId="179" fontId="7" fillId="8" borderId="0" xfId="0" applyFont="1" applyFill="1" applyAlignment="1" applyProtection="1">
      <alignment vertical="center"/>
      <protection/>
    </xf>
    <xf numFmtId="179" fontId="104" fillId="8" borderId="0" xfId="0" applyFont="1" applyFill="1" applyAlignment="1" applyProtection="1">
      <alignment vertical="center"/>
      <protection/>
    </xf>
    <xf numFmtId="179" fontId="72" fillId="8" borderId="8" xfId="0" applyFont="1" applyFill="1" applyBorder="1" applyAlignment="1" applyProtection="1">
      <alignment horizontal="right"/>
      <protection/>
    </xf>
    <xf numFmtId="0" fontId="71" fillId="3" borderId="0" xfId="23" applyFont="1" applyFill="1" applyProtection="1">
      <alignment/>
      <protection/>
    </xf>
    <xf numFmtId="0" fontId="21" fillId="8" borderId="0" xfId="23" applyFont="1" applyFill="1">
      <alignment/>
      <protection/>
    </xf>
    <xf numFmtId="0" fontId="71" fillId="8" borderId="0" xfId="23" applyFont="1" applyFill="1" applyProtection="1">
      <alignment/>
      <protection/>
    </xf>
    <xf numFmtId="0" fontId="71" fillId="8" borderId="0" xfId="23" applyFont="1" applyFill="1">
      <alignment/>
      <protection/>
    </xf>
    <xf numFmtId="0" fontId="1" fillId="8" borderId="0" xfId="23" applyFill="1" applyProtection="1">
      <alignment/>
      <protection/>
    </xf>
    <xf numFmtId="179" fontId="13" fillId="8" borderId="8" xfId="0" applyFont="1" applyFill="1" applyBorder="1" applyAlignment="1" applyProtection="1">
      <alignment horizontal="right"/>
      <protection/>
    </xf>
    <xf numFmtId="179" fontId="10" fillId="8" borderId="8" xfId="0" applyFont="1" applyFill="1" applyBorder="1" applyAlignment="1" applyProtection="1">
      <alignment horizontal="left"/>
      <protection/>
    </xf>
    <xf numFmtId="179" fontId="72" fillId="8" borderId="0" xfId="0" applyFont="1" applyFill="1" applyBorder="1" applyAlignment="1" applyProtection="1" quotePrefix="1">
      <alignment horizontal="right"/>
      <protection/>
    </xf>
    <xf numFmtId="179" fontId="41" fillId="8" borderId="5" xfId="0" applyFont="1" applyFill="1" applyBorder="1" applyAlignment="1" applyProtection="1">
      <alignment horizontal="right"/>
      <protection/>
    </xf>
    <xf numFmtId="179" fontId="0" fillId="8" borderId="2" xfId="0" applyFill="1" applyBorder="1" applyAlignment="1" applyProtection="1">
      <alignment wrapText="1"/>
      <protection/>
    </xf>
    <xf numFmtId="179" fontId="10" fillId="8" borderId="0" xfId="0" applyFont="1" applyFill="1" applyBorder="1" applyAlignment="1" applyProtection="1">
      <alignment horizontal="center"/>
      <protection/>
    </xf>
    <xf numFmtId="179" fontId="10" fillId="8" borderId="8" xfId="0" applyFont="1" applyFill="1" applyBorder="1" applyAlignment="1" applyProtection="1" quotePrefix="1">
      <alignment horizontal="center"/>
      <protection/>
    </xf>
    <xf numFmtId="49" fontId="10" fillId="8" borderId="8" xfId="0" applyNumberFormat="1" applyFont="1" applyFill="1" applyBorder="1" applyAlignment="1" applyProtection="1">
      <alignment horizontal="center"/>
      <protection/>
    </xf>
    <xf numFmtId="9" fontId="72" fillId="3" borderId="47" xfId="28" applyNumberFormat="1" applyFont="1" applyBorder="1" applyProtection="1">
      <alignment/>
      <protection/>
    </xf>
    <xf numFmtId="197" fontId="72" fillId="3" borderId="47" xfId="28" applyNumberFormat="1" applyFont="1" applyBorder="1" applyProtection="1">
      <alignment/>
      <protection/>
    </xf>
    <xf numFmtId="179" fontId="6" fillId="8" borderId="0" xfId="0" applyFont="1" applyFill="1" applyBorder="1" applyAlignment="1" applyProtection="1" quotePrefix="1">
      <alignment horizontal="center"/>
      <protection/>
    </xf>
    <xf numFmtId="179" fontId="115" fillId="8" borderId="0" xfId="0" applyFont="1" applyFill="1" applyBorder="1" applyAlignment="1" applyProtection="1" quotePrefix="1">
      <alignment horizontal="center"/>
      <protection/>
    </xf>
    <xf numFmtId="179" fontId="111" fillId="8" borderId="0" xfId="0" applyFont="1" applyFill="1" applyAlignment="1" applyProtection="1">
      <alignment/>
      <protection/>
    </xf>
    <xf numFmtId="197" fontId="2" fillId="3" borderId="28" xfId="28" applyNumberFormat="1" applyBorder="1" applyProtection="1">
      <alignment/>
      <protection/>
    </xf>
    <xf numFmtId="179" fontId="104" fillId="8" borderId="0" xfId="0" applyFont="1" applyFill="1" applyAlignment="1" applyProtection="1">
      <alignment horizontal="center"/>
      <protection/>
    </xf>
    <xf numFmtId="179" fontId="104" fillId="8" borderId="0" xfId="0" applyFont="1" applyFill="1" applyAlignment="1" applyProtection="1">
      <alignment horizontal="right"/>
      <protection/>
    </xf>
    <xf numFmtId="179" fontId="46" fillId="8" borderId="0" xfId="0" applyFont="1" applyFill="1" applyAlignment="1" applyProtection="1">
      <alignment vertical="top"/>
      <protection/>
    </xf>
    <xf numFmtId="179" fontId="31" fillId="8" borderId="0" xfId="0" applyFont="1" applyFill="1" applyAlignment="1" applyProtection="1">
      <alignment/>
      <protection/>
    </xf>
    <xf numFmtId="179" fontId="0" fillId="8" borderId="0" xfId="0" applyFill="1" applyAlignment="1" applyProtection="1">
      <alignment/>
      <protection/>
    </xf>
    <xf numFmtId="179" fontId="117" fillId="8" borderId="0" xfId="0" applyFont="1" applyFill="1" applyAlignment="1" applyProtection="1">
      <alignment horizontal="center"/>
      <protection/>
    </xf>
    <xf numFmtId="179" fontId="117" fillId="8" borderId="0" xfId="0" applyFont="1" applyFill="1" applyAlignment="1" applyProtection="1">
      <alignment horizontal="right"/>
      <protection/>
    </xf>
    <xf numFmtId="179" fontId="23" fillId="8" borderId="0" xfId="0" applyFont="1" applyFill="1" applyAlignment="1" applyProtection="1">
      <alignment/>
      <protection/>
    </xf>
    <xf numFmtId="179" fontId="46" fillId="8" borderId="0" xfId="0" applyFont="1" applyFill="1" applyAlignment="1" applyProtection="1">
      <alignment/>
      <protection/>
    </xf>
    <xf numFmtId="179" fontId="0" fillId="8" borderId="0" xfId="0" applyFill="1" applyAlignment="1" applyProtection="1" quotePrefix="1">
      <alignment horizontal="center"/>
      <protection/>
    </xf>
    <xf numFmtId="179" fontId="0" fillId="8" borderId="0" xfId="0" applyFill="1" applyAlignment="1" applyProtection="1">
      <alignment horizontal="right"/>
      <protection/>
    </xf>
    <xf numFmtId="179" fontId="38" fillId="8" borderId="0" xfId="0" applyFont="1" applyFill="1" applyAlignment="1" applyProtection="1" quotePrefix="1">
      <alignment horizontal="center"/>
      <protection/>
    </xf>
    <xf numFmtId="179" fontId="38" fillId="8" borderId="0" xfId="0" applyFont="1" applyFill="1" applyAlignment="1" applyProtection="1">
      <alignment horizontal="right"/>
      <protection/>
    </xf>
    <xf numFmtId="178" fontId="9" fillId="5" borderId="2" xfId="0" applyNumberFormat="1" applyFont="1" applyFill="1" applyBorder="1" applyAlignment="1" applyProtection="1" quotePrefix="1">
      <alignment horizontal="center"/>
      <protection/>
    </xf>
    <xf numFmtId="0" fontId="26" fillId="2" borderId="11" xfId="24" applyFont="1" applyFill="1" applyBorder="1" applyAlignment="1" applyProtection="1" quotePrefix="1">
      <alignment horizontal="center" vertical="center"/>
      <protection locked="0"/>
    </xf>
    <xf numFmtId="0" fontId="26" fillId="2" borderId="11" xfId="24" applyFont="1" applyFill="1" applyBorder="1" applyAlignment="1" applyProtection="1">
      <alignment horizontal="center" vertical="center"/>
      <protection locked="0"/>
    </xf>
    <xf numFmtId="179" fontId="0" fillId="8" borderId="0" xfId="0" applyFill="1" applyAlignment="1">
      <alignment/>
    </xf>
    <xf numFmtId="179" fontId="0" fillId="8" borderId="0" xfId="0" applyFill="1" applyAlignment="1">
      <alignment horizontal="right"/>
    </xf>
    <xf numFmtId="179" fontId="24" fillId="8" borderId="0" xfId="0" applyFont="1" applyFill="1" applyAlignment="1">
      <alignment horizontal="center"/>
    </xf>
    <xf numFmtId="179" fontId="0" fillId="8" borderId="2" xfId="0" applyFill="1" applyBorder="1" applyAlignment="1">
      <alignment/>
    </xf>
    <xf numFmtId="0" fontId="26" fillId="3" borderId="11" xfId="24" applyFont="1" applyFill="1" applyBorder="1" applyAlignment="1" applyProtection="1">
      <alignment horizontal="center" vertical="center"/>
      <protection/>
    </xf>
    <xf numFmtId="179" fontId="118" fillId="8" borderId="0" xfId="0" applyFont="1" applyFill="1" applyAlignment="1" applyProtection="1">
      <alignment/>
      <protection/>
    </xf>
    <xf numFmtId="179" fontId="111" fillId="8" borderId="0" xfId="0" applyFont="1" applyFill="1" applyAlignment="1" applyProtection="1">
      <alignment horizontal="center"/>
      <protection/>
    </xf>
    <xf numFmtId="179" fontId="10" fillId="8" borderId="5" xfId="0" applyFont="1" applyFill="1" applyBorder="1" applyAlignment="1" applyProtection="1">
      <alignment horizontal="right"/>
      <protection/>
    </xf>
    <xf numFmtId="178" fontId="9" fillId="5" borderId="11" xfId="0" applyNumberFormat="1" applyFont="1" applyFill="1" applyBorder="1" applyAlignment="1" applyProtection="1">
      <alignment/>
      <protection/>
    </xf>
    <xf numFmtId="178" fontId="9" fillId="5" borderId="14" xfId="0" applyNumberFormat="1" applyFont="1" applyFill="1" applyBorder="1" applyAlignment="1" applyProtection="1">
      <alignment/>
      <protection/>
    </xf>
    <xf numFmtId="197" fontId="2" fillId="2" borderId="13" xfId="0" applyNumberFormat="1" applyFont="1" applyFill="1" applyBorder="1" applyAlignment="1" applyProtection="1">
      <alignment/>
      <protection locked="0"/>
    </xf>
    <xf numFmtId="179" fontId="2" fillId="2" borderId="13" xfId="0" applyFont="1" applyFill="1" applyBorder="1" applyAlignment="1" applyProtection="1">
      <alignment/>
      <protection locked="0"/>
    </xf>
    <xf numFmtId="179" fontId="0" fillId="8" borderId="3" xfId="0" applyFill="1" applyBorder="1" applyAlignment="1" applyProtection="1">
      <alignment horizontal="center" textRotation="90"/>
      <protection/>
    </xf>
    <xf numFmtId="179" fontId="47" fillId="8" borderId="17" xfId="0" applyFont="1" applyFill="1" applyBorder="1" applyAlignment="1">
      <alignment horizontal="center" vertical="top"/>
    </xf>
    <xf numFmtId="49" fontId="2" fillId="2" borderId="13" xfId="0" applyNumberFormat="1" applyFont="1" applyFill="1" applyBorder="1" applyAlignment="1" applyProtection="1">
      <alignment horizontal="center"/>
      <protection locked="0"/>
    </xf>
    <xf numFmtId="212" fontId="2" fillId="3" borderId="11" xfId="0" applyNumberFormat="1" applyFont="1" applyFill="1" applyBorder="1" applyAlignment="1" applyProtection="1">
      <alignment/>
      <protection/>
    </xf>
    <xf numFmtId="178" fontId="9" fillId="5" borderId="10" xfId="0" applyNumberFormat="1" applyFont="1" applyFill="1" applyBorder="1" applyAlignment="1" applyProtection="1">
      <alignment/>
      <protection/>
    </xf>
    <xf numFmtId="178" fontId="2" fillId="8" borderId="8" xfId="0" applyNumberFormat="1" applyFont="1" applyFill="1" applyBorder="1" applyAlignment="1" applyProtection="1">
      <alignment horizontal="right"/>
      <protection/>
    </xf>
    <xf numFmtId="178" fontId="2" fillId="8" borderId="8" xfId="0" applyNumberFormat="1" applyFont="1" applyFill="1" applyBorder="1" applyAlignment="1" applyProtection="1">
      <alignment horizontal="left"/>
      <protection/>
    </xf>
    <xf numFmtId="219" fontId="2" fillId="2" borderId="13" xfId="0" applyNumberFormat="1" applyFont="1" applyFill="1" applyBorder="1" applyAlignment="1" applyProtection="1">
      <alignment horizontal="center"/>
      <protection locked="0"/>
    </xf>
    <xf numFmtId="179" fontId="47" fillId="8" borderId="17" xfId="0" applyFont="1" applyFill="1" applyBorder="1" applyAlignment="1">
      <alignment horizontal="right"/>
    </xf>
    <xf numFmtId="179" fontId="2" fillId="2" borderId="0" xfId="0" applyFont="1" applyFill="1" applyAlignment="1" applyProtection="1">
      <alignment horizontal="center"/>
      <protection/>
    </xf>
    <xf numFmtId="212" fontId="2" fillId="3" borderId="8" xfId="0" applyNumberFormat="1" applyFont="1" applyFill="1" applyBorder="1" applyAlignment="1" applyProtection="1">
      <alignment/>
      <protection/>
    </xf>
    <xf numFmtId="197" fontId="2" fillId="8" borderId="5" xfId="0" applyNumberFormat="1" applyFont="1" applyFill="1" applyBorder="1" applyAlignment="1" applyProtection="1">
      <alignment/>
      <protection/>
    </xf>
    <xf numFmtId="179" fontId="0" fillId="2" borderId="13" xfId="0" applyBorder="1" applyAlignment="1" applyProtection="1">
      <alignment horizontal="center"/>
      <protection locked="0"/>
    </xf>
    <xf numFmtId="179" fontId="38" fillId="8" borderId="0" xfId="0" applyFont="1" applyFill="1" applyAlignment="1">
      <alignment horizontal="right"/>
    </xf>
    <xf numFmtId="179" fontId="38" fillId="8" borderId="8" xfId="0" applyFont="1" applyFill="1" applyBorder="1" applyAlignment="1" applyProtection="1">
      <alignment/>
      <protection/>
    </xf>
    <xf numFmtId="179" fontId="27" fillId="8" borderId="15" xfId="0" applyFont="1" applyFill="1" applyBorder="1" applyAlignment="1" applyProtection="1">
      <alignment horizontal="right"/>
      <protection/>
    </xf>
    <xf numFmtId="179" fontId="28" fillId="2" borderId="41" xfId="0" applyFont="1" applyFill="1" applyBorder="1" applyAlignment="1" applyProtection="1">
      <alignment vertical="top"/>
      <protection/>
    </xf>
    <xf numFmtId="179" fontId="28" fillId="2" borderId="42" xfId="0" applyFont="1" applyFill="1" applyBorder="1" applyAlignment="1" applyProtection="1">
      <alignment vertical="top"/>
      <protection/>
    </xf>
    <xf numFmtId="179" fontId="27" fillId="2" borderId="42" xfId="0" applyFont="1" applyFill="1" applyBorder="1" applyAlignment="1" applyProtection="1">
      <alignment/>
      <protection/>
    </xf>
    <xf numFmtId="179" fontId="27" fillId="2" borderId="57" xfId="0" applyFont="1" applyFill="1" applyBorder="1" applyAlignment="1" applyProtection="1">
      <alignment/>
      <protection/>
    </xf>
    <xf numFmtId="179" fontId="27" fillId="2" borderId="8" xfId="0" applyFont="1" applyFill="1" applyBorder="1" applyAlignment="1" applyProtection="1">
      <alignment/>
      <protection/>
    </xf>
    <xf numFmtId="179" fontId="27" fillId="2" borderId="62" xfId="0" applyFont="1" applyFill="1" applyBorder="1" applyAlignment="1" applyProtection="1">
      <alignment/>
      <protection/>
    </xf>
    <xf numFmtId="179" fontId="27" fillId="2" borderId="2" xfId="0" applyFont="1" applyFill="1" applyBorder="1" applyAlignment="1" applyProtection="1">
      <alignment/>
      <protection/>
    </xf>
    <xf numFmtId="179" fontId="28" fillId="2" borderId="62" xfId="0" applyFont="1" applyFill="1" applyBorder="1" applyAlignment="1" applyProtection="1">
      <alignment/>
      <protection/>
    </xf>
    <xf numFmtId="179" fontId="28" fillId="2" borderId="2" xfId="0" applyFont="1" applyFill="1" applyBorder="1" applyAlignment="1" applyProtection="1">
      <alignment/>
      <protection/>
    </xf>
    <xf numFmtId="179" fontId="27" fillId="2" borderId="59" xfId="0" applyFont="1" applyFill="1" applyBorder="1" applyAlignment="1" applyProtection="1">
      <alignment/>
      <protection/>
    </xf>
    <xf numFmtId="179" fontId="27" fillId="2" borderId="0" xfId="0" applyFont="1" applyFill="1" applyBorder="1" applyAlignment="1" applyProtection="1">
      <alignment/>
      <protection/>
    </xf>
    <xf numFmtId="179" fontId="28" fillId="2" borderId="59" xfId="0" applyFont="1" applyFill="1" applyBorder="1" applyAlignment="1" applyProtection="1">
      <alignment vertical="top"/>
      <protection/>
    </xf>
    <xf numFmtId="179" fontId="28" fillId="2" borderId="0" xfId="0" applyFont="1" applyFill="1" applyBorder="1" applyAlignment="1" applyProtection="1">
      <alignment vertical="top"/>
      <protection/>
    </xf>
    <xf numFmtId="179" fontId="27" fillId="2" borderId="63" xfId="0" applyFont="1" applyFill="1" applyBorder="1" applyAlignment="1" applyProtection="1">
      <alignment/>
      <protection/>
    </xf>
    <xf numFmtId="179" fontId="27" fillId="2" borderId="1" xfId="0" applyFont="1" applyFill="1" applyBorder="1" applyAlignment="1" applyProtection="1">
      <alignment/>
      <protection/>
    </xf>
    <xf numFmtId="179" fontId="28" fillId="2" borderId="63" xfId="0" applyFont="1" applyFill="1" applyBorder="1" applyAlignment="1" applyProtection="1">
      <alignment/>
      <protection/>
    </xf>
    <xf numFmtId="179" fontId="28" fillId="2" borderId="1" xfId="0" applyFont="1" applyFill="1" applyBorder="1" applyAlignment="1" applyProtection="1">
      <alignment/>
      <protection/>
    </xf>
    <xf numFmtId="179" fontId="2" fillId="2" borderId="1" xfId="0" applyFont="1" applyFill="1" applyBorder="1" applyAlignment="1" applyProtection="1">
      <alignment horizontal="right"/>
      <protection/>
    </xf>
    <xf numFmtId="179" fontId="28" fillId="2" borderId="59" xfId="0" applyFont="1" applyFill="1" applyBorder="1" applyAlignment="1" applyProtection="1">
      <alignment/>
      <protection/>
    </xf>
    <xf numFmtId="179" fontId="28" fillId="2" borderId="0" xfId="0" applyFont="1" applyFill="1" applyBorder="1" applyAlignment="1" applyProtection="1">
      <alignment/>
      <protection/>
    </xf>
    <xf numFmtId="179" fontId="27" fillId="2" borderId="0" xfId="0" applyFont="1" applyFill="1" applyBorder="1" applyAlignment="1" applyProtection="1">
      <alignment horizontal="right"/>
      <protection/>
    </xf>
    <xf numFmtId="179" fontId="27" fillId="2" borderId="1" xfId="0" applyFont="1" applyFill="1" applyBorder="1" applyAlignment="1" applyProtection="1">
      <alignment horizontal="right"/>
      <protection/>
    </xf>
    <xf numFmtId="179" fontId="27" fillId="2" borderId="61" xfId="0" applyFont="1" applyFill="1" applyBorder="1" applyAlignment="1" applyProtection="1">
      <alignment/>
      <protection/>
    </xf>
    <xf numFmtId="179" fontId="27" fillId="2" borderId="22" xfId="0" applyFont="1" applyFill="1" applyBorder="1" applyAlignment="1" applyProtection="1">
      <alignment/>
      <protection/>
    </xf>
    <xf numFmtId="179" fontId="27" fillId="2" borderId="22" xfId="0" applyFont="1" applyFill="1" applyBorder="1" applyAlignment="1" applyProtection="1">
      <alignment horizontal="right"/>
      <protection/>
    </xf>
    <xf numFmtId="197" fontId="27" fillId="2" borderId="64" xfId="0" applyNumberFormat="1" applyFont="1" applyFill="1" applyBorder="1" applyAlignment="1" applyProtection="1">
      <alignment/>
      <protection locked="0"/>
    </xf>
    <xf numFmtId="179" fontId="32" fillId="8" borderId="0" xfId="22" applyFont="1" applyFill="1" applyBorder="1" applyAlignment="1" applyProtection="1">
      <alignment horizontal="center"/>
      <protection/>
    </xf>
    <xf numFmtId="0" fontId="56" fillId="8" borderId="44" xfId="25" applyFont="1" applyFill="1" applyBorder="1" applyAlignment="1" applyProtection="1">
      <alignment horizontal="right"/>
      <protection/>
    </xf>
    <xf numFmtId="0" fontId="15" fillId="0" borderId="0" xfId="26" applyFont="1">
      <alignment/>
      <protection/>
    </xf>
    <xf numFmtId="0" fontId="1" fillId="0" borderId="0" xfId="26" applyFont="1">
      <alignment/>
      <protection/>
    </xf>
    <xf numFmtId="179" fontId="27" fillId="8" borderId="0" xfId="22" applyFont="1" applyFill="1" applyProtection="1">
      <alignment/>
      <protection/>
    </xf>
    <xf numFmtId="179" fontId="23" fillId="8" borderId="0" xfId="0" applyFont="1" applyFill="1" applyAlignment="1">
      <alignment/>
    </xf>
    <xf numFmtId="179" fontId="23" fillId="8" borderId="0" xfId="0" applyFont="1" applyFill="1" applyAlignment="1">
      <alignment horizontal="center"/>
    </xf>
    <xf numFmtId="179" fontId="38" fillId="8" borderId="0" xfId="0" applyFont="1" applyFill="1" applyAlignment="1" quotePrefix="1">
      <alignment horizontal="center"/>
    </xf>
    <xf numFmtId="179" fontId="0" fillId="8" borderId="2" xfId="0" applyFill="1" applyBorder="1" applyAlignment="1">
      <alignment vertical="center"/>
    </xf>
    <xf numFmtId="179" fontId="38" fillId="8" borderId="21" xfId="0" applyFont="1" applyFill="1" applyBorder="1" applyAlignment="1">
      <alignment vertical="center"/>
    </xf>
    <xf numFmtId="179" fontId="0" fillId="8" borderId="30" xfId="0" applyFill="1" applyBorder="1" applyAlignment="1">
      <alignment/>
    </xf>
    <xf numFmtId="179" fontId="46" fillId="8" borderId="0" xfId="0" applyFont="1" applyFill="1" applyAlignment="1">
      <alignment/>
    </xf>
    <xf numFmtId="179" fontId="120" fillId="8" borderId="0" xfId="0" applyFont="1" applyFill="1" applyAlignment="1">
      <alignment horizontal="right"/>
    </xf>
    <xf numFmtId="179" fontId="45" fillId="8" borderId="0" xfId="0" applyFont="1" applyFill="1" applyAlignment="1">
      <alignment/>
    </xf>
    <xf numFmtId="179" fontId="0" fillId="8" borderId="0" xfId="0" applyFont="1" applyFill="1" applyAlignment="1">
      <alignment/>
    </xf>
    <xf numFmtId="179" fontId="0" fillId="0" borderId="8" xfId="0" applyFill="1" applyBorder="1" applyAlignment="1" applyProtection="1">
      <alignment/>
      <protection locked="0"/>
    </xf>
    <xf numFmtId="179" fontId="120" fillId="8" borderId="30" xfId="0" applyFont="1" applyFill="1" applyBorder="1" applyAlignment="1" quotePrefix="1">
      <alignment horizontal="right"/>
    </xf>
    <xf numFmtId="179" fontId="0" fillId="0" borderId="5" xfId="0" applyFill="1" applyBorder="1" applyAlignment="1" applyProtection="1">
      <alignment/>
      <protection locked="0"/>
    </xf>
    <xf numFmtId="179" fontId="0" fillId="0" borderId="22" xfId="0" applyFill="1" applyBorder="1" applyAlignment="1" applyProtection="1">
      <alignment/>
      <protection locked="0"/>
    </xf>
    <xf numFmtId="49" fontId="7" fillId="8" borderId="0" xfId="22" applyNumberFormat="1" applyFont="1" applyFill="1" applyBorder="1" applyAlignment="1" applyProtection="1">
      <alignment horizontal="left"/>
      <protection/>
    </xf>
    <xf numFmtId="179" fontId="89" fillId="8" borderId="0" xfId="20" applyFont="1" applyFill="1" applyAlignment="1" applyProtection="1">
      <alignment/>
      <protection/>
    </xf>
    <xf numFmtId="179" fontId="68" fillId="8" borderId="0" xfId="20" applyFont="1" applyFill="1" applyBorder="1" applyAlignment="1">
      <alignment/>
    </xf>
    <xf numFmtId="179" fontId="0" fillId="8" borderId="0" xfId="0" applyFill="1" applyBorder="1" applyAlignment="1" applyProtection="1">
      <alignment horizontal="center"/>
      <protection hidden="1"/>
    </xf>
    <xf numFmtId="1" fontId="2" fillId="0" borderId="8" xfId="28" applyNumberFormat="1" applyFill="1" applyBorder="1" applyProtection="1">
      <alignment/>
      <protection locked="0"/>
    </xf>
    <xf numFmtId="179" fontId="0" fillId="16" borderId="0" xfId="0" applyFill="1" applyAlignment="1">
      <alignment/>
    </xf>
    <xf numFmtId="179" fontId="0" fillId="16" borderId="4" xfId="0" applyFill="1" applyBorder="1" applyAlignment="1">
      <alignment/>
    </xf>
    <xf numFmtId="179" fontId="46" fillId="16" borderId="5" xfId="0" applyFont="1" applyFill="1" applyBorder="1" applyAlignment="1">
      <alignment/>
    </xf>
    <xf numFmtId="179" fontId="0" fillId="16" borderId="5" xfId="0" applyFill="1" applyBorder="1" applyAlignment="1">
      <alignment/>
    </xf>
    <xf numFmtId="179" fontId="0" fillId="16" borderId="6" xfId="0" applyFill="1" applyBorder="1" applyAlignment="1">
      <alignment/>
    </xf>
    <xf numFmtId="179" fontId="0" fillId="16" borderId="3" xfId="0" applyFill="1" applyBorder="1" applyAlignment="1">
      <alignment/>
    </xf>
    <xf numFmtId="179" fontId="0" fillId="16" borderId="0" xfId="0" applyFill="1" applyBorder="1" applyAlignment="1">
      <alignment/>
    </xf>
    <xf numFmtId="179" fontId="0" fillId="16" borderId="7" xfId="0" applyFill="1" applyBorder="1" applyAlignment="1">
      <alignment/>
    </xf>
    <xf numFmtId="179" fontId="0" fillId="16" borderId="0" xfId="0" applyFill="1" applyBorder="1" applyAlignment="1">
      <alignment horizontal="left"/>
    </xf>
    <xf numFmtId="179" fontId="0" fillId="16" borderId="0" xfId="0" applyFill="1" applyBorder="1" applyAlignment="1">
      <alignment horizontal="right"/>
    </xf>
    <xf numFmtId="179" fontId="0" fillId="16" borderId="9" xfId="0" applyFill="1" applyBorder="1" applyAlignment="1">
      <alignment/>
    </xf>
    <xf numFmtId="179" fontId="0" fillId="16" borderId="8" xfId="0" applyFill="1" applyBorder="1" applyAlignment="1">
      <alignment/>
    </xf>
    <xf numFmtId="179" fontId="38" fillId="16" borderId="0" xfId="0" applyFont="1" applyFill="1" applyBorder="1" applyAlignment="1">
      <alignment horizontal="center"/>
    </xf>
    <xf numFmtId="179" fontId="0" fillId="16" borderId="10" xfId="0" applyFill="1" applyBorder="1" applyAlignment="1">
      <alignment/>
    </xf>
    <xf numFmtId="179" fontId="0" fillId="16" borderId="8" xfId="0" applyFill="1" applyBorder="1" applyAlignment="1">
      <alignment vertical="top"/>
    </xf>
    <xf numFmtId="179" fontId="118" fillId="8" borderId="0" xfId="0" applyFont="1" applyFill="1" applyAlignment="1">
      <alignment horizontal="right"/>
    </xf>
    <xf numFmtId="197" fontId="2" fillId="3" borderId="2" xfId="28" applyNumberFormat="1" applyFill="1" applyBorder="1" applyProtection="1">
      <alignment/>
      <protection/>
    </xf>
    <xf numFmtId="179" fontId="0" fillId="10" borderId="8" xfId="0" applyFill="1" applyBorder="1" applyAlignment="1" applyProtection="1">
      <alignment/>
      <protection/>
    </xf>
    <xf numFmtId="179" fontId="0" fillId="16" borderId="30" xfId="0" applyFill="1" applyBorder="1" applyAlignment="1">
      <alignment/>
    </xf>
    <xf numFmtId="179" fontId="0" fillId="16" borderId="30" xfId="0" applyFill="1" applyBorder="1" applyAlignment="1">
      <alignment horizontal="right"/>
    </xf>
    <xf numFmtId="179" fontId="0" fillId="16" borderId="29" xfId="0" applyFill="1" applyBorder="1" applyAlignment="1">
      <alignment/>
    </xf>
    <xf numFmtId="179" fontId="38" fillId="16" borderId="0" xfId="0" applyFont="1" applyFill="1" applyBorder="1" applyAlignment="1">
      <alignment/>
    </xf>
    <xf numFmtId="179" fontId="46" fillId="16" borderId="0" xfId="0" applyFont="1" applyFill="1" applyBorder="1" applyAlignment="1">
      <alignment/>
    </xf>
    <xf numFmtId="179" fontId="0" fillId="16" borderId="0" xfId="0" applyFont="1" applyFill="1" applyBorder="1" applyAlignment="1">
      <alignment/>
    </xf>
    <xf numFmtId="179" fontId="3" fillId="12" borderId="3" xfId="0" applyFont="1" applyFill="1" applyBorder="1" applyAlignment="1" applyProtection="1">
      <alignment horizontal="center"/>
      <protection/>
    </xf>
    <xf numFmtId="197" fontId="2" fillId="0" borderId="8" xfId="28" applyNumberFormat="1" applyFill="1" applyBorder="1" applyProtection="1">
      <alignment/>
      <protection locked="0"/>
    </xf>
    <xf numFmtId="179" fontId="2" fillId="12" borderId="7" xfId="0" applyFont="1" applyFill="1" applyBorder="1" applyAlignment="1" applyProtection="1">
      <alignment horizontal="right"/>
      <protection/>
    </xf>
    <xf numFmtId="179" fontId="2" fillId="12" borderId="5" xfId="0" applyFont="1" applyFill="1" applyBorder="1" applyAlignment="1" applyProtection="1">
      <alignment/>
      <protection/>
    </xf>
    <xf numFmtId="179" fontId="32" fillId="12" borderId="0" xfId="0" applyFont="1" applyFill="1" applyAlignment="1" applyProtection="1">
      <alignment horizontal="right"/>
      <protection/>
    </xf>
    <xf numFmtId="179" fontId="11" fillId="12" borderId="0" xfId="0" applyFont="1" applyFill="1" applyBorder="1" applyAlignment="1" applyProtection="1" quotePrefix="1">
      <alignment horizontal="center"/>
      <protection/>
    </xf>
    <xf numFmtId="179" fontId="41" fillId="12" borderId="5" xfId="0" applyFont="1" applyFill="1" applyBorder="1" applyAlignment="1" applyProtection="1">
      <alignment horizontal="right"/>
      <protection/>
    </xf>
    <xf numFmtId="179" fontId="2" fillId="12" borderId="0" xfId="0" applyFont="1" applyFill="1" applyBorder="1" applyAlignment="1" applyProtection="1">
      <alignment horizontal="center"/>
      <protection/>
    </xf>
    <xf numFmtId="179" fontId="2" fillId="12" borderId="0" xfId="0" applyFont="1" applyFill="1" applyBorder="1" applyAlignment="1" applyProtection="1">
      <alignment/>
      <protection/>
    </xf>
    <xf numFmtId="179" fontId="56" fillId="12" borderId="17" xfId="0" applyFont="1" applyFill="1" applyBorder="1" applyAlignment="1" applyProtection="1">
      <alignment horizontal="center"/>
      <protection/>
    </xf>
    <xf numFmtId="179" fontId="7" fillId="12" borderId="0" xfId="0" applyFont="1" applyFill="1" applyAlignment="1" applyProtection="1">
      <alignment horizontal="left" vertical="center"/>
      <protection/>
    </xf>
    <xf numFmtId="179" fontId="121" fillId="8" borderId="0" xfId="0" applyFont="1" applyFill="1" applyAlignment="1" applyProtection="1">
      <alignment horizontal="right"/>
      <protection/>
    </xf>
    <xf numFmtId="179" fontId="118" fillId="3" borderId="8" xfId="0" applyFont="1" applyFill="1" applyBorder="1" applyAlignment="1" applyProtection="1">
      <alignment/>
      <protection/>
    </xf>
    <xf numFmtId="183" fontId="118" fillId="3" borderId="8" xfId="0" applyNumberFormat="1" applyFont="1" applyFill="1" applyBorder="1" applyAlignment="1" applyProtection="1">
      <alignment horizontal="right"/>
      <protection/>
    </xf>
    <xf numFmtId="179" fontId="122" fillId="8" borderId="0" xfId="0" applyFont="1" applyFill="1" applyAlignment="1">
      <alignment/>
    </xf>
    <xf numFmtId="179" fontId="0" fillId="2" borderId="6" xfId="0" applyBorder="1" applyAlignment="1">
      <alignment horizontal="center" vertical="center"/>
    </xf>
    <xf numFmtId="179" fontId="0" fillId="2" borderId="9" xfId="0" applyBorder="1" applyAlignment="1">
      <alignment horizontal="center" vertical="center"/>
    </xf>
    <xf numFmtId="2" fontId="25" fillId="0" borderId="8" xfId="24" applyNumberFormat="1" applyFont="1" applyFill="1" applyBorder="1" applyAlignment="1" applyProtection="1">
      <alignment horizontal="right"/>
      <protection locked="0"/>
    </xf>
    <xf numFmtId="0" fontId="26" fillId="0" borderId="4" xfId="24" applyFont="1" applyBorder="1" applyAlignment="1">
      <alignment horizontal="center" vertical="center"/>
      <protection/>
    </xf>
    <xf numFmtId="179" fontId="0" fillId="2" borderId="5" xfId="0" applyBorder="1" applyAlignment="1">
      <alignment horizontal="center" vertical="center"/>
    </xf>
    <xf numFmtId="0" fontId="24" fillId="2" borderId="8" xfId="24" applyNumberFormat="1" applyFont="1" applyFill="1" applyBorder="1" applyAlignment="1" applyProtection="1">
      <alignment horizontal="left"/>
      <protection locked="0"/>
    </xf>
    <xf numFmtId="0" fontId="0" fillId="2" borderId="8" xfId="0" applyNumberFormat="1" applyBorder="1" applyAlignment="1" applyProtection="1">
      <alignment horizontal="left"/>
      <protection locked="0"/>
    </xf>
    <xf numFmtId="0" fontId="1" fillId="8" borderId="42" xfId="24" applyFill="1" applyBorder="1" applyAlignment="1">
      <alignment horizontal="center"/>
      <protection/>
    </xf>
    <xf numFmtId="0" fontId="21" fillId="2" borderId="0" xfId="23" applyFont="1" applyFill="1" applyAlignment="1" applyProtection="1">
      <alignment horizontal="center" vertical="center"/>
      <protection locked="0"/>
    </xf>
    <xf numFmtId="179" fontId="38" fillId="2" borderId="0" xfId="0" applyFont="1" applyFill="1" applyAlignment="1" applyProtection="1">
      <alignment horizontal="center" vertical="center"/>
      <protection locked="0"/>
    </xf>
    <xf numFmtId="1" fontId="110" fillId="8" borderId="0" xfId="24" applyNumberFormat="1" applyFont="1" applyFill="1" applyAlignment="1">
      <alignment horizontal="center" vertical="top"/>
      <protection/>
    </xf>
    <xf numFmtId="0" fontId="21" fillId="8" borderId="6" xfId="23" applyFont="1" applyFill="1" applyBorder="1" applyAlignment="1">
      <alignment horizontal="left" vertical="top"/>
      <protection/>
    </xf>
    <xf numFmtId="179" fontId="0" fillId="2" borderId="10" xfId="0" applyBorder="1" applyAlignment="1">
      <alignment horizontal="left" vertical="top"/>
    </xf>
    <xf numFmtId="179" fontId="0" fillId="2" borderId="14" xfId="0" applyBorder="1" applyAlignment="1">
      <alignment horizontal="left"/>
    </xf>
    <xf numFmtId="179" fontId="38" fillId="8" borderId="2" xfId="0" applyFont="1" applyFill="1" applyBorder="1" applyAlignment="1">
      <alignment horizontal="left" wrapText="1"/>
    </xf>
    <xf numFmtId="179" fontId="0" fillId="2" borderId="2" xfId="0" applyBorder="1" applyAlignment="1">
      <alignment horizontal="left" wrapText="1"/>
    </xf>
    <xf numFmtId="179" fontId="0" fillId="2" borderId="14" xfId="0" applyBorder="1" applyAlignment="1">
      <alignment horizontal="left" wrapText="1"/>
    </xf>
    <xf numFmtId="179" fontId="94" fillId="8" borderId="2" xfId="20" applyFont="1" applyFill="1" applyBorder="1" applyAlignment="1">
      <alignment horizontal="left" vertical="center"/>
    </xf>
    <xf numFmtId="179" fontId="94" fillId="2" borderId="14" xfId="20" applyFont="1" applyBorder="1" applyAlignment="1">
      <alignment horizontal="left" vertical="center"/>
    </xf>
    <xf numFmtId="0" fontId="51" fillId="2" borderId="0" xfId="20" applyFill="1" applyBorder="1" applyAlignment="1">
      <alignment horizontal="center" vertical="center" textRotation="90"/>
    </xf>
    <xf numFmtId="0" fontId="21" fillId="2" borderId="0" xfId="23" applyFont="1" applyFill="1" applyBorder="1" applyAlignment="1" applyProtection="1">
      <alignment horizontal="center" vertical="center"/>
      <protection locked="0"/>
    </xf>
    <xf numFmtId="179" fontId="51" fillId="2" borderId="0" xfId="20" applyFill="1" applyAlignment="1">
      <alignment horizontal="center" vertical="center" textRotation="90"/>
    </xf>
    <xf numFmtId="179" fontId="68" fillId="8" borderId="3" xfId="20" applyFont="1" applyFill="1" applyBorder="1" applyAlignment="1">
      <alignment horizontal="center"/>
    </xf>
    <xf numFmtId="179" fontId="68" fillId="2" borderId="7" xfId="20" applyFont="1" applyBorder="1" applyAlignment="1">
      <alignment horizontal="center"/>
    </xf>
    <xf numFmtId="179" fontId="68" fillId="2" borderId="7" xfId="20" applyFont="1" applyBorder="1" applyAlignment="1">
      <alignment/>
    </xf>
    <xf numFmtId="179" fontId="68" fillId="8" borderId="3" xfId="20" applyFont="1" applyFill="1" applyBorder="1" applyAlignment="1">
      <alignment horizontal="center" vertical="center"/>
    </xf>
    <xf numFmtId="179" fontId="68" fillId="8" borderId="7" xfId="20" applyFont="1" applyFill="1" applyBorder="1" applyAlignment="1">
      <alignment/>
    </xf>
    <xf numFmtId="179" fontId="0" fillId="8" borderId="7" xfId="0" applyFill="1" applyBorder="1" applyAlignment="1">
      <alignment/>
    </xf>
    <xf numFmtId="179" fontId="0" fillId="8" borderId="3" xfId="0" applyFill="1" applyBorder="1" applyAlignment="1">
      <alignment horizontal="center"/>
    </xf>
    <xf numFmtId="179" fontId="0" fillId="2" borderId="7" xfId="0" applyBorder="1" applyAlignment="1">
      <alignment/>
    </xf>
    <xf numFmtId="179" fontId="31" fillId="8" borderId="3" xfId="0" applyFont="1" applyFill="1" applyBorder="1" applyAlignment="1">
      <alignment horizontal="center" vertical="center"/>
    </xf>
    <xf numFmtId="179" fontId="29" fillId="8" borderId="7" xfId="0" applyFont="1" applyFill="1" applyBorder="1" applyAlignment="1">
      <alignment vertical="center"/>
    </xf>
    <xf numFmtId="179" fontId="51" fillId="2" borderId="0" xfId="20" applyAlignment="1">
      <alignment/>
    </xf>
    <xf numFmtId="179" fontId="84" fillId="8" borderId="0" xfId="20" applyFont="1" applyFill="1" applyAlignment="1" applyProtection="1">
      <alignment horizontal="left" vertical="center"/>
      <protection hidden="1"/>
    </xf>
    <xf numFmtId="179" fontId="84" fillId="2" borderId="0" xfId="20" applyFont="1" applyAlignment="1">
      <alignment horizontal="left"/>
    </xf>
    <xf numFmtId="179" fontId="93" fillId="8" borderId="0" xfId="20" applyFont="1" applyFill="1" applyAlignment="1" applyProtection="1">
      <alignment/>
      <protection hidden="1"/>
    </xf>
    <xf numFmtId="179" fontId="89" fillId="2" borderId="0" xfId="20" applyFont="1" applyAlignment="1">
      <alignment/>
    </xf>
    <xf numFmtId="179" fontId="0" fillId="8" borderId="2" xfId="0" applyFont="1" applyFill="1" applyBorder="1" applyAlignment="1">
      <alignment horizontal="left" vertical="center"/>
    </xf>
    <xf numFmtId="179" fontId="0" fillId="2" borderId="14" xfId="0" applyFont="1" applyBorder="1" applyAlignment="1">
      <alignment horizontal="left" vertical="center"/>
    </xf>
    <xf numFmtId="179" fontId="0" fillId="8" borderId="2" xfId="0" applyFont="1" applyFill="1" applyBorder="1" applyAlignment="1">
      <alignment horizontal="left"/>
    </xf>
    <xf numFmtId="179" fontId="0" fillId="2" borderId="8" xfId="0" applyBorder="1" applyAlignment="1">
      <alignment horizontal="center" vertical="center"/>
    </xf>
    <xf numFmtId="179" fontId="0" fillId="2" borderId="10" xfId="0" applyBorder="1" applyAlignment="1">
      <alignment horizontal="center" vertical="center"/>
    </xf>
    <xf numFmtId="0" fontId="21" fillId="8" borderId="4" xfId="24" applyFont="1" applyFill="1" applyBorder="1" applyAlignment="1">
      <alignment horizontal="center"/>
      <protection/>
    </xf>
    <xf numFmtId="179" fontId="0" fillId="2" borderId="6" xfId="0" applyBorder="1" applyAlignment="1">
      <alignment/>
    </xf>
    <xf numFmtId="0" fontId="21" fillId="8" borderId="9" xfId="24" applyFont="1" applyFill="1" applyBorder="1" applyAlignment="1">
      <alignment horizontal="center" vertical="top"/>
      <protection/>
    </xf>
    <xf numFmtId="179" fontId="0" fillId="2" borderId="10" xfId="0" applyBorder="1" applyAlignment="1">
      <alignment/>
    </xf>
    <xf numFmtId="0" fontId="1" fillId="8" borderId="0" xfId="24" applyFont="1" applyFill="1" applyBorder="1" applyAlignment="1">
      <alignment wrapText="1"/>
      <protection/>
    </xf>
    <xf numFmtId="179" fontId="0" fillId="2" borderId="0" xfId="0" applyAlignment="1">
      <alignment/>
    </xf>
    <xf numFmtId="0" fontId="24" fillId="2" borderId="8" xfId="24" applyFont="1" applyFill="1" applyBorder="1" applyAlignment="1" applyProtection="1">
      <alignment horizontal="left" vertical="center"/>
      <protection locked="0"/>
    </xf>
    <xf numFmtId="0" fontId="1" fillId="9" borderId="11" xfId="24" applyFill="1" applyBorder="1" applyAlignment="1">
      <alignment horizontal="center"/>
      <protection/>
    </xf>
    <xf numFmtId="0" fontId="15" fillId="0" borderId="4" xfId="24" applyFont="1" applyBorder="1" applyAlignment="1">
      <alignment horizontal="center" vertical="center"/>
      <protection/>
    </xf>
    <xf numFmtId="179" fontId="0" fillId="2" borderId="9" xfId="0" applyFont="1" applyBorder="1" applyAlignment="1">
      <alignment horizontal="center" vertical="center"/>
    </xf>
    <xf numFmtId="0" fontId="1" fillId="9" borderId="21" xfId="24" applyFill="1" applyBorder="1" applyAlignment="1">
      <alignment/>
      <protection/>
    </xf>
    <xf numFmtId="0" fontId="1" fillId="9" borderId="14" xfId="24" applyFill="1" applyBorder="1" applyAlignment="1">
      <alignment/>
      <protection/>
    </xf>
    <xf numFmtId="0" fontId="1" fillId="9" borderId="9" xfId="24" applyFill="1" applyBorder="1" applyAlignment="1">
      <alignment horizontal="center"/>
      <protection/>
    </xf>
    <xf numFmtId="0" fontId="1" fillId="9" borderId="10" xfId="24" applyFill="1" applyBorder="1" applyAlignment="1">
      <alignment horizontal="center"/>
      <protection/>
    </xf>
    <xf numFmtId="1" fontId="25" fillId="2" borderId="21" xfId="24" applyNumberFormat="1" applyFont="1" applyFill="1" applyBorder="1" applyAlignment="1" applyProtection="1">
      <alignment horizontal="center"/>
      <protection locked="0"/>
    </xf>
    <xf numFmtId="1" fontId="25" fillId="2" borderId="14" xfId="24" applyNumberFormat="1" applyFont="1" applyFill="1" applyBorder="1" applyAlignment="1" applyProtection="1">
      <alignment horizontal="center"/>
      <protection locked="0"/>
    </xf>
    <xf numFmtId="0" fontId="1" fillId="8" borderId="51" xfId="24" applyFill="1" applyBorder="1" applyAlignment="1">
      <alignment horizontal="center"/>
      <protection/>
    </xf>
    <xf numFmtId="0" fontId="1" fillId="0" borderId="51" xfId="24" applyBorder="1" applyAlignment="1">
      <alignment horizontal="center"/>
      <protection/>
    </xf>
    <xf numFmtId="0" fontId="1" fillId="9" borderId="8" xfId="24" applyFill="1" applyBorder="1" applyAlignment="1">
      <alignment horizontal="center"/>
      <protection/>
    </xf>
    <xf numFmtId="192" fontId="25" fillId="2" borderId="21" xfId="24" applyNumberFormat="1" applyFont="1" applyFill="1" applyBorder="1" applyAlignment="1" applyProtection="1">
      <alignment horizontal="center"/>
      <protection locked="0"/>
    </xf>
    <xf numFmtId="192" fontId="25" fillId="2" borderId="14" xfId="24" applyNumberFormat="1" applyFont="1" applyFill="1" applyBorder="1" applyAlignment="1" applyProtection="1">
      <alignment horizontal="center"/>
      <protection locked="0"/>
    </xf>
    <xf numFmtId="217" fontId="20" fillId="2" borderId="8" xfId="24" applyNumberFormat="1" applyFont="1" applyFill="1" applyBorder="1" applyAlignment="1" applyProtection="1">
      <alignment horizontal="center" shrinkToFit="1"/>
      <protection locked="0"/>
    </xf>
    <xf numFmtId="0" fontId="24" fillId="2" borderId="8" xfId="24" applyFont="1" applyFill="1" applyBorder="1" applyAlignment="1" applyProtection="1">
      <alignment horizontal="left" vertical="center" shrinkToFit="1"/>
      <protection locked="0"/>
    </xf>
    <xf numFmtId="179" fontId="0" fillId="2" borderId="8" xfId="0" applyBorder="1" applyAlignment="1" applyProtection="1">
      <alignment vertical="center" shrinkToFit="1"/>
      <protection locked="0"/>
    </xf>
    <xf numFmtId="179" fontId="0" fillId="2" borderId="8" xfId="0" applyBorder="1" applyAlignment="1" applyProtection="1">
      <alignment vertical="center"/>
      <protection locked="0"/>
    </xf>
    <xf numFmtId="0" fontId="24" fillId="2" borderId="9" xfId="24" applyFont="1" applyFill="1" applyBorder="1" applyAlignment="1" applyProtection="1">
      <alignment horizontal="left" vertical="center"/>
      <protection locked="0"/>
    </xf>
    <xf numFmtId="179" fontId="0" fillId="2" borderId="8" xfId="0" applyBorder="1" applyAlignment="1" applyProtection="1">
      <alignment horizontal="left" vertical="center"/>
      <protection locked="0"/>
    </xf>
    <xf numFmtId="0" fontId="51" fillId="0" borderId="0" xfId="20" applyAlignment="1">
      <alignment/>
    </xf>
    <xf numFmtId="0" fontId="20" fillId="9" borderId="4" xfId="24" applyFont="1" applyFill="1" applyBorder="1" applyAlignment="1">
      <alignment horizontal="center" vertical="center"/>
      <protection/>
    </xf>
    <xf numFmtId="0" fontId="20" fillId="9" borderId="6" xfId="24" applyFont="1" applyFill="1" applyBorder="1" applyAlignment="1">
      <alignment horizontal="center" vertical="center"/>
      <protection/>
    </xf>
    <xf numFmtId="0" fontId="20" fillId="9" borderId="9" xfId="24" applyFont="1" applyFill="1" applyBorder="1" applyAlignment="1">
      <alignment horizontal="center" vertical="center"/>
      <protection/>
    </xf>
    <xf numFmtId="0" fontId="20" fillId="9" borderId="10" xfId="24" applyFont="1" applyFill="1" applyBorder="1" applyAlignment="1">
      <alignment horizontal="center" vertical="center"/>
      <protection/>
    </xf>
    <xf numFmtId="0" fontId="64" fillId="8" borderId="0" xfId="24" applyFont="1" applyFill="1" applyAlignment="1">
      <alignment horizontal="center"/>
      <protection/>
    </xf>
    <xf numFmtId="0" fontId="64" fillId="8" borderId="7" xfId="24" applyFont="1" applyFill="1" applyBorder="1" applyAlignment="1">
      <alignment horizontal="center"/>
      <protection/>
    </xf>
    <xf numFmtId="0" fontId="64" fillId="8" borderId="8" xfId="24" applyFont="1" applyFill="1" applyBorder="1" applyAlignment="1">
      <alignment horizontal="center"/>
      <protection/>
    </xf>
    <xf numFmtId="0" fontId="64" fillId="8" borderId="10" xfId="24" applyFont="1" applyFill="1" applyBorder="1" applyAlignment="1">
      <alignment horizontal="center"/>
      <protection/>
    </xf>
    <xf numFmtId="0" fontId="24" fillId="2" borderId="8" xfId="24" applyFont="1" applyFill="1" applyBorder="1" applyAlignment="1" applyProtection="1">
      <alignment horizontal="left"/>
      <protection locked="0"/>
    </xf>
    <xf numFmtId="0" fontId="1" fillId="8" borderId="0" xfId="24" applyFill="1" applyBorder="1" applyAlignment="1">
      <alignment horizontal="center"/>
      <protection/>
    </xf>
    <xf numFmtId="0" fontId="1" fillId="8" borderId="8" xfId="24" applyFill="1" applyBorder="1" applyAlignment="1">
      <alignment horizontal="center"/>
      <protection/>
    </xf>
    <xf numFmtId="217" fontId="64" fillId="2" borderId="0" xfId="24" applyNumberFormat="1" applyFont="1" applyFill="1" applyBorder="1" applyAlignment="1" applyProtection="1">
      <alignment horizontal="center" vertical="center" shrinkToFit="1"/>
      <protection locked="0"/>
    </xf>
    <xf numFmtId="217" fontId="0" fillId="2" borderId="0" xfId="0" applyNumberFormat="1" applyBorder="1" applyAlignment="1" applyProtection="1">
      <alignment vertical="center"/>
      <protection locked="0"/>
    </xf>
    <xf numFmtId="2" fontId="25" fillId="2" borderId="8" xfId="24" applyNumberFormat="1" applyFont="1" applyFill="1" applyBorder="1" applyAlignment="1" applyProtection="1">
      <alignment horizontal="right"/>
      <protection locked="0"/>
    </xf>
    <xf numFmtId="179" fontId="0" fillId="2" borderId="8" xfId="0" applyBorder="1" applyAlignment="1" applyProtection="1">
      <alignment/>
      <protection locked="0"/>
    </xf>
    <xf numFmtId="0" fontId="1" fillId="8" borderId="0" xfId="24" applyFont="1" applyFill="1" applyBorder="1" applyAlignment="1">
      <alignment vertical="center" wrapText="1"/>
      <protection/>
    </xf>
    <xf numFmtId="179" fontId="0" fillId="2" borderId="0" xfId="0" applyAlignment="1">
      <alignment vertical="center"/>
    </xf>
    <xf numFmtId="179" fontId="2" fillId="8" borderId="2" xfId="0" applyFont="1" applyFill="1" applyBorder="1" applyAlignment="1" applyProtection="1">
      <alignment wrapText="1"/>
      <protection/>
    </xf>
    <xf numFmtId="179" fontId="2" fillId="8" borderId="2" xfId="0" applyFont="1" applyFill="1" applyBorder="1" applyAlignment="1" applyProtection="1">
      <alignment/>
      <protection/>
    </xf>
    <xf numFmtId="179" fontId="2" fillId="8" borderId="2" xfId="0" applyFont="1" applyFill="1" applyBorder="1" applyAlignment="1" applyProtection="1">
      <alignment horizontal="left" wrapText="1"/>
      <protection/>
    </xf>
    <xf numFmtId="179" fontId="0" fillId="2" borderId="2" xfId="0" applyBorder="1" applyAlignment="1">
      <alignment/>
    </xf>
    <xf numFmtId="179" fontId="2" fillId="8" borderId="2" xfId="0" applyFont="1" applyFill="1" applyBorder="1" applyAlignment="1" applyProtection="1">
      <alignment horizontal="right" wrapText="1"/>
      <protection/>
    </xf>
    <xf numFmtId="197" fontId="2" fillId="3" borderId="17" xfId="28" applyNumberFormat="1" applyBorder="1" applyAlignment="1" applyProtection="1">
      <alignment/>
      <protection/>
    </xf>
    <xf numFmtId="179" fontId="0" fillId="2" borderId="13" xfId="0" applyBorder="1" applyAlignment="1">
      <alignment/>
    </xf>
    <xf numFmtId="211" fontId="0" fillId="2" borderId="8" xfId="0" applyNumberFormat="1" applyFill="1" applyBorder="1" applyAlignment="1" applyProtection="1">
      <alignment horizontal="center"/>
      <protection locked="0"/>
    </xf>
    <xf numFmtId="179" fontId="38" fillId="0" borderId="9" xfId="0" applyFont="1" applyFill="1" applyBorder="1" applyAlignment="1" applyProtection="1">
      <alignment horizontal="left"/>
      <protection/>
    </xf>
    <xf numFmtId="179" fontId="38" fillId="0" borderId="8" xfId="0" applyFont="1" applyFill="1" applyBorder="1" applyAlignment="1" applyProtection="1">
      <alignment horizontal="left"/>
      <protection/>
    </xf>
    <xf numFmtId="179" fontId="51" fillId="2" borderId="0" xfId="20" applyAlignment="1" applyProtection="1">
      <alignment/>
      <protection/>
    </xf>
    <xf numFmtId="179" fontId="0" fillId="9" borderId="2" xfId="0" applyFill="1" applyBorder="1" applyAlignment="1" applyProtection="1">
      <alignment horizontal="center"/>
      <protection locked="0"/>
    </xf>
    <xf numFmtId="179" fontId="0" fillId="9" borderId="14" xfId="0" applyFill="1" applyBorder="1" applyAlignment="1" applyProtection="1">
      <alignment horizontal="center"/>
      <protection locked="0"/>
    </xf>
    <xf numFmtId="179" fontId="2" fillId="9" borderId="2" xfId="0" applyNumberFormat="1" applyFont="1" applyFill="1" applyBorder="1" applyAlignment="1" applyProtection="1">
      <alignment horizontal="center"/>
      <protection locked="0"/>
    </xf>
    <xf numFmtId="179" fontId="2" fillId="9" borderId="14" xfId="0" applyNumberFormat="1" applyFont="1" applyFill="1" applyBorder="1" applyAlignment="1" applyProtection="1">
      <alignment horizontal="center"/>
      <protection locked="0"/>
    </xf>
    <xf numFmtId="197" fontId="2" fillId="3" borderId="8" xfId="28" applyNumberFormat="1" applyFont="1" applyBorder="1" applyAlignment="1" applyProtection="1">
      <alignment horizontal="center"/>
      <protection/>
    </xf>
    <xf numFmtId="197" fontId="2" fillId="3" borderId="8" xfId="28" applyNumberFormat="1" applyBorder="1" applyAlignment="1" applyProtection="1">
      <alignment horizontal="center"/>
      <protection/>
    </xf>
    <xf numFmtId="179" fontId="2" fillId="8" borderId="0" xfId="0" applyFont="1" applyFill="1" applyAlignment="1" applyProtection="1">
      <alignment/>
      <protection/>
    </xf>
    <xf numFmtId="197" fontId="2" fillId="2" borderId="2" xfId="0" applyNumberFormat="1" applyFont="1" applyFill="1" applyBorder="1" applyAlignment="1" applyProtection="1">
      <alignment horizontal="center"/>
      <protection locked="0"/>
    </xf>
    <xf numFmtId="179" fontId="33" fillId="8" borderId="2" xfId="0" applyFont="1" applyFill="1" applyBorder="1" applyAlignment="1" applyProtection="1">
      <alignment wrapText="1"/>
      <protection/>
    </xf>
    <xf numFmtId="179" fontId="2" fillId="2" borderId="2" xfId="0" applyFont="1" applyFill="1" applyBorder="1" applyAlignment="1" applyProtection="1">
      <alignment horizontal="left" shrinkToFit="1"/>
      <protection locked="0"/>
    </xf>
    <xf numFmtId="179" fontId="0" fillId="2" borderId="2" xfId="0" applyFill="1" applyBorder="1" applyAlignment="1" applyProtection="1">
      <alignment horizontal="left"/>
      <protection locked="0"/>
    </xf>
    <xf numFmtId="179" fontId="2" fillId="8" borderId="0" xfId="0" applyFont="1" applyFill="1" applyBorder="1" applyAlignment="1" applyProtection="1">
      <alignment vertical="center" wrapText="1"/>
      <protection/>
    </xf>
    <xf numFmtId="179" fontId="16" fillId="12" borderId="0" xfId="0" applyFont="1" applyFill="1" applyBorder="1" applyAlignment="1" applyProtection="1">
      <alignment horizontal="center" vertical="center"/>
      <protection/>
    </xf>
    <xf numFmtId="179" fontId="85" fillId="2" borderId="0" xfId="0" applyFont="1" applyAlignment="1">
      <alignment vertical="center"/>
    </xf>
    <xf numFmtId="179" fontId="10" fillId="12" borderId="4" xfId="0" applyFont="1" applyFill="1" applyBorder="1" applyAlignment="1" applyProtection="1">
      <alignment horizontal="center"/>
      <protection/>
    </xf>
    <xf numFmtId="179" fontId="0" fillId="2" borderId="6" xfId="0" applyBorder="1" applyAlignment="1">
      <alignment horizontal="center"/>
    </xf>
    <xf numFmtId="179" fontId="41" fillId="12" borderId="3" xfId="0" applyFont="1" applyFill="1" applyBorder="1" applyAlignment="1" applyProtection="1">
      <alignment horizontal="center"/>
      <protection/>
    </xf>
    <xf numFmtId="179" fontId="0" fillId="2" borderId="7" xfId="0" applyBorder="1" applyAlignment="1">
      <alignment horizontal="center"/>
    </xf>
    <xf numFmtId="179" fontId="10" fillId="12" borderId="3" xfId="0" applyFont="1" applyFill="1" applyBorder="1" applyAlignment="1" applyProtection="1">
      <alignment horizontal="center"/>
      <protection/>
    </xf>
    <xf numFmtId="179" fontId="2" fillId="12" borderId="8" xfId="0" applyFont="1" applyFill="1" applyBorder="1" applyAlignment="1" applyProtection="1">
      <alignment wrapText="1"/>
      <protection/>
    </xf>
    <xf numFmtId="179" fontId="0" fillId="2" borderId="8" xfId="0" applyFont="1" applyBorder="1" applyAlignment="1">
      <alignment/>
    </xf>
    <xf numFmtId="179" fontId="2" fillId="12" borderId="2" xfId="0" applyFont="1" applyFill="1" applyBorder="1" applyAlignment="1" applyProtection="1">
      <alignment shrinkToFit="1"/>
      <protection/>
    </xf>
    <xf numFmtId="179" fontId="0" fillId="2" borderId="2" xfId="0" applyBorder="1" applyAlignment="1">
      <alignment shrinkToFit="1"/>
    </xf>
    <xf numFmtId="179" fontId="2" fillId="12" borderId="2" xfId="0" applyFont="1" applyFill="1" applyBorder="1" applyAlignment="1" applyProtection="1">
      <alignment wrapText="1"/>
      <protection/>
    </xf>
    <xf numFmtId="179" fontId="0" fillId="2" borderId="2" xfId="0" applyBorder="1" applyAlignment="1">
      <alignment wrapText="1"/>
    </xf>
    <xf numFmtId="179" fontId="2" fillId="12" borderId="1" xfId="0" applyFont="1" applyFill="1" applyBorder="1" applyAlignment="1" applyProtection="1">
      <alignment shrinkToFit="1"/>
      <protection/>
    </xf>
    <xf numFmtId="179" fontId="2" fillId="8" borderId="2" xfId="0" applyFont="1" applyFill="1" applyBorder="1" applyAlignment="1" applyProtection="1">
      <alignment shrinkToFit="1"/>
      <protection/>
    </xf>
    <xf numFmtId="179" fontId="76" fillId="2" borderId="2" xfId="0" applyFont="1" applyBorder="1" applyAlignment="1">
      <alignment/>
    </xf>
    <xf numFmtId="197" fontId="51" fillId="2" borderId="0" xfId="20" applyNumberFormat="1" applyBorder="1" applyAlignment="1" applyProtection="1">
      <alignment/>
      <protection/>
    </xf>
    <xf numFmtId="49" fontId="2" fillId="2" borderId="8" xfId="0" applyNumberFormat="1" applyFont="1" applyFill="1" applyBorder="1" applyAlignment="1" applyProtection="1">
      <alignment horizontal="center"/>
      <protection locked="0"/>
    </xf>
    <xf numFmtId="179" fontId="0" fillId="2" borderId="10" xfId="0" applyBorder="1" applyAlignment="1" applyProtection="1">
      <alignment/>
      <protection locked="0"/>
    </xf>
    <xf numFmtId="179" fontId="10" fillId="8" borderId="4" xfId="0" applyFont="1" applyFill="1" applyBorder="1" applyAlignment="1" applyProtection="1">
      <alignment horizontal="center"/>
      <protection/>
    </xf>
    <xf numFmtId="179" fontId="10" fillId="8" borderId="6" xfId="0" applyFont="1" applyFill="1" applyBorder="1" applyAlignment="1" applyProtection="1">
      <alignment horizontal="center"/>
      <protection/>
    </xf>
    <xf numFmtId="1" fontId="2" fillId="2" borderId="9" xfId="0" applyNumberFormat="1" applyFont="1" applyFill="1" applyBorder="1" applyAlignment="1" applyProtection="1">
      <alignment horizontal="center"/>
      <protection locked="0"/>
    </xf>
    <xf numFmtId="1" fontId="2" fillId="2" borderId="10" xfId="0" applyNumberFormat="1" applyFont="1" applyFill="1" applyBorder="1" applyAlignment="1" applyProtection="1">
      <alignment horizontal="center"/>
      <protection locked="0"/>
    </xf>
    <xf numFmtId="49" fontId="2" fillId="2" borderId="9" xfId="0" applyNumberFormat="1" applyFont="1" applyFill="1" applyBorder="1" applyAlignment="1" applyProtection="1">
      <alignment horizontal="center"/>
      <protection locked="0"/>
    </xf>
    <xf numFmtId="197" fontId="2" fillId="2" borderId="9" xfId="0" applyNumberFormat="1" applyFont="1" applyFill="1" applyBorder="1" applyAlignment="1" applyProtection="1">
      <alignment horizontal="center"/>
      <protection locked="0"/>
    </xf>
    <xf numFmtId="197" fontId="2" fillId="2" borderId="10" xfId="0" applyNumberFormat="1" applyFont="1" applyFill="1" applyBorder="1" applyAlignment="1" applyProtection="1">
      <alignment horizontal="center"/>
      <protection locked="0"/>
    </xf>
    <xf numFmtId="197" fontId="2" fillId="2" borderId="9" xfId="0" applyNumberFormat="1" applyFont="1" applyFill="1" applyBorder="1" applyAlignment="1" applyProtection="1">
      <alignment horizontal="left"/>
      <protection locked="0"/>
    </xf>
    <xf numFmtId="197" fontId="2" fillId="2" borderId="8" xfId="0" applyNumberFormat="1" applyFont="1" applyFill="1" applyBorder="1" applyAlignment="1" applyProtection="1">
      <alignment horizontal="left"/>
      <protection locked="0"/>
    </xf>
    <xf numFmtId="197" fontId="2" fillId="2" borderId="10" xfId="0" applyNumberFormat="1" applyFont="1" applyFill="1" applyBorder="1" applyAlignment="1" applyProtection="1">
      <alignment horizontal="left"/>
      <protection locked="0"/>
    </xf>
    <xf numFmtId="179" fontId="10" fillId="8" borderId="4" xfId="0" applyFont="1" applyFill="1" applyBorder="1" applyAlignment="1" applyProtection="1">
      <alignment horizontal="center" vertical="top"/>
      <protection/>
    </xf>
    <xf numFmtId="179" fontId="10" fillId="8" borderId="4" xfId="0" applyFont="1" applyFill="1" applyBorder="1" applyAlignment="1" applyProtection="1">
      <alignment vertical="top" wrapText="1"/>
      <protection/>
    </xf>
    <xf numFmtId="179" fontId="10" fillId="8" borderId="5" xfId="0" applyFont="1" applyFill="1" applyBorder="1" applyAlignment="1" applyProtection="1">
      <alignment vertical="top" wrapText="1"/>
      <protection/>
    </xf>
    <xf numFmtId="179" fontId="0" fillId="2" borderId="6" xfId="0" applyBorder="1" applyAlignment="1">
      <alignment vertical="top" wrapText="1"/>
    </xf>
    <xf numFmtId="1" fontId="2" fillId="2" borderId="9" xfId="0" applyNumberFormat="1" applyFont="1" applyFill="1" applyBorder="1" applyAlignment="1" applyProtection="1">
      <alignment horizontal="center"/>
      <protection locked="0"/>
    </xf>
    <xf numFmtId="1" fontId="0" fillId="2" borderId="10" xfId="0" applyNumberFormat="1" applyBorder="1" applyAlignment="1" applyProtection="1">
      <alignment horizontal="center"/>
      <protection locked="0"/>
    </xf>
    <xf numFmtId="179" fontId="10" fillId="2" borderId="9" xfId="0" applyFont="1" applyFill="1" applyBorder="1" applyAlignment="1" applyProtection="1">
      <alignment horizontal="center" vertical="top" wrapText="1"/>
      <protection locked="0"/>
    </xf>
    <xf numFmtId="179" fontId="10" fillId="2" borderId="8" xfId="0" applyFont="1" applyFill="1" applyBorder="1" applyAlignment="1" applyProtection="1">
      <alignment horizontal="center" vertical="top" wrapText="1"/>
      <protection locked="0"/>
    </xf>
    <xf numFmtId="179" fontId="0" fillId="2" borderId="10" xfId="0" applyBorder="1" applyAlignment="1" applyProtection="1">
      <alignment horizontal="center" vertical="top" wrapText="1"/>
      <protection locked="0"/>
    </xf>
    <xf numFmtId="179" fontId="0" fillId="8" borderId="9" xfId="0" applyFill="1" applyBorder="1" applyAlignment="1" applyProtection="1">
      <alignment/>
      <protection/>
    </xf>
    <xf numFmtId="179" fontId="0" fillId="2" borderId="8" xfId="0" applyBorder="1" applyAlignment="1">
      <alignment/>
    </xf>
    <xf numFmtId="1" fontId="10" fillId="2" borderId="3" xfId="0" applyNumberFormat="1" applyFont="1" applyFill="1" applyBorder="1" applyAlignment="1" applyProtection="1">
      <alignment horizontal="center" vertical="top"/>
      <protection locked="0"/>
    </xf>
    <xf numFmtId="179" fontId="0" fillId="2" borderId="7" xfId="0" applyBorder="1" applyAlignment="1" applyProtection="1">
      <alignment horizontal="center"/>
      <protection locked="0"/>
    </xf>
    <xf numFmtId="179" fontId="10" fillId="8" borderId="4" xfId="0" applyFont="1" applyFill="1" applyBorder="1" applyAlignment="1" applyProtection="1">
      <alignment horizontal="left" vertical="top" wrapText="1"/>
      <protection/>
    </xf>
    <xf numFmtId="179" fontId="0" fillId="2" borderId="5" xfId="0" applyBorder="1" applyAlignment="1">
      <alignment vertical="top" wrapText="1"/>
    </xf>
    <xf numFmtId="179" fontId="0" fillId="2" borderId="5" xfId="0" applyBorder="1" applyAlignment="1">
      <alignment/>
    </xf>
    <xf numFmtId="179" fontId="0" fillId="2" borderId="6" xfId="0" applyBorder="1" applyAlignment="1">
      <alignment/>
    </xf>
    <xf numFmtId="179" fontId="0" fillId="2" borderId="8" xfId="0" applyBorder="1" applyAlignment="1" applyProtection="1">
      <alignment horizontal="center"/>
      <protection locked="0"/>
    </xf>
    <xf numFmtId="179" fontId="0" fillId="2" borderId="10" xfId="0" applyBorder="1" applyAlignment="1" applyProtection="1">
      <alignment horizontal="center"/>
      <protection locked="0"/>
    </xf>
    <xf numFmtId="179" fontId="47" fillId="8" borderId="3" xfId="0" applyFont="1" applyFill="1" applyBorder="1" applyAlignment="1" applyProtection="1">
      <alignment horizontal="center" vertical="top"/>
      <protection/>
    </xf>
    <xf numFmtId="179" fontId="47" fillId="2" borderId="7" xfId="0" applyFont="1" applyBorder="1" applyAlignment="1">
      <alignment horizontal="center" vertical="top"/>
    </xf>
    <xf numFmtId="179" fontId="9" fillId="5" borderId="3" xfId="0" applyFont="1" applyFill="1" applyBorder="1" applyAlignment="1" applyProtection="1">
      <alignment/>
      <protection/>
    </xf>
    <xf numFmtId="197" fontId="2" fillId="2" borderId="9" xfId="0" applyNumberFormat="1" applyFont="1" applyFill="1" applyBorder="1" applyAlignment="1" applyProtection="1">
      <alignment/>
      <protection locked="0"/>
    </xf>
    <xf numFmtId="197" fontId="2" fillId="2" borderId="10" xfId="0" applyNumberFormat="1" applyFont="1" applyFill="1" applyBorder="1" applyAlignment="1" applyProtection="1">
      <alignment/>
      <protection locked="0"/>
    </xf>
    <xf numFmtId="49" fontId="2" fillId="2" borderId="10" xfId="0" applyNumberFormat="1" applyFont="1" applyFill="1" applyBorder="1" applyAlignment="1" applyProtection="1">
      <alignment horizontal="center"/>
      <protection locked="0"/>
    </xf>
    <xf numFmtId="179" fontId="5" fillId="8" borderId="4" xfId="0" applyFont="1" applyFill="1" applyBorder="1" applyAlignment="1" applyProtection="1">
      <alignment horizontal="center"/>
      <protection/>
    </xf>
    <xf numFmtId="179" fontId="5" fillId="8" borderId="6" xfId="0" applyFont="1" applyFill="1" applyBorder="1" applyAlignment="1" applyProtection="1">
      <alignment horizontal="center"/>
      <protection/>
    </xf>
    <xf numFmtId="179" fontId="10" fillId="8" borderId="3" xfId="0" applyFont="1" applyFill="1" applyBorder="1" applyAlignment="1" applyProtection="1">
      <alignment horizontal="center"/>
      <protection/>
    </xf>
    <xf numFmtId="179" fontId="10" fillId="8" borderId="7" xfId="0" applyFont="1" applyFill="1" applyBorder="1" applyAlignment="1" applyProtection="1">
      <alignment horizontal="center"/>
      <protection/>
    </xf>
    <xf numFmtId="179" fontId="5" fillId="8" borderId="9" xfId="0" applyFont="1" applyFill="1" applyBorder="1" applyAlignment="1" applyProtection="1">
      <alignment horizontal="center"/>
      <protection/>
    </xf>
    <xf numFmtId="179" fontId="5" fillId="8" borderId="10" xfId="0" applyFont="1" applyFill="1" applyBorder="1" applyAlignment="1" applyProtection="1">
      <alignment horizontal="center"/>
      <protection/>
    </xf>
    <xf numFmtId="179" fontId="3" fillId="8" borderId="0" xfId="0" applyFont="1" applyFill="1" applyBorder="1" applyAlignment="1" applyProtection="1">
      <alignment wrapText="1"/>
      <protection/>
    </xf>
    <xf numFmtId="197" fontId="2" fillId="2" borderId="8" xfId="0" applyNumberFormat="1" applyFont="1" applyFill="1" applyBorder="1" applyAlignment="1" applyProtection="1">
      <alignment horizontal="center"/>
      <protection locked="0"/>
    </xf>
    <xf numFmtId="179" fontId="9" fillId="5" borderId="5" xfId="0" applyFont="1" applyFill="1" applyBorder="1" applyAlignment="1" applyProtection="1">
      <alignment/>
      <protection/>
    </xf>
    <xf numFmtId="179" fontId="9" fillId="5" borderId="6" xfId="0" applyFont="1" applyFill="1" applyBorder="1" applyAlignment="1" applyProtection="1">
      <alignment/>
      <protection/>
    </xf>
    <xf numFmtId="179" fontId="2" fillId="8" borderId="0" xfId="0" applyFont="1" applyFill="1" applyBorder="1" applyAlignment="1" applyProtection="1">
      <alignment vertical="top" wrapText="1"/>
      <protection/>
    </xf>
    <xf numFmtId="179" fontId="0" fillId="2" borderId="0" xfId="0" applyAlignment="1">
      <alignment vertical="top"/>
    </xf>
    <xf numFmtId="179" fontId="0" fillId="2" borderId="8" xfId="0" applyBorder="1" applyAlignment="1">
      <alignment vertical="top"/>
    </xf>
    <xf numFmtId="197" fontId="2" fillId="3" borderId="12" xfId="0" applyNumberFormat="1" applyFont="1" applyFill="1" applyBorder="1" applyAlignment="1" applyProtection="1">
      <alignment horizontal="center"/>
      <protection/>
    </xf>
    <xf numFmtId="197" fontId="2" fillId="2" borderId="12" xfId="0" applyNumberFormat="1" applyFont="1" applyFill="1" applyBorder="1" applyAlignment="1" applyProtection="1">
      <alignment horizontal="left"/>
      <protection locked="0"/>
    </xf>
    <xf numFmtId="197" fontId="2" fillId="2" borderId="1" xfId="0" applyNumberFormat="1" applyFont="1" applyFill="1" applyBorder="1" applyAlignment="1" applyProtection="1">
      <alignment horizontal="left"/>
      <protection locked="0"/>
    </xf>
    <xf numFmtId="179" fontId="2" fillId="2" borderId="8" xfId="0" applyFont="1" applyFill="1" applyBorder="1" applyAlignment="1" applyProtection="1">
      <alignment horizontal="left"/>
      <protection locked="0"/>
    </xf>
    <xf numFmtId="197" fontId="2" fillId="3" borderId="1" xfId="0" applyNumberFormat="1" applyFont="1" applyFill="1" applyBorder="1" applyAlignment="1" applyProtection="1">
      <alignment horizontal="left"/>
      <protection/>
    </xf>
    <xf numFmtId="197" fontId="2" fillId="3" borderId="12" xfId="0" applyNumberFormat="1" applyFont="1" applyFill="1" applyBorder="1" applyAlignment="1" applyProtection="1">
      <alignment horizontal="left"/>
      <protection/>
    </xf>
    <xf numFmtId="179" fontId="2" fillId="8" borderId="4" xfId="0" applyFont="1" applyFill="1" applyBorder="1" applyAlignment="1" applyProtection="1">
      <alignment horizontal="center" vertical="top" wrapText="1"/>
      <protection/>
    </xf>
    <xf numFmtId="179" fontId="0" fillId="2" borderId="6" xfId="0" applyBorder="1" applyAlignment="1">
      <alignment vertical="top"/>
    </xf>
    <xf numFmtId="179" fontId="0" fillId="2" borderId="3" xfId="0" applyBorder="1" applyAlignment="1">
      <alignment vertical="top"/>
    </xf>
    <xf numFmtId="179" fontId="0" fillId="2" borderId="7" xfId="0" applyBorder="1" applyAlignment="1">
      <alignment vertical="top"/>
    </xf>
    <xf numFmtId="179" fontId="0" fillId="2" borderId="9" xfId="0" applyBorder="1" applyAlignment="1">
      <alignment vertical="top"/>
    </xf>
    <xf numFmtId="179" fontId="0" fillId="2" borderId="10" xfId="0" applyBorder="1" applyAlignment="1">
      <alignment vertical="top"/>
    </xf>
    <xf numFmtId="197" fontId="2" fillId="2" borderId="21" xfId="0" applyNumberFormat="1" applyFont="1" applyFill="1" applyBorder="1" applyAlignment="1" applyProtection="1">
      <alignment/>
      <protection locked="0"/>
    </xf>
    <xf numFmtId="179" fontId="0" fillId="2" borderId="14" xfId="0" applyBorder="1" applyAlignment="1">
      <alignment/>
    </xf>
    <xf numFmtId="179" fontId="0" fillId="8" borderId="0" xfId="0" applyFill="1" applyAlignment="1">
      <alignment/>
    </xf>
    <xf numFmtId="179" fontId="51" fillId="2" borderId="0" xfId="20" applyAlignment="1" quotePrefix="1">
      <alignment/>
    </xf>
    <xf numFmtId="179" fontId="2" fillId="8" borderId="5" xfId="0" applyFont="1" applyFill="1" applyBorder="1" applyAlignment="1" applyProtection="1">
      <alignment wrapText="1"/>
      <protection/>
    </xf>
    <xf numFmtId="179" fontId="0" fillId="2" borderId="5" xfId="0" applyBorder="1" applyAlignment="1">
      <alignment/>
    </xf>
    <xf numFmtId="179" fontId="51" fillId="0" borderId="0" xfId="20" applyAlignment="1" applyProtection="1">
      <alignment/>
      <protection/>
    </xf>
    <xf numFmtId="179" fontId="4" fillId="8" borderId="0" xfId="22" applyFont="1" applyFill="1" applyAlignment="1" applyProtection="1">
      <alignment wrapText="1"/>
      <protection/>
    </xf>
    <xf numFmtId="179" fontId="0" fillId="0" borderId="0" xfId="22" applyAlignment="1" applyProtection="1">
      <alignment wrapText="1"/>
      <protection/>
    </xf>
    <xf numFmtId="179" fontId="29" fillId="2" borderId="0" xfId="0" applyFont="1" applyAlignment="1">
      <alignment wrapText="1"/>
    </xf>
    <xf numFmtId="179" fontId="28" fillId="8" borderId="0" xfId="22" applyFont="1" applyFill="1" applyAlignment="1" applyProtection="1">
      <alignment vertical="top" wrapText="1"/>
      <protection/>
    </xf>
    <xf numFmtId="197" fontId="2" fillId="2" borderId="2" xfId="0" applyNumberFormat="1" applyFont="1" applyFill="1" applyBorder="1" applyAlignment="1" applyProtection="1">
      <alignment horizontal="left"/>
      <protection locked="0"/>
    </xf>
    <xf numFmtId="179" fontId="0" fillId="2" borderId="2" xfId="0" applyBorder="1" applyAlignment="1" applyProtection="1">
      <alignment horizontal="left"/>
      <protection locked="0"/>
    </xf>
    <xf numFmtId="179" fontId="0" fillId="8" borderId="0" xfId="0" applyFont="1" applyFill="1" applyBorder="1" applyAlignment="1" applyProtection="1">
      <alignment horizontal="center"/>
      <protection/>
    </xf>
    <xf numFmtId="179" fontId="0" fillId="2" borderId="0" xfId="0" applyAlignment="1">
      <alignment horizontal="center"/>
    </xf>
    <xf numFmtId="179" fontId="0" fillId="2" borderId="8" xfId="0" applyFill="1" applyBorder="1" applyAlignment="1" applyProtection="1">
      <alignment horizontal="center"/>
      <protection locked="0"/>
    </xf>
    <xf numFmtId="0" fontId="0" fillId="2" borderId="8" xfId="0" applyNumberFormat="1" applyFill="1" applyBorder="1" applyAlignment="1" applyProtection="1">
      <alignment horizontal="center"/>
      <protection locked="0"/>
    </xf>
    <xf numFmtId="0" fontId="0" fillId="2" borderId="8" xfId="0" applyNumberFormat="1" applyBorder="1" applyAlignment="1" applyProtection="1">
      <alignment horizontal="center"/>
      <protection locked="0"/>
    </xf>
    <xf numFmtId="217" fontId="31" fillId="2" borderId="0" xfId="0" applyNumberFormat="1" applyFont="1" applyFill="1" applyAlignment="1" applyProtection="1">
      <alignment horizontal="center"/>
      <protection locked="0"/>
    </xf>
    <xf numFmtId="179" fontId="0" fillId="2" borderId="0" xfId="0" applyAlignment="1" applyProtection="1">
      <alignment horizontal="center"/>
      <protection locked="0"/>
    </xf>
    <xf numFmtId="179" fontId="0" fillId="2" borderId="8" xfId="0" applyFill="1" applyBorder="1" applyAlignment="1" applyProtection="1">
      <alignment/>
      <protection locked="0"/>
    </xf>
    <xf numFmtId="179" fontId="0" fillId="2" borderId="8" xfId="0" applyFill="1" applyBorder="1" applyAlignment="1">
      <alignment/>
    </xf>
    <xf numFmtId="179" fontId="0" fillId="8" borderId="5" xfId="0" applyFill="1" applyBorder="1" applyAlignment="1">
      <alignment horizontal="center"/>
    </xf>
    <xf numFmtId="179" fontId="0" fillId="8" borderId="0" xfId="0" applyFill="1" applyAlignment="1">
      <alignment horizontal="center"/>
    </xf>
    <xf numFmtId="0" fontId="59" fillId="8" borderId="4" xfId="25" applyFont="1" applyFill="1" applyBorder="1" applyAlignment="1" applyProtection="1">
      <alignment horizontal="center"/>
      <protection/>
    </xf>
    <xf numFmtId="0" fontId="59" fillId="8" borderId="5" xfId="25" applyFont="1" applyFill="1" applyBorder="1" applyAlignment="1" applyProtection="1">
      <alignment horizontal="center"/>
      <protection/>
    </xf>
    <xf numFmtId="8" fontId="56" fillId="8" borderId="21" xfId="25" applyNumberFormat="1" applyFont="1" applyFill="1" applyBorder="1" applyAlignment="1" applyProtection="1">
      <alignment horizontal="center"/>
      <protection/>
    </xf>
    <xf numFmtId="0" fontId="56" fillId="8" borderId="2" xfId="25" applyFont="1" applyFill="1" applyBorder="1" applyAlignment="1" applyProtection="1">
      <alignment horizontal="center"/>
      <protection/>
    </xf>
    <xf numFmtId="0" fontId="58" fillId="8" borderId="9" xfId="25" applyFont="1" applyFill="1" applyBorder="1" applyAlignment="1" applyProtection="1">
      <alignment horizontal="center"/>
      <protection/>
    </xf>
    <xf numFmtId="0" fontId="58" fillId="8" borderId="8" xfId="25" applyFont="1" applyFill="1" applyBorder="1" applyAlignment="1" applyProtection="1">
      <alignment horizontal="center"/>
      <protection/>
    </xf>
    <xf numFmtId="0" fontId="56" fillId="8" borderId="0" xfId="25" applyFont="1" applyFill="1" applyAlignment="1" applyProtection="1">
      <alignment wrapText="1"/>
      <protection/>
    </xf>
    <xf numFmtId="0" fontId="56" fillId="8" borderId="0" xfId="25" applyFont="1" applyFill="1" applyBorder="1" applyAlignment="1" applyProtection="1">
      <alignment horizontal="right"/>
      <protection/>
    </xf>
    <xf numFmtId="179" fontId="101" fillId="2" borderId="0" xfId="0" applyFont="1" applyBorder="1" applyAlignment="1">
      <alignment/>
    </xf>
    <xf numFmtId="0" fontId="58" fillId="8" borderId="3" xfId="25" applyFont="1" applyFill="1" applyBorder="1" applyAlignment="1" applyProtection="1">
      <alignment horizontal="center"/>
      <protection/>
    </xf>
    <xf numFmtId="0" fontId="58" fillId="8" borderId="0" xfId="25" applyFont="1" applyFill="1" applyBorder="1" applyAlignment="1" applyProtection="1">
      <alignment horizontal="center"/>
      <protection/>
    </xf>
    <xf numFmtId="49" fontId="7" fillId="3" borderId="9" xfId="26" applyNumberFormat="1" applyFont="1" applyFill="1" applyBorder="1" applyAlignment="1" applyProtection="1">
      <alignment horizontal="center" vertical="center"/>
      <protection/>
    </xf>
    <xf numFmtId="49" fontId="7" fillId="3" borderId="8" xfId="26" applyNumberFormat="1" applyFont="1" applyFill="1" applyBorder="1" applyAlignment="1" applyProtection="1">
      <alignment horizontal="center" vertical="center"/>
      <protection/>
    </xf>
    <xf numFmtId="49" fontId="7" fillId="3" borderId="10" xfId="26" applyNumberFormat="1" applyFont="1" applyFill="1" applyBorder="1" applyAlignment="1" applyProtection="1">
      <alignment horizontal="center" vertical="center"/>
      <protection/>
    </xf>
    <xf numFmtId="49" fontId="7" fillId="13" borderId="9" xfId="26" applyNumberFormat="1" applyFont="1" applyFill="1" applyBorder="1" applyAlignment="1" applyProtection="1">
      <alignment horizontal="center" vertical="center"/>
      <protection locked="0"/>
    </xf>
    <xf numFmtId="49" fontId="7" fillId="13" borderId="8" xfId="26" applyNumberFormat="1" applyFont="1" applyFill="1" applyBorder="1" applyAlignment="1" applyProtection="1">
      <alignment horizontal="center" vertical="center"/>
      <protection locked="0"/>
    </xf>
    <xf numFmtId="49" fontId="7" fillId="13" borderId="10" xfId="26" applyNumberFormat="1" applyFont="1" applyFill="1" applyBorder="1" applyAlignment="1" applyProtection="1">
      <alignment horizontal="center" vertical="center"/>
      <protection locked="0"/>
    </xf>
    <xf numFmtId="0" fontId="51" fillId="0" borderId="0" xfId="20" applyFill="1" applyAlignment="1">
      <alignment/>
    </xf>
    <xf numFmtId="179" fontId="0" fillId="0" borderId="2" xfId="0" applyFill="1" applyBorder="1" applyAlignment="1" applyProtection="1">
      <alignment vertical="center"/>
      <protection locked="0"/>
    </xf>
    <xf numFmtId="179" fontId="0" fillId="2" borderId="2" xfId="0" applyBorder="1" applyAlignment="1" applyProtection="1">
      <alignment vertical="center"/>
      <protection locked="0"/>
    </xf>
    <xf numFmtId="179" fontId="0" fillId="2" borderId="14" xfId="0" applyBorder="1" applyAlignment="1" applyProtection="1">
      <alignment vertical="center"/>
      <protection locked="0"/>
    </xf>
    <xf numFmtId="179" fontId="51" fillId="2" borderId="0" xfId="20" applyFill="1" applyBorder="1" applyAlignment="1" applyProtection="1">
      <alignment horizontal="center" vertical="center" textRotation="90"/>
      <protection/>
    </xf>
    <xf numFmtId="179" fontId="51" fillId="2" borderId="0" xfId="20" applyFill="1" applyBorder="1" applyAlignment="1">
      <alignment horizontal="center" vertical="center" textRotation="90"/>
    </xf>
  </cellXfs>
  <cellStyles count="16">
    <cellStyle name="Normal" xfId="0"/>
    <cellStyle name="Comma" xfId="15"/>
    <cellStyle name="Comma [0]" xfId="16"/>
    <cellStyle name="Currency" xfId="17"/>
    <cellStyle name="Currency [0]" xfId="18"/>
    <cellStyle name="Followed Hyperlink" xfId="19"/>
    <cellStyle name="Hyperlink" xfId="20"/>
    <cellStyle name="Main 1" xfId="21"/>
    <cellStyle name="Normal_alberta" xfId="22"/>
    <cellStyle name="Normal_Book1" xfId="23"/>
    <cellStyle name="Normal_T1-Page 1 b" xfId="24"/>
    <cellStyle name="Normal_T2204a" xfId="25"/>
    <cellStyle name="Normal_T2205" xfId="26"/>
    <cellStyle name="Percent" xfId="27"/>
    <cellStyle name="protect &amp; lock" xfId="28"/>
    <cellStyle name="sch12"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9FFFF"/>
      <rgbColor rgb="00CCFFCC"/>
      <rgbColor rgb="00FFFFC8"/>
      <rgbColor rgb="0099CCFF"/>
      <rgbColor rgb="00FFEBF5"/>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52</xdr:row>
      <xdr:rowOff>28575</xdr:rowOff>
    </xdr:from>
    <xdr:to>
      <xdr:col>0</xdr:col>
      <xdr:colOff>533400</xdr:colOff>
      <xdr:row>52</xdr:row>
      <xdr:rowOff>200025</xdr:rowOff>
    </xdr:to>
    <xdr:sp>
      <xdr:nvSpPr>
        <xdr:cNvPr id="1" name="AutoShape 2"/>
        <xdr:cNvSpPr>
          <a:spLocks/>
        </xdr:cNvSpPr>
      </xdr:nvSpPr>
      <xdr:spPr>
        <a:xfrm>
          <a:off x="352425" y="11953875"/>
          <a:ext cx="180975" cy="1714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2</xdr:col>
      <xdr:colOff>695325</xdr:colOff>
      <xdr:row>2</xdr:row>
      <xdr:rowOff>47625</xdr:rowOff>
    </xdr:to>
    <xdr:pic>
      <xdr:nvPicPr>
        <xdr:cNvPr id="1" name="Picture 1"/>
        <xdr:cNvPicPr preferRelativeResize="1">
          <a:picLocks noChangeAspect="1"/>
        </xdr:cNvPicPr>
      </xdr:nvPicPr>
      <xdr:blipFill>
        <a:blip r:embed="rId1"/>
        <a:stretch>
          <a:fillRect/>
        </a:stretch>
      </xdr:blipFill>
      <xdr:spPr>
        <a:xfrm>
          <a:off x="171450" y="66675"/>
          <a:ext cx="828675" cy="3619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38100</xdr:rowOff>
    </xdr:from>
    <xdr:to>
      <xdr:col>2</xdr:col>
      <xdr:colOff>409575</xdr:colOff>
      <xdr:row>1</xdr:row>
      <xdr:rowOff>85725</xdr:rowOff>
    </xdr:to>
    <xdr:pic>
      <xdr:nvPicPr>
        <xdr:cNvPr id="1" name="Picture 5"/>
        <xdr:cNvPicPr preferRelativeResize="1">
          <a:picLocks noChangeAspect="1"/>
        </xdr:cNvPicPr>
      </xdr:nvPicPr>
      <xdr:blipFill>
        <a:blip r:embed="rId1"/>
        <a:stretch>
          <a:fillRect/>
        </a:stretch>
      </xdr:blipFill>
      <xdr:spPr>
        <a:xfrm>
          <a:off x="133350" y="38100"/>
          <a:ext cx="542925" cy="2381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28575</xdr:rowOff>
    </xdr:from>
    <xdr:to>
      <xdr:col>1</xdr:col>
      <xdr:colOff>2724150</xdr:colOff>
      <xdr:row>2</xdr:row>
      <xdr:rowOff>19050</xdr:rowOff>
    </xdr:to>
    <xdr:pic>
      <xdr:nvPicPr>
        <xdr:cNvPr id="1" name="Picture 8"/>
        <xdr:cNvPicPr preferRelativeResize="1">
          <a:picLocks noChangeAspect="1"/>
        </xdr:cNvPicPr>
      </xdr:nvPicPr>
      <xdr:blipFill>
        <a:blip r:embed="rId1"/>
        <a:stretch>
          <a:fillRect/>
        </a:stretch>
      </xdr:blipFill>
      <xdr:spPr>
        <a:xfrm>
          <a:off x="152400" y="190500"/>
          <a:ext cx="2724150" cy="1905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2</xdr:col>
      <xdr:colOff>542925</xdr:colOff>
      <xdr:row>1</xdr:row>
      <xdr:rowOff>190500</xdr:rowOff>
    </xdr:to>
    <xdr:pic>
      <xdr:nvPicPr>
        <xdr:cNvPr id="1" name="Picture 1"/>
        <xdr:cNvPicPr preferRelativeResize="1">
          <a:picLocks noChangeAspect="1"/>
        </xdr:cNvPicPr>
      </xdr:nvPicPr>
      <xdr:blipFill>
        <a:blip r:embed="rId1"/>
        <a:stretch>
          <a:fillRect/>
        </a:stretch>
      </xdr:blipFill>
      <xdr:spPr>
        <a:xfrm>
          <a:off x="104775" y="190500"/>
          <a:ext cx="2724150" cy="190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2</xdr:col>
      <xdr:colOff>714375</xdr:colOff>
      <xdr:row>3</xdr:row>
      <xdr:rowOff>200025</xdr:rowOff>
    </xdr:to>
    <xdr:pic>
      <xdr:nvPicPr>
        <xdr:cNvPr id="1" name="Picture 1"/>
        <xdr:cNvPicPr preferRelativeResize="1">
          <a:picLocks noChangeAspect="1"/>
        </xdr:cNvPicPr>
      </xdr:nvPicPr>
      <xdr:blipFill>
        <a:blip r:embed="rId1"/>
        <a:stretch>
          <a:fillRect/>
        </a:stretch>
      </xdr:blipFill>
      <xdr:spPr>
        <a:xfrm>
          <a:off x="152400" y="161925"/>
          <a:ext cx="828675" cy="361950"/>
        </a:xfrm>
        <a:prstGeom prst="rect">
          <a:avLst/>
        </a:prstGeom>
        <a:noFill/>
        <a:ln w="9525" cmpd="sng">
          <a:noFill/>
        </a:ln>
      </xdr:spPr>
    </xdr:pic>
    <xdr:clientData/>
  </xdr:twoCellAnchor>
  <xdr:twoCellAnchor editAs="oneCell">
    <xdr:from>
      <xdr:col>2</xdr:col>
      <xdr:colOff>0</xdr:colOff>
      <xdr:row>43</xdr:row>
      <xdr:rowOff>9525</xdr:rowOff>
    </xdr:from>
    <xdr:to>
      <xdr:col>2</xdr:col>
      <xdr:colOff>533400</xdr:colOff>
      <xdr:row>44</xdr:row>
      <xdr:rowOff>209550</xdr:rowOff>
    </xdr:to>
    <xdr:pic>
      <xdr:nvPicPr>
        <xdr:cNvPr id="2" name="Picture 23"/>
        <xdr:cNvPicPr preferRelativeResize="1">
          <a:picLocks noChangeAspect="1"/>
        </xdr:cNvPicPr>
      </xdr:nvPicPr>
      <xdr:blipFill>
        <a:blip r:embed="rId2"/>
        <a:stretch>
          <a:fillRect/>
        </a:stretch>
      </xdr:blipFill>
      <xdr:spPr>
        <a:xfrm>
          <a:off x="266700" y="8524875"/>
          <a:ext cx="53340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44</xdr:row>
      <xdr:rowOff>266700</xdr:rowOff>
    </xdr:from>
    <xdr:to>
      <xdr:col>1</xdr:col>
      <xdr:colOff>561975</xdr:colOff>
      <xdr:row>54</xdr:row>
      <xdr:rowOff>38100</xdr:rowOff>
    </xdr:to>
    <xdr:sp>
      <xdr:nvSpPr>
        <xdr:cNvPr id="1" name="AutoShape 9"/>
        <xdr:cNvSpPr>
          <a:spLocks/>
        </xdr:cNvSpPr>
      </xdr:nvSpPr>
      <xdr:spPr>
        <a:xfrm rot="20105712">
          <a:off x="276225" y="11887200"/>
          <a:ext cx="438150" cy="561975"/>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2</xdr:col>
      <xdr:colOff>390525</xdr:colOff>
      <xdr:row>134</xdr:row>
      <xdr:rowOff>95250</xdr:rowOff>
    </xdr:from>
    <xdr:to>
      <xdr:col>10</xdr:col>
      <xdr:colOff>457200</xdr:colOff>
      <xdr:row>134</xdr:row>
      <xdr:rowOff>95250</xdr:rowOff>
    </xdr:to>
    <xdr:sp>
      <xdr:nvSpPr>
        <xdr:cNvPr id="2" name="Line 11"/>
        <xdr:cNvSpPr>
          <a:spLocks/>
        </xdr:cNvSpPr>
      </xdr:nvSpPr>
      <xdr:spPr>
        <a:xfrm>
          <a:off x="3324225" y="29308425"/>
          <a:ext cx="5295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4</xdr:col>
      <xdr:colOff>981075</xdr:colOff>
      <xdr:row>133</xdr:row>
      <xdr:rowOff>104775</xdr:rowOff>
    </xdr:from>
    <xdr:to>
      <xdr:col>5</xdr:col>
      <xdr:colOff>381000</xdr:colOff>
      <xdr:row>133</xdr:row>
      <xdr:rowOff>104775</xdr:rowOff>
    </xdr:to>
    <xdr:sp>
      <xdr:nvSpPr>
        <xdr:cNvPr id="3" name="Line 14"/>
        <xdr:cNvSpPr>
          <a:spLocks/>
        </xdr:cNvSpPr>
      </xdr:nvSpPr>
      <xdr:spPr>
        <a:xfrm flipH="1">
          <a:off x="4905375" y="291274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4</xdr:col>
      <xdr:colOff>981075</xdr:colOff>
      <xdr:row>133</xdr:row>
      <xdr:rowOff>104775</xdr:rowOff>
    </xdr:from>
    <xdr:to>
      <xdr:col>4</xdr:col>
      <xdr:colOff>981075</xdr:colOff>
      <xdr:row>134</xdr:row>
      <xdr:rowOff>104775</xdr:rowOff>
    </xdr:to>
    <xdr:sp>
      <xdr:nvSpPr>
        <xdr:cNvPr id="4" name="Line 15"/>
        <xdr:cNvSpPr>
          <a:spLocks/>
        </xdr:cNvSpPr>
      </xdr:nvSpPr>
      <xdr:spPr>
        <a:xfrm>
          <a:off x="4905375" y="29127450"/>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2428875</xdr:colOff>
      <xdr:row>154</xdr:row>
      <xdr:rowOff>0</xdr:rowOff>
    </xdr:from>
    <xdr:to>
      <xdr:col>11</xdr:col>
      <xdr:colOff>66675</xdr:colOff>
      <xdr:row>154</xdr:row>
      <xdr:rowOff>0</xdr:rowOff>
    </xdr:to>
    <xdr:sp>
      <xdr:nvSpPr>
        <xdr:cNvPr id="5" name="Line 16"/>
        <xdr:cNvSpPr>
          <a:spLocks/>
        </xdr:cNvSpPr>
      </xdr:nvSpPr>
      <xdr:spPr>
        <a:xfrm>
          <a:off x="2581275" y="33166050"/>
          <a:ext cx="6572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2438400</xdr:colOff>
      <xdr:row>141</xdr:row>
      <xdr:rowOff>0</xdr:rowOff>
    </xdr:from>
    <xdr:to>
      <xdr:col>1</xdr:col>
      <xdr:colOff>2438400</xdr:colOff>
      <xdr:row>154</xdr:row>
      <xdr:rowOff>0</xdr:rowOff>
    </xdr:to>
    <xdr:sp>
      <xdr:nvSpPr>
        <xdr:cNvPr id="6" name="Line 17"/>
        <xdr:cNvSpPr>
          <a:spLocks/>
        </xdr:cNvSpPr>
      </xdr:nvSpPr>
      <xdr:spPr>
        <a:xfrm flipV="1">
          <a:off x="2590800" y="30422850"/>
          <a:ext cx="0" cy="2743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11</xdr:col>
      <xdr:colOff>66675</xdr:colOff>
      <xdr:row>141</xdr:row>
      <xdr:rowOff>0</xdr:rowOff>
    </xdr:from>
    <xdr:to>
      <xdr:col>11</xdr:col>
      <xdr:colOff>66675</xdr:colOff>
      <xdr:row>154</xdr:row>
      <xdr:rowOff>0</xdr:rowOff>
    </xdr:to>
    <xdr:sp>
      <xdr:nvSpPr>
        <xdr:cNvPr id="7" name="Line 18"/>
        <xdr:cNvSpPr>
          <a:spLocks/>
        </xdr:cNvSpPr>
      </xdr:nvSpPr>
      <xdr:spPr>
        <a:xfrm flipV="1">
          <a:off x="9153525" y="30422850"/>
          <a:ext cx="0" cy="2743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2447925</xdr:colOff>
      <xdr:row>141</xdr:row>
      <xdr:rowOff>0</xdr:rowOff>
    </xdr:from>
    <xdr:to>
      <xdr:col>11</xdr:col>
      <xdr:colOff>47625</xdr:colOff>
      <xdr:row>141</xdr:row>
      <xdr:rowOff>0</xdr:rowOff>
    </xdr:to>
    <xdr:sp>
      <xdr:nvSpPr>
        <xdr:cNvPr id="8" name="Line 19"/>
        <xdr:cNvSpPr>
          <a:spLocks/>
        </xdr:cNvSpPr>
      </xdr:nvSpPr>
      <xdr:spPr>
        <a:xfrm>
          <a:off x="2600325" y="30422850"/>
          <a:ext cx="6534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2324100</xdr:colOff>
      <xdr:row>168</xdr:row>
      <xdr:rowOff>123825</xdr:rowOff>
    </xdr:from>
    <xdr:to>
      <xdr:col>1</xdr:col>
      <xdr:colOff>2600325</xdr:colOff>
      <xdr:row>169</xdr:row>
      <xdr:rowOff>76200</xdr:rowOff>
    </xdr:to>
    <xdr:sp>
      <xdr:nvSpPr>
        <xdr:cNvPr id="9" name="Rectangle 54"/>
        <xdr:cNvSpPr>
          <a:spLocks/>
        </xdr:cNvSpPr>
      </xdr:nvSpPr>
      <xdr:spPr>
        <a:xfrm>
          <a:off x="2476500" y="35061525"/>
          <a:ext cx="2762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1123950</xdr:colOff>
      <xdr:row>168</xdr:row>
      <xdr:rowOff>0</xdr:rowOff>
    </xdr:from>
    <xdr:to>
      <xdr:col>1</xdr:col>
      <xdr:colOff>1123950</xdr:colOff>
      <xdr:row>171</xdr:row>
      <xdr:rowOff>9525</xdr:rowOff>
    </xdr:to>
    <xdr:sp>
      <xdr:nvSpPr>
        <xdr:cNvPr id="10" name="Line 71"/>
        <xdr:cNvSpPr>
          <a:spLocks/>
        </xdr:cNvSpPr>
      </xdr:nvSpPr>
      <xdr:spPr>
        <a:xfrm>
          <a:off x="1276350" y="34937700"/>
          <a:ext cx="0" cy="5143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6</xdr:col>
      <xdr:colOff>542925</xdr:colOff>
      <xdr:row>168</xdr:row>
      <xdr:rowOff>9525</xdr:rowOff>
    </xdr:from>
    <xdr:to>
      <xdr:col>6</xdr:col>
      <xdr:colOff>542925</xdr:colOff>
      <xdr:row>170</xdr:row>
      <xdr:rowOff>9525</xdr:rowOff>
    </xdr:to>
    <xdr:sp>
      <xdr:nvSpPr>
        <xdr:cNvPr id="11" name="Line 76"/>
        <xdr:cNvSpPr>
          <a:spLocks/>
        </xdr:cNvSpPr>
      </xdr:nvSpPr>
      <xdr:spPr>
        <a:xfrm>
          <a:off x="5867400" y="34947225"/>
          <a:ext cx="0" cy="447675"/>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2</xdr:col>
      <xdr:colOff>390525</xdr:colOff>
      <xdr:row>134</xdr:row>
      <xdr:rowOff>95250</xdr:rowOff>
    </xdr:from>
    <xdr:to>
      <xdr:col>2</xdr:col>
      <xdr:colOff>390525</xdr:colOff>
      <xdr:row>136</xdr:row>
      <xdr:rowOff>0</xdr:rowOff>
    </xdr:to>
    <xdr:sp>
      <xdr:nvSpPr>
        <xdr:cNvPr id="12" name="Line 85"/>
        <xdr:cNvSpPr>
          <a:spLocks/>
        </xdr:cNvSpPr>
      </xdr:nvSpPr>
      <xdr:spPr>
        <a:xfrm>
          <a:off x="3324225" y="29308425"/>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10</xdr:col>
      <xdr:colOff>457200</xdr:colOff>
      <xdr:row>134</xdr:row>
      <xdr:rowOff>95250</xdr:rowOff>
    </xdr:from>
    <xdr:to>
      <xdr:col>10</xdr:col>
      <xdr:colOff>457200</xdr:colOff>
      <xdr:row>136</xdr:row>
      <xdr:rowOff>9525</xdr:rowOff>
    </xdr:to>
    <xdr:sp>
      <xdr:nvSpPr>
        <xdr:cNvPr id="13" name="Line 86"/>
        <xdr:cNvSpPr>
          <a:spLocks/>
        </xdr:cNvSpPr>
      </xdr:nvSpPr>
      <xdr:spPr>
        <a:xfrm>
          <a:off x="8620125" y="29308425"/>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10</xdr:col>
      <xdr:colOff>114300</xdr:colOff>
      <xdr:row>168</xdr:row>
      <xdr:rowOff>9525</xdr:rowOff>
    </xdr:from>
    <xdr:to>
      <xdr:col>10</xdr:col>
      <xdr:colOff>114300</xdr:colOff>
      <xdr:row>170</xdr:row>
      <xdr:rowOff>9525</xdr:rowOff>
    </xdr:to>
    <xdr:sp>
      <xdr:nvSpPr>
        <xdr:cNvPr id="14" name="Line 95"/>
        <xdr:cNvSpPr>
          <a:spLocks/>
        </xdr:cNvSpPr>
      </xdr:nvSpPr>
      <xdr:spPr>
        <a:xfrm>
          <a:off x="8277225" y="34947225"/>
          <a:ext cx="0" cy="447675"/>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twoCellAnchor>
    <xdr:from>
      <xdr:col>1</xdr:col>
      <xdr:colOff>1190625</xdr:colOff>
      <xdr:row>168</xdr:row>
      <xdr:rowOff>114300</xdr:rowOff>
    </xdr:from>
    <xdr:to>
      <xdr:col>1</xdr:col>
      <xdr:colOff>1533525</xdr:colOff>
      <xdr:row>169</xdr:row>
      <xdr:rowOff>123825</xdr:rowOff>
    </xdr:to>
    <xdr:sp>
      <xdr:nvSpPr>
        <xdr:cNvPr id="15" name="TextBox 99"/>
        <xdr:cNvSpPr txBox="1">
          <a:spLocks noChangeArrowheads="1"/>
        </xdr:cNvSpPr>
      </xdr:nvSpPr>
      <xdr:spPr>
        <a:xfrm>
          <a:off x="1343025" y="35052000"/>
          <a:ext cx="342900" cy="266700"/>
        </a:xfrm>
        <a:prstGeom prst="rect">
          <a:avLst/>
        </a:prstGeom>
        <a:solidFill>
          <a:srgbClr val="FFFFFF"/>
        </a:solidFill>
        <a:ln w="9525" cmpd="sng">
          <a:noFill/>
        </a:ln>
      </xdr:spPr>
      <xdr:txBody>
        <a:bodyPr vertOverflow="clip" wrap="square" anchor="ctr"/>
        <a:p>
          <a:pPr algn="ctr">
            <a:defRPr/>
          </a:pPr>
          <a:r>
            <a:rPr lang="en-US" cap="none" sz="1200" b="1" i="0" u="none" baseline="0">
              <a:latin typeface="Arial MT"/>
              <a:ea typeface="Arial MT"/>
              <a:cs typeface="Arial MT"/>
            </a:rPr>
            <a:t>487</a:t>
          </a:r>
        </a:p>
      </xdr:txBody>
    </xdr:sp>
    <xdr:clientData/>
  </xdr:twoCellAnchor>
  <xdr:twoCellAnchor>
    <xdr:from>
      <xdr:col>1</xdr:col>
      <xdr:colOff>1981200</xdr:colOff>
      <xdr:row>168</xdr:row>
      <xdr:rowOff>114300</xdr:rowOff>
    </xdr:from>
    <xdr:to>
      <xdr:col>1</xdr:col>
      <xdr:colOff>2324100</xdr:colOff>
      <xdr:row>169</xdr:row>
      <xdr:rowOff>123825</xdr:rowOff>
    </xdr:to>
    <xdr:sp>
      <xdr:nvSpPr>
        <xdr:cNvPr id="16" name="TextBox 100"/>
        <xdr:cNvSpPr txBox="1">
          <a:spLocks noChangeArrowheads="1"/>
        </xdr:cNvSpPr>
      </xdr:nvSpPr>
      <xdr:spPr>
        <a:xfrm>
          <a:off x="2133600" y="35052000"/>
          <a:ext cx="342900" cy="266700"/>
        </a:xfrm>
        <a:prstGeom prst="rect">
          <a:avLst/>
        </a:prstGeom>
        <a:solidFill>
          <a:srgbClr val="FFFFFF"/>
        </a:solidFill>
        <a:ln w="9525" cmpd="sng">
          <a:noFill/>
        </a:ln>
      </xdr:spPr>
      <xdr:txBody>
        <a:bodyPr vertOverflow="clip" wrap="square" anchor="ctr"/>
        <a:p>
          <a:pPr algn="ctr">
            <a:defRPr/>
          </a:pPr>
          <a:r>
            <a:rPr lang="en-US" cap="none" sz="1200" b="1" i="0" u="none" baseline="0">
              <a:latin typeface="Arial MT"/>
              <a:ea typeface="Arial MT"/>
              <a:cs typeface="Arial MT"/>
            </a:rPr>
            <a:t>488
</a:t>
          </a:r>
        </a:p>
      </xdr:txBody>
    </xdr:sp>
    <xdr:clientData/>
  </xdr:twoCellAnchor>
  <xdr:twoCellAnchor>
    <xdr:from>
      <xdr:col>1</xdr:col>
      <xdr:colOff>1562100</xdr:colOff>
      <xdr:row>168</xdr:row>
      <xdr:rowOff>123825</xdr:rowOff>
    </xdr:from>
    <xdr:to>
      <xdr:col>1</xdr:col>
      <xdr:colOff>1838325</xdr:colOff>
      <xdr:row>169</xdr:row>
      <xdr:rowOff>76200</xdr:rowOff>
    </xdr:to>
    <xdr:sp>
      <xdr:nvSpPr>
        <xdr:cNvPr id="17" name="Rectangle 101"/>
        <xdr:cNvSpPr>
          <a:spLocks/>
        </xdr:cNvSpPr>
      </xdr:nvSpPr>
      <xdr:spPr>
        <a:xfrm>
          <a:off x="1714500" y="35061525"/>
          <a:ext cx="2762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MT"/>
              <a:ea typeface="Arial MT"/>
              <a:cs typeface="Arial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1</xdr:row>
      <xdr:rowOff>38100</xdr:rowOff>
    </xdr:from>
    <xdr:to>
      <xdr:col>0</xdr:col>
      <xdr:colOff>1752600</xdr:colOff>
      <xdr:row>3</xdr:row>
      <xdr:rowOff>85725</xdr:rowOff>
    </xdr:to>
    <xdr:pic>
      <xdr:nvPicPr>
        <xdr:cNvPr id="1" name="Picture 6"/>
        <xdr:cNvPicPr preferRelativeResize="1">
          <a:picLocks noChangeAspect="1"/>
        </xdr:cNvPicPr>
      </xdr:nvPicPr>
      <xdr:blipFill>
        <a:blip r:embed="rId1"/>
        <a:stretch>
          <a:fillRect/>
        </a:stretch>
      </xdr:blipFill>
      <xdr:spPr>
        <a:xfrm>
          <a:off x="200025" y="228600"/>
          <a:ext cx="1552575"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76200</xdr:rowOff>
    </xdr:from>
    <xdr:to>
      <xdr:col>1</xdr:col>
      <xdr:colOff>1666875</xdr:colOff>
      <xdr:row>2</xdr:row>
      <xdr:rowOff>38100</xdr:rowOff>
    </xdr:to>
    <xdr:pic>
      <xdr:nvPicPr>
        <xdr:cNvPr id="1" name="Picture 6"/>
        <xdr:cNvPicPr preferRelativeResize="1">
          <a:picLocks noChangeAspect="1"/>
        </xdr:cNvPicPr>
      </xdr:nvPicPr>
      <xdr:blipFill>
        <a:blip r:embed="rId1"/>
        <a:stretch>
          <a:fillRect/>
        </a:stretch>
      </xdr:blipFill>
      <xdr:spPr>
        <a:xfrm>
          <a:off x="247650" y="76200"/>
          <a:ext cx="1552575" cy="552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0</xdr:row>
      <xdr:rowOff>114300</xdr:rowOff>
    </xdr:from>
    <xdr:to>
      <xdr:col>1</xdr:col>
      <xdr:colOff>1704975</xdr:colOff>
      <xdr:row>2</xdr:row>
      <xdr:rowOff>152400</xdr:rowOff>
    </xdr:to>
    <xdr:pic>
      <xdr:nvPicPr>
        <xdr:cNvPr id="1" name="Picture 6"/>
        <xdr:cNvPicPr preferRelativeResize="1">
          <a:picLocks noChangeAspect="1"/>
        </xdr:cNvPicPr>
      </xdr:nvPicPr>
      <xdr:blipFill>
        <a:blip r:embed="rId1"/>
        <a:stretch>
          <a:fillRect/>
        </a:stretch>
      </xdr:blipFill>
      <xdr:spPr>
        <a:xfrm>
          <a:off x="371475" y="114300"/>
          <a:ext cx="1552575" cy="552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1</xdr:row>
      <xdr:rowOff>28575</xdr:rowOff>
    </xdr:from>
    <xdr:to>
      <xdr:col>2</xdr:col>
      <xdr:colOff>714375</xdr:colOff>
      <xdr:row>3</xdr:row>
      <xdr:rowOff>28575</xdr:rowOff>
    </xdr:to>
    <xdr:pic>
      <xdr:nvPicPr>
        <xdr:cNvPr id="1" name="Picture 5"/>
        <xdr:cNvPicPr preferRelativeResize="1">
          <a:picLocks noChangeAspect="1"/>
        </xdr:cNvPicPr>
      </xdr:nvPicPr>
      <xdr:blipFill>
        <a:blip r:embed="rId1"/>
        <a:stretch>
          <a:fillRect/>
        </a:stretch>
      </xdr:blipFill>
      <xdr:spPr>
        <a:xfrm>
          <a:off x="285750" y="219075"/>
          <a:ext cx="1552575"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1</xdr:row>
      <xdr:rowOff>0</xdr:rowOff>
    </xdr:from>
    <xdr:to>
      <xdr:col>0</xdr:col>
      <xdr:colOff>1733550</xdr:colOff>
      <xdr:row>3</xdr:row>
      <xdr:rowOff>104775</xdr:rowOff>
    </xdr:to>
    <xdr:pic>
      <xdr:nvPicPr>
        <xdr:cNvPr id="1" name="Picture 7"/>
        <xdr:cNvPicPr preferRelativeResize="1">
          <a:picLocks noChangeAspect="1"/>
        </xdr:cNvPicPr>
      </xdr:nvPicPr>
      <xdr:blipFill>
        <a:blip r:embed="rId1"/>
        <a:stretch>
          <a:fillRect/>
        </a:stretch>
      </xdr:blipFill>
      <xdr:spPr>
        <a:xfrm>
          <a:off x="180975" y="114300"/>
          <a:ext cx="1552575" cy="552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66675</xdr:rowOff>
    </xdr:from>
    <xdr:to>
      <xdr:col>2</xdr:col>
      <xdr:colOff>600075</xdr:colOff>
      <xdr:row>2</xdr:row>
      <xdr:rowOff>38100</xdr:rowOff>
    </xdr:to>
    <xdr:pic>
      <xdr:nvPicPr>
        <xdr:cNvPr id="1" name="Picture 1"/>
        <xdr:cNvPicPr preferRelativeResize="1">
          <a:picLocks noChangeAspect="1"/>
        </xdr:cNvPicPr>
      </xdr:nvPicPr>
      <xdr:blipFill>
        <a:blip r:embed="rId1"/>
        <a:stretch>
          <a:fillRect/>
        </a:stretch>
      </xdr:blipFill>
      <xdr:spPr>
        <a:xfrm>
          <a:off x="342900" y="66675"/>
          <a:ext cx="96202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9.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0.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ra-arc.gc.ca/E/pub/tg/5000-g/5000-g-03-07e.html#line213" TargetMode="External" /><Relationship Id="rId2" Type="http://schemas.openxmlformats.org/officeDocument/2006/relationships/hyperlink" Target="http://www.cra-arc.gc.ca/E/pub/tg/5000-g/5000-g-04-07e.html#P1111_145996" TargetMode="External" /><Relationship Id="rId3" Type="http://schemas.openxmlformats.org/officeDocument/2006/relationships/hyperlink" Target="http://www.cra-arc.gc.ca/E/pub/tg/5000-g/5000-g-04-07e.html#line363" TargetMode="External" /><Relationship Id="rId4" Type="http://schemas.openxmlformats.org/officeDocument/2006/relationships/hyperlink" Target="http://www.cra-arc.gc.ca/E/pub/tg/5000-g/5000-g-04-07e.html#line365" TargetMode="External" /><Relationship Id="rId5" Type="http://schemas.openxmlformats.org/officeDocument/2006/relationships/hyperlink" Target="http://www.cra-arc.gc.ca/E/pub/tg/5000-g/5000-g-01-07e.html#elections" TargetMode="External" /><Relationship Id="rId6" Type="http://schemas.openxmlformats.org/officeDocument/2006/relationships/hyperlink" Target="http://www.cra-arc.gc.ca/E/pub/tg/5000-g/5000-g-01-07e.html#P412_41476" TargetMode="External" /><Relationship Id="rId7" Type="http://schemas.openxmlformats.org/officeDocument/2006/relationships/hyperlink" Target="http://www.cra-arc.gc.ca/E/pub/tg/5000-g/5000-g-02-07e.html#P596_66852" TargetMode="External" /><Relationship Id="rId8" Type="http://schemas.openxmlformats.org/officeDocument/2006/relationships/hyperlink" Target="http://www.cra-arc.gc.ca/E/pub/tg/5000-g/5000-g-02-07e.html#line116" TargetMode="External" /><Relationship Id="rId9" Type="http://schemas.openxmlformats.org/officeDocument/2006/relationships/hyperlink" Target="http://www.cra-arc.gc.ca/E/pub/tg/5000-g/5000-g-02-07e.html#P705_82823" TargetMode="External" /><Relationship Id="rId10" Type="http://schemas.openxmlformats.org/officeDocument/2006/relationships/hyperlink" Target="http://www.cra-arc.gc.ca/E/pub/tg/5000-g/5000-g-03-07e.html#line210" TargetMode="External" /><Relationship Id="rId11" Type="http://schemas.openxmlformats.org/officeDocument/2006/relationships/hyperlink" Target="http://www.cra-arc.gc.ca/E/pub/tg/5000-g/5000-g-02-07e.html#P687_78801" TargetMode="External" /><Relationship Id="rId12" Type="http://schemas.openxmlformats.org/officeDocument/2006/relationships/hyperlink" Target="http://www.cra-arc.gc.ca/E/pub/tg/5000-g/5000-g-02-07e.html#P726_85923" TargetMode="External" /><Relationship Id="rId13" Type="http://schemas.openxmlformats.org/officeDocument/2006/relationships/hyperlink" Target="http://www.cra-arc.gc.ca/E/pub/tg/5000-g/5000-g-02-07e.html#P726_85923" TargetMode="External" /><Relationship Id="rId14" Type="http://schemas.openxmlformats.org/officeDocument/2006/relationships/hyperlink" Target="http://www.cra-arc.gc.ca/E/pub/tg/5000-g/5000-g-02-07e.html#P757_89923" TargetMode="External" /><Relationship Id="rId15" Type="http://schemas.openxmlformats.org/officeDocument/2006/relationships/hyperlink" Target="http://www.cra-arc.gc.ca/E/pub/tg/t4040/README.html" TargetMode="External" /><Relationship Id="rId16" Type="http://schemas.openxmlformats.org/officeDocument/2006/relationships/hyperlink" Target="http://www.cra-arc.gc.ca/E/pub/tg/5000-g/5000-g-03-07e.html#P944_121136" TargetMode="External" /><Relationship Id="rId17" Type="http://schemas.openxmlformats.org/officeDocument/2006/relationships/hyperlink" Target="http://www.cra-arc.gc.ca/E/pub/tg/5000-g/5000-g-03-07e.html#P952_122406" TargetMode="External" /><Relationship Id="rId18" Type="http://schemas.openxmlformats.org/officeDocument/2006/relationships/hyperlink" Target="http://www.cra-arc.gc.ca/E/pub/tg/5000-g/5000-g-03-07e.html#P1016_133209" TargetMode="External" /><Relationship Id="rId19" Type="http://schemas.openxmlformats.org/officeDocument/2006/relationships/hyperlink" Target="http://www.cra-arc.gc.ca/E/pub/tg/5000-g/5000-g-03-07e.html#P1033_136220" TargetMode="External" /><Relationship Id="rId20" Type="http://schemas.openxmlformats.org/officeDocument/2006/relationships/hyperlink" Target="http://www.cra-arc.gc.ca/E/pub/tg/5000-g/5000-g-03-07e.html#P1035_136467" TargetMode="External" /><Relationship Id="rId21" Type="http://schemas.openxmlformats.org/officeDocument/2006/relationships/hyperlink" Target="http://www.cra-arc.gc.ca/E/pub/tg/5000-g/5000-g-04-07e.html#P1089_142667" TargetMode="External" /><Relationship Id="rId22" Type="http://schemas.openxmlformats.org/officeDocument/2006/relationships/hyperlink" Target="http://www.cra-arc.gc.ca/E/pub/tg/5000-g/5000-g-04-07e.html#P1099_143345" TargetMode="External" /><Relationship Id="rId23" Type="http://schemas.openxmlformats.org/officeDocument/2006/relationships/hyperlink" Target="http://www.cra-arc.gc.ca/E/pub/tg/5000-g/5000-g-04-07e.html#line367" TargetMode="External" /><Relationship Id="rId24" Type="http://schemas.openxmlformats.org/officeDocument/2006/relationships/hyperlink" Target="http://www.cra-arc.gc.ca/E/pub/tg/5000-g/5000-g-04-07e.html#P1320_180242" TargetMode="External" /><Relationship Id="rId25" Type="http://schemas.openxmlformats.org/officeDocument/2006/relationships/hyperlink" Target="http://www.cra-arc.gc.ca/E/pub/tg/5000-g/5000-g-04-07e.html#line364" TargetMode="External" /><Relationship Id="rId26" Type="http://schemas.openxmlformats.org/officeDocument/2006/relationships/hyperlink" Target="http://www.cra-arc.gc.ca/E/pub/tg/5000-g/5000-g-06-07e.html#line453" TargetMode="External" /><Relationship Id="rId27" Type="http://schemas.openxmlformats.org/officeDocument/2006/relationships/hyperlink" Target="http://www.cra-arc.gc.ca/E/pbg/tf/5000-s1/5000-s1-07e.pdf" TargetMode="External" /><Relationship Id="rId28" Type="http://schemas.openxmlformats.org/officeDocument/2006/relationships/hyperlink" Target="http://www.cra-arc.gc.ca/tax/individuals/topics/income-tax/return/completing/deductions/lines206-236/214/menu-e.html" TargetMode="External" /><Relationship Id="rId29" Type="http://schemas.openxmlformats.org/officeDocument/2006/relationships/hyperlink" Target="http://www.cra-arc.gc.ca/E/pbg/tf/t778/t778-07e.pdf" TargetMode="External" /><Relationship Id="rId30" Type="http://schemas.openxmlformats.org/officeDocument/2006/relationships/hyperlink" Target="http://www.cra-arc.gc.ca/E/pub/tg/5000-g/5000-g-05-07e.html#P1487_200786" TargetMode="External" /><Relationship Id="rId3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1.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2.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3.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4.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5.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6.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17.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ra-arc.gc.ca/E/pub/tg/5000-g/5000-g-07e.html" TargetMode="Externa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18.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19.v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20.vml" /><Relationship Id="rId3"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21.vml" /><Relationship Id="rId3" Type="http://schemas.openxmlformats.org/officeDocument/2006/relationships/drawing" Target="../drawings/drawing9.xml" /><Relationship Id="rId4"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22.vml" /><Relationship Id="rId3" Type="http://schemas.openxmlformats.org/officeDocument/2006/relationships/drawing" Target="../drawings/drawing10.xml" /><Relationship Id="rId4"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23.vml" /><Relationship Id="rId3" Type="http://schemas.openxmlformats.org/officeDocument/2006/relationships/drawing" Target="../drawings/drawing12.xml" /><Relationship Id="rId4"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comments" Target="../comments39.xml" /><Relationship Id="rId2" Type="http://schemas.openxmlformats.org/officeDocument/2006/relationships/vmlDrawing" Target="../drawings/vmlDrawing24.vml" /><Relationship Id="rId3" Type="http://schemas.openxmlformats.org/officeDocument/2006/relationships/drawing" Target="../drawings/drawing13.xml" /><Relationship Id="rId4"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ra-arc.gc.ca/E/pbg/tf/t1-m/README.html" TargetMode="External" /><Relationship Id="rId2" Type="http://schemas.openxmlformats.org/officeDocument/2006/relationships/hyperlink" Target="http://www.cra-arc.gc.ca/menu/AFAF_T-e.html" TargetMode="External" /><Relationship Id="rId3" Type="http://schemas.openxmlformats.org/officeDocument/2006/relationships/hyperlink" Target="http://www.cra-arc.gc.ca/E/pbg/tf/cpt20/README.html" TargetMode="External" /><Relationship Id="rId4" Type="http://schemas.openxmlformats.org/officeDocument/2006/relationships/hyperlink" Target="http://www.cra-arc.gc.ca/E/pbg/tf/t1-adj/README.html" TargetMode="External" /><Relationship Id="rId5" Type="http://schemas.openxmlformats.org/officeDocument/2006/relationships/hyperlink" Target="http://www.cra-arc.gc.ca/E/pbg/tf/t626/README.html" TargetMode="External" /><Relationship Id="rId6" Type="http://schemas.openxmlformats.org/officeDocument/2006/relationships/hyperlink" Target="http://www.cra-arc.gc.ca/E/pbg/tf/t657/README.html" TargetMode="External" /><Relationship Id="rId7" Type="http://schemas.openxmlformats.org/officeDocument/2006/relationships/hyperlink" Target="http://www.cra-arc.gc.ca/E/pbg/tf/t776/README.html" TargetMode="External" /><Relationship Id="rId8" Type="http://schemas.openxmlformats.org/officeDocument/2006/relationships/hyperlink" Target="http://www.cra-arc.gc.ca/E/pbg/tf/t777/README.html" TargetMode="External" /><Relationship Id="rId9" Type="http://schemas.openxmlformats.org/officeDocument/2006/relationships/hyperlink" Target="http://www.cra-arc.gc.ca/E/pbg/tf/t1139/README.html" TargetMode="External" /><Relationship Id="rId10" Type="http://schemas.openxmlformats.org/officeDocument/2006/relationships/hyperlink" Target="http://www.cra-arc.gc.ca/E/pbg/tf/t1172/README.html" TargetMode="External" /><Relationship Id="rId11" Type="http://schemas.openxmlformats.org/officeDocument/2006/relationships/hyperlink" Target="http://www.cra-arc.gc.ca/E/pbg/tf/t1206/README.html" TargetMode="External" /><Relationship Id="rId12" Type="http://schemas.openxmlformats.org/officeDocument/2006/relationships/hyperlink" Target="http://www.cra-arc.gc.ca/E/pbg/tf/t2032/README.html" TargetMode="External" /><Relationship Id="rId13" Type="http://schemas.openxmlformats.org/officeDocument/2006/relationships/hyperlink" Target="http://www.cra-arc.gc.ca/E/pbg/tf/t2036/README.html" TargetMode="External" /><Relationship Id="rId14" Type="http://schemas.openxmlformats.org/officeDocument/2006/relationships/hyperlink" Target="http://www.cra-arc.gc.ca/E/pbg/tf/t2038_ind/README.html" TargetMode="External" /><Relationship Id="rId15" Type="http://schemas.openxmlformats.org/officeDocument/2006/relationships/hyperlink" Target="http://www.cra-arc.gc.ca/E/pbg/tf/t2124/README.html" TargetMode="External" /><Relationship Id="rId16" Type="http://schemas.openxmlformats.org/officeDocument/2006/relationships/hyperlink" Target="http://www.cra-arc.gc.ca/E/pbg/tf/t2222/README.html" TargetMode="External" /><Relationship Id="rId17" Type="http://schemas.openxmlformats.org/officeDocument/2006/relationships/hyperlink" Target="http://www.cra-arc.gc.ca/E/pbg/tf/t1229/README.html" TargetMode="External" /><Relationship Id="rId18"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comments" Target="../comments41.xml" /><Relationship Id="rId2" Type="http://schemas.openxmlformats.org/officeDocument/2006/relationships/vmlDrawing" Target="../drawings/vmlDrawing25.vml" /><Relationship Id="rId3"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ransitionEvaluation="1">
    <pageSetUpPr fitToPage="1"/>
  </sheetPr>
  <dimension ref="A1:I80"/>
  <sheetViews>
    <sheetView tabSelected="1" zoomScale="75" zoomScaleNormal="75" workbookViewId="0" topLeftCell="A1">
      <selection activeCell="A2" sqref="A2"/>
    </sheetView>
  </sheetViews>
  <sheetFormatPr defaultColWidth="9.77734375" defaultRowHeight="15"/>
  <cols>
    <col min="1" max="1" width="65.6640625" style="0" customWidth="1"/>
    <col min="2" max="2" width="4.77734375" style="0" customWidth="1"/>
    <col min="3" max="3" width="11.77734375" style="0" customWidth="1"/>
    <col min="4" max="4" width="4.77734375" style="0" customWidth="1"/>
    <col min="5" max="5" width="11.77734375" style="0" customWidth="1"/>
    <col min="6" max="6" width="4.77734375" style="0" customWidth="1"/>
    <col min="7" max="7" width="3.77734375" style="0" customWidth="1"/>
    <col min="8" max="8" width="5.3359375" style="0" customWidth="1"/>
  </cols>
  <sheetData>
    <row r="1" spans="1:9" ht="20.25">
      <c r="A1" s="768" t="s">
        <v>2473</v>
      </c>
      <c r="B1" s="367" t="s">
        <v>2474</v>
      </c>
      <c r="C1" s="74"/>
      <c r="D1" s="74"/>
      <c r="E1" s="189"/>
      <c r="F1" s="74"/>
      <c r="G1" s="189" t="s">
        <v>249</v>
      </c>
      <c r="H1" s="78"/>
      <c r="I1" s="1497" t="s">
        <v>1659</v>
      </c>
    </row>
    <row r="2" spans="1:9" ht="27" customHeight="1">
      <c r="A2" s="769" t="str">
        <f>"Version "&amp;yeartext&amp;"-1.0c"</f>
        <v>Version 2007-1.0c</v>
      </c>
      <c r="B2" s="367"/>
      <c r="C2" s="74"/>
      <c r="D2" s="74"/>
      <c r="E2" s="189"/>
      <c r="F2" s="74"/>
      <c r="G2" s="189"/>
      <c r="H2" s="78"/>
      <c r="I2" s="1497"/>
    </row>
    <row r="3" spans="1:9" ht="20.25">
      <c r="A3" s="769"/>
      <c r="B3" s="367"/>
      <c r="C3" s="74"/>
      <c r="D3" s="74"/>
      <c r="E3" s="189"/>
      <c r="F3" s="74"/>
      <c r="G3" s="189"/>
      <c r="H3" s="78"/>
      <c r="I3" s="1497"/>
    </row>
    <row r="4" spans="1:9" ht="20.25">
      <c r="A4" s="968" t="s">
        <v>847</v>
      </c>
      <c r="B4" s="82"/>
      <c r="C4" s="120"/>
      <c r="D4" s="121"/>
      <c r="E4" s="121"/>
      <c r="F4" s="121"/>
      <c r="G4" s="121"/>
      <c r="H4" s="121"/>
      <c r="I4" s="1497"/>
    </row>
    <row r="5" spans="1:9" ht="18">
      <c r="A5" s="770" t="s">
        <v>2060</v>
      </c>
      <c r="B5" s="121"/>
      <c r="C5" s="120"/>
      <c r="D5" s="121"/>
      <c r="E5" s="121"/>
      <c r="F5" s="121"/>
      <c r="G5" s="121"/>
      <c r="H5" s="121"/>
      <c r="I5" s="1497"/>
    </row>
    <row r="6" spans="1:9" ht="18">
      <c r="A6" s="771" t="s">
        <v>709</v>
      </c>
      <c r="B6" s="75"/>
      <c r="C6" s="120"/>
      <c r="D6" s="121"/>
      <c r="E6" s="121"/>
      <c r="F6" s="121"/>
      <c r="G6" s="121"/>
      <c r="H6" s="121"/>
      <c r="I6" s="1497"/>
    </row>
    <row r="7" spans="1:9" ht="33" customHeight="1">
      <c r="A7" s="772" t="s">
        <v>848</v>
      </c>
      <c r="B7" s="121"/>
      <c r="C7" s="121"/>
      <c r="D7" s="121"/>
      <c r="E7" s="121"/>
      <c r="F7" s="78"/>
      <c r="G7" s="78"/>
      <c r="H7" s="78"/>
      <c r="I7" s="1497"/>
    </row>
    <row r="8" spans="1:9" ht="18">
      <c r="A8" s="772" t="s">
        <v>2397</v>
      </c>
      <c r="B8" s="121"/>
      <c r="C8" s="121"/>
      <c r="D8" s="121"/>
      <c r="E8" s="121"/>
      <c r="F8" s="78"/>
      <c r="G8" s="78"/>
      <c r="H8" s="78"/>
      <c r="I8" s="1497"/>
    </row>
    <row r="9" spans="1:9" ht="18">
      <c r="A9" s="772" t="s">
        <v>710</v>
      </c>
      <c r="B9" s="121"/>
      <c r="C9" s="121"/>
      <c r="D9" s="121"/>
      <c r="E9" s="121"/>
      <c r="F9" s="78"/>
      <c r="G9" s="78"/>
      <c r="H9" s="78"/>
      <c r="I9" s="1497"/>
    </row>
    <row r="10" spans="1:9" ht="18">
      <c r="A10" s="772" t="s">
        <v>248</v>
      </c>
      <c r="B10" s="121"/>
      <c r="C10" s="121"/>
      <c r="D10" s="121"/>
      <c r="E10" s="121"/>
      <c r="F10" s="78"/>
      <c r="G10" s="78"/>
      <c r="H10" s="78"/>
      <c r="I10" s="1497"/>
    </row>
    <row r="11" spans="1:9" ht="18">
      <c r="A11" s="772"/>
      <c r="B11" s="121"/>
      <c r="C11" s="121"/>
      <c r="D11" s="121"/>
      <c r="E11" s="121"/>
      <c r="F11" s="78"/>
      <c r="G11" s="78"/>
      <c r="H11" s="78"/>
      <c r="I11" s="1497"/>
    </row>
    <row r="12" spans="1:9" ht="18">
      <c r="A12" s="772" t="s">
        <v>711</v>
      </c>
      <c r="B12" s="121"/>
      <c r="C12" s="121"/>
      <c r="D12" s="121"/>
      <c r="E12" s="121"/>
      <c r="F12" s="78"/>
      <c r="G12" s="78"/>
      <c r="H12" s="78"/>
      <c r="I12" s="1497"/>
    </row>
    <row r="13" spans="1:9" ht="18">
      <c r="A13" s="772" t="s">
        <v>247</v>
      </c>
      <c r="B13" s="121"/>
      <c r="C13" s="121"/>
      <c r="D13" s="121"/>
      <c r="E13" s="121"/>
      <c r="F13" s="78"/>
      <c r="G13" s="78"/>
      <c r="H13" s="78"/>
      <c r="I13" s="1497"/>
    </row>
    <row r="14" spans="1:9" ht="18">
      <c r="A14" s="772" t="s">
        <v>523</v>
      </c>
      <c r="B14" s="121"/>
      <c r="C14" s="121"/>
      <c r="D14" s="121"/>
      <c r="E14" s="121"/>
      <c r="F14" s="78"/>
      <c r="G14" s="78"/>
      <c r="H14" s="78"/>
      <c r="I14" s="1497"/>
    </row>
    <row r="15" spans="1:9" ht="25.5" customHeight="1">
      <c r="A15" s="772"/>
      <c r="B15" s="78"/>
      <c r="C15" s="503" t="s">
        <v>712</v>
      </c>
      <c r="D15" s="78"/>
      <c r="E15" s="78"/>
      <c r="F15" s="78"/>
      <c r="G15" s="78"/>
      <c r="H15" s="78"/>
      <c r="I15" s="1497"/>
    </row>
    <row r="16" spans="1:9" ht="30.75" customHeight="1">
      <c r="A16" s="772" t="s">
        <v>290</v>
      </c>
      <c r="B16" s="121"/>
      <c r="C16" s="121"/>
      <c r="D16" s="121"/>
      <c r="E16" s="121"/>
      <c r="F16" s="78"/>
      <c r="G16" s="78"/>
      <c r="H16" s="78"/>
      <c r="I16" s="1497"/>
    </row>
    <row r="17" spans="1:9" ht="18">
      <c r="A17" s="772" t="s">
        <v>1752</v>
      </c>
      <c r="B17" s="121"/>
      <c r="C17" s="121"/>
      <c r="D17" s="121"/>
      <c r="E17" s="121"/>
      <c r="F17" s="78"/>
      <c r="G17" s="78"/>
      <c r="H17" s="78"/>
      <c r="I17" s="1497"/>
    </row>
    <row r="18" spans="1:9" ht="31.5" customHeight="1">
      <c r="A18" s="1226" t="s">
        <v>983</v>
      </c>
      <c r="B18" s="121"/>
      <c r="C18" s="121"/>
      <c r="D18" s="121"/>
      <c r="E18" s="121"/>
      <c r="F18" s="78"/>
      <c r="G18" s="78"/>
      <c r="H18" s="78"/>
      <c r="I18" s="1497"/>
    </row>
    <row r="19" spans="1:9" s="366" customFormat="1" ht="36.75" customHeight="1">
      <c r="A19" s="1075" t="s">
        <v>1636</v>
      </c>
      <c r="B19" s="80"/>
      <c r="C19" s="80"/>
      <c r="D19" s="80"/>
      <c r="E19" s="80"/>
      <c r="F19" s="80"/>
      <c r="G19" s="80"/>
      <c r="H19" s="80"/>
      <c r="I19" s="1497"/>
    </row>
    <row r="20" spans="1:9" s="366" customFormat="1" ht="18">
      <c r="A20" s="1076" t="s">
        <v>1626</v>
      </c>
      <c r="B20" s="80"/>
      <c r="C20" s="80"/>
      <c r="D20" s="80"/>
      <c r="E20" s="80"/>
      <c r="F20" s="80"/>
      <c r="G20" s="80"/>
      <c r="H20" s="80"/>
      <c r="I20" s="1497"/>
    </row>
    <row r="21" spans="1:9" s="366" customFormat="1" ht="18">
      <c r="A21" s="1017" t="s">
        <v>1625</v>
      </c>
      <c r="B21" s="80"/>
      <c r="C21" s="80"/>
      <c r="D21" s="80"/>
      <c r="E21" s="80"/>
      <c r="F21" s="80"/>
      <c r="G21" s="80"/>
      <c r="H21" s="80"/>
      <c r="I21" s="1497"/>
    </row>
    <row r="22" spans="1:9" ht="33.75" customHeight="1">
      <c r="A22" s="830" t="s">
        <v>239</v>
      </c>
      <c r="B22" s="78"/>
      <c r="C22" s="78"/>
      <c r="D22" s="78"/>
      <c r="E22" s="78"/>
      <c r="F22" s="78"/>
      <c r="G22" s="78"/>
      <c r="H22" s="78"/>
      <c r="I22" s="1497"/>
    </row>
    <row r="23" spans="1:9" ht="18">
      <c r="A23" s="774" t="s">
        <v>522</v>
      </c>
      <c r="B23" s="78"/>
      <c r="C23" s="78"/>
      <c r="D23" s="78"/>
      <c r="E23" s="78"/>
      <c r="F23" s="78"/>
      <c r="G23" s="78"/>
      <c r="H23" s="78"/>
      <c r="I23" s="1497"/>
    </row>
    <row r="24" spans="1:9" ht="18">
      <c r="A24" s="772"/>
      <c r="B24" s="78"/>
      <c r="C24" s="78"/>
      <c r="D24" s="78"/>
      <c r="E24" s="78"/>
      <c r="F24" s="78"/>
      <c r="G24" s="78"/>
      <c r="H24" s="78"/>
      <c r="I24" s="1497"/>
    </row>
    <row r="25" spans="1:9" ht="24.75" customHeight="1">
      <c r="A25" s="774" t="s">
        <v>716</v>
      </c>
      <c r="B25" s="78"/>
      <c r="C25" s="78"/>
      <c r="D25" s="78"/>
      <c r="E25" s="78"/>
      <c r="F25" s="78"/>
      <c r="G25" s="78"/>
      <c r="H25" s="78"/>
      <c r="I25" s="1497"/>
    </row>
    <row r="26" spans="1:9" ht="18">
      <c r="A26" s="772" t="s">
        <v>1638</v>
      </c>
      <c r="B26" s="78"/>
      <c r="C26" s="78"/>
      <c r="D26" s="78"/>
      <c r="E26" s="78"/>
      <c r="F26" s="78"/>
      <c r="G26" s="78"/>
      <c r="H26" s="78"/>
      <c r="I26" s="1497"/>
    </row>
    <row r="27" spans="1:9" ht="18">
      <c r="A27" s="772"/>
      <c r="B27" s="78"/>
      <c r="C27" s="78"/>
      <c r="D27" s="78"/>
      <c r="E27" s="78"/>
      <c r="F27" s="78"/>
      <c r="G27" s="78"/>
      <c r="H27" s="78"/>
      <c r="I27" s="1497"/>
    </row>
    <row r="28" spans="1:9" ht="18">
      <c r="A28" s="772" t="s">
        <v>1872</v>
      </c>
      <c r="B28" s="78"/>
      <c r="C28" s="78"/>
      <c r="D28" s="78"/>
      <c r="E28" s="78"/>
      <c r="F28" s="78"/>
      <c r="G28" s="78"/>
      <c r="H28" s="78"/>
      <c r="I28" s="1497"/>
    </row>
    <row r="29" spans="1:9" ht="30.75" customHeight="1">
      <c r="A29" s="772" t="s">
        <v>622</v>
      </c>
      <c r="B29" s="78"/>
      <c r="C29" s="78"/>
      <c r="D29" s="78"/>
      <c r="E29" s="78"/>
      <c r="F29" s="78"/>
      <c r="G29" s="78"/>
      <c r="H29" s="78"/>
      <c r="I29" s="1497"/>
    </row>
    <row r="30" spans="1:9" ht="18">
      <c r="A30" s="772" t="s">
        <v>715</v>
      </c>
      <c r="B30" s="78"/>
      <c r="C30" s="78"/>
      <c r="D30" s="78"/>
      <c r="E30" s="78"/>
      <c r="F30" s="78"/>
      <c r="G30" s="78"/>
      <c r="H30" s="78"/>
      <c r="I30" s="1497"/>
    </row>
    <row r="31" spans="1:9" ht="18">
      <c r="A31" s="772" t="s">
        <v>1753</v>
      </c>
      <c r="B31" s="78"/>
      <c r="C31" s="78"/>
      <c r="D31" s="78"/>
      <c r="E31" s="78"/>
      <c r="F31" s="78"/>
      <c r="G31" s="78"/>
      <c r="H31" s="78"/>
      <c r="I31" s="1497"/>
    </row>
    <row r="32" spans="1:9" ht="18">
      <c r="A32" s="772"/>
      <c r="B32" s="78"/>
      <c r="C32" s="78"/>
      <c r="D32" s="78"/>
      <c r="E32" s="78"/>
      <c r="F32" s="78"/>
      <c r="G32" s="78"/>
      <c r="H32" s="78"/>
      <c r="I32" s="1497"/>
    </row>
    <row r="33" spans="1:9" ht="18">
      <c r="A33" s="773" t="s">
        <v>428</v>
      </c>
      <c r="B33" s="78"/>
      <c r="C33" s="78"/>
      <c r="D33" s="78"/>
      <c r="E33" s="78"/>
      <c r="F33" s="78"/>
      <c r="G33" s="78"/>
      <c r="H33" s="78"/>
      <c r="I33" s="1497"/>
    </row>
    <row r="34" spans="1:9" ht="25.5" customHeight="1">
      <c r="A34" s="775" t="s">
        <v>2475</v>
      </c>
      <c r="B34" s="78"/>
      <c r="C34" s="103" t="s">
        <v>297</v>
      </c>
      <c r="D34" s="78"/>
      <c r="E34" s="78"/>
      <c r="F34" s="78"/>
      <c r="G34" s="78"/>
      <c r="H34" s="78"/>
      <c r="I34" s="1497"/>
    </row>
    <row r="35" spans="1:9" ht="18">
      <c r="A35" s="772" t="s">
        <v>298</v>
      </c>
      <c r="B35" s="78"/>
      <c r="C35" s="211"/>
      <c r="D35" s="78"/>
      <c r="E35" s="78" t="s">
        <v>198</v>
      </c>
      <c r="F35" s="78"/>
      <c r="G35" s="78"/>
      <c r="H35" s="78"/>
      <c r="I35" s="1497"/>
    </row>
    <row r="36" spans="1:9" ht="18">
      <c r="A36" s="772" t="s">
        <v>1381</v>
      </c>
      <c r="B36" s="78"/>
      <c r="C36" s="75"/>
      <c r="D36" s="78"/>
      <c r="E36" s="78" t="s">
        <v>198</v>
      </c>
      <c r="F36" s="78"/>
      <c r="G36" s="78"/>
      <c r="H36" s="78"/>
      <c r="I36" s="1497"/>
    </row>
    <row r="37" spans="1:9" ht="18">
      <c r="A37" s="772" t="s">
        <v>1382</v>
      </c>
      <c r="B37" s="78"/>
      <c r="C37" s="264"/>
      <c r="D37" s="78"/>
      <c r="E37" s="78" t="s">
        <v>198</v>
      </c>
      <c r="F37" s="78"/>
      <c r="G37" s="78"/>
      <c r="H37" s="78"/>
      <c r="I37" s="1497"/>
    </row>
    <row r="38" spans="1:9" ht="15">
      <c r="A38" s="776" t="s">
        <v>280</v>
      </c>
      <c r="B38" s="78"/>
      <c r="C38" s="265"/>
      <c r="D38" s="78"/>
      <c r="E38" s="78" t="s">
        <v>914</v>
      </c>
      <c r="F38" s="78"/>
      <c r="G38" s="78"/>
      <c r="H38" s="78"/>
      <c r="I38" s="1497"/>
    </row>
    <row r="39" spans="1:9" ht="18">
      <c r="A39" s="772" t="s">
        <v>431</v>
      </c>
      <c r="B39" s="78"/>
      <c r="C39" s="442"/>
      <c r="D39" s="78"/>
      <c r="E39" s="78"/>
      <c r="F39" s="78"/>
      <c r="G39" s="78"/>
      <c r="H39" s="78"/>
      <c r="I39" s="1497"/>
    </row>
    <row r="40" spans="1:9" ht="18">
      <c r="A40" s="772" t="s">
        <v>299</v>
      </c>
      <c r="B40" s="78"/>
      <c r="C40" s="82"/>
      <c r="D40" s="78"/>
      <c r="E40" s="78"/>
      <c r="F40" s="78"/>
      <c r="G40" s="78"/>
      <c r="H40" s="78"/>
      <c r="I40" s="1497"/>
    </row>
    <row r="41" spans="1:9" ht="18.75" customHeight="1">
      <c r="A41" s="772"/>
      <c r="B41" s="78"/>
      <c r="C41" s="121"/>
      <c r="D41" s="78"/>
      <c r="E41" s="78"/>
      <c r="F41" s="78"/>
      <c r="G41" s="78"/>
      <c r="H41" s="78"/>
      <c r="I41" s="1497"/>
    </row>
    <row r="42" spans="1:9" ht="18">
      <c r="A42" s="774" t="s">
        <v>1419</v>
      </c>
      <c r="B42" s="78"/>
      <c r="C42" s="78"/>
      <c r="D42" s="78"/>
      <c r="E42" s="78"/>
      <c r="F42" s="78"/>
      <c r="G42" s="78"/>
      <c r="H42" s="78"/>
      <c r="I42" s="1497"/>
    </row>
    <row r="43" spans="1:9" ht="18">
      <c r="A43" s="774" t="s">
        <v>84</v>
      </c>
      <c r="B43" s="78"/>
      <c r="C43" s="78"/>
      <c r="D43" s="78"/>
      <c r="E43" s="78"/>
      <c r="F43" s="78"/>
      <c r="G43" s="78"/>
      <c r="H43" s="78"/>
      <c r="I43" s="1497"/>
    </row>
    <row r="44" spans="1:9" ht="18">
      <c r="A44" s="772" t="s">
        <v>238</v>
      </c>
      <c r="B44" s="78"/>
      <c r="C44" s="78"/>
      <c r="D44" s="78"/>
      <c r="E44" s="78"/>
      <c r="F44" s="78"/>
      <c r="G44" s="78"/>
      <c r="H44" s="78"/>
      <c r="I44" s="1497"/>
    </row>
    <row r="45" spans="1:9" ht="18">
      <c r="A45" s="774" t="s">
        <v>1637</v>
      </c>
      <c r="B45" s="78"/>
      <c r="C45" s="78"/>
      <c r="D45" s="78"/>
      <c r="E45" s="78"/>
      <c r="F45" s="78"/>
      <c r="G45" s="78"/>
      <c r="H45" s="78"/>
      <c r="I45" s="1497"/>
    </row>
    <row r="46" spans="1:9" ht="18">
      <c r="A46" s="772" t="s">
        <v>713</v>
      </c>
      <c r="B46" s="78"/>
      <c r="C46" s="78"/>
      <c r="D46" s="78"/>
      <c r="E46" s="78"/>
      <c r="F46" s="78"/>
      <c r="G46" s="78"/>
      <c r="H46" s="78"/>
      <c r="I46" s="1497"/>
    </row>
    <row r="47" spans="1:9" ht="18">
      <c r="A47" s="772" t="s">
        <v>2558</v>
      </c>
      <c r="B47" s="78"/>
      <c r="C47" s="78"/>
      <c r="D47" s="78"/>
      <c r="E47" s="78"/>
      <c r="F47" s="78"/>
      <c r="G47" s="78"/>
      <c r="H47" s="78"/>
      <c r="I47" s="1497"/>
    </row>
    <row r="48" spans="1:9" ht="18">
      <c r="A48" s="772" t="s">
        <v>714</v>
      </c>
      <c r="B48" s="78"/>
      <c r="C48" s="78"/>
      <c r="D48" s="78"/>
      <c r="E48" s="78"/>
      <c r="F48" s="78"/>
      <c r="G48" s="78"/>
      <c r="H48" s="78"/>
      <c r="I48" s="1497"/>
    </row>
    <row r="49" spans="1:9" ht="18">
      <c r="A49" s="774" t="s">
        <v>988</v>
      </c>
      <c r="B49" s="78"/>
      <c r="C49" s="78"/>
      <c r="D49" s="78"/>
      <c r="E49" s="78"/>
      <c r="F49" s="78"/>
      <c r="G49" s="78"/>
      <c r="H49" s="78"/>
      <c r="I49" s="1497"/>
    </row>
    <row r="50" spans="1:9" ht="18">
      <c r="A50" s="774" t="s">
        <v>2161</v>
      </c>
      <c r="B50" s="78"/>
      <c r="C50" s="78"/>
      <c r="D50" s="78"/>
      <c r="E50" s="78"/>
      <c r="F50" s="78"/>
      <c r="G50" s="78"/>
      <c r="H50" s="78"/>
      <c r="I50" s="1497"/>
    </row>
    <row r="51" spans="1:9" ht="18">
      <c r="A51" s="772" t="s">
        <v>846</v>
      </c>
      <c r="B51" s="78"/>
      <c r="C51" s="78"/>
      <c r="D51" s="78"/>
      <c r="E51" s="78"/>
      <c r="F51" s="78"/>
      <c r="G51" s="78"/>
      <c r="H51" s="78"/>
      <c r="I51" s="1497"/>
    </row>
    <row r="52" spans="1:9" ht="18">
      <c r="A52" s="774" t="s">
        <v>2169</v>
      </c>
      <c r="B52" s="78"/>
      <c r="C52" s="78"/>
      <c r="D52" s="78"/>
      <c r="E52" s="78"/>
      <c r="F52" s="78"/>
      <c r="G52" s="78"/>
      <c r="H52" s="78"/>
      <c r="I52" s="1497"/>
    </row>
    <row r="53" spans="1:9" ht="18">
      <c r="A53" s="774" t="s">
        <v>1730</v>
      </c>
      <c r="B53" s="78"/>
      <c r="C53" s="78"/>
      <c r="D53" s="78"/>
      <c r="E53" s="78"/>
      <c r="F53" s="78"/>
      <c r="G53" s="78"/>
      <c r="H53" s="78"/>
      <c r="I53" s="1497"/>
    </row>
    <row r="54" spans="1:9" ht="18">
      <c r="A54" s="772" t="s">
        <v>1682</v>
      </c>
      <c r="B54" s="78"/>
      <c r="C54" s="78"/>
      <c r="D54" s="78"/>
      <c r="E54" s="78"/>
      <c r="F54" s="78"/>
      <c r="G54" s="78"/>
      <c r="H54" s="78"/>
      <c r="I54" s="1497"/>
    </row>
    <row r="55" spans="1:9" ht="30" customHeight="1">
      <c r="A55" s="774" t="s">
        <v>1800</v>
      </c>
      <c r="B55" s="78"/>
      <c r="C55" s="78"/>
      <c r="D55" s="78"/>
      <c r="E55" s="78"/>
      <c r="F55" s="78"/>
      <c r="G55" s="78"/>
      <c r="H55" s="78"/>
      <c r="I55" s="1497"/>
    </row>
    <row r="56" spans="1:9" ht="18">
      <c r="A56" s="777" t="s">
        <v>1731</v>
      </c>
      <c r="B56" s="78"/>
      <c r="C56" s="78"/>
      <c r="D56" s="78"/>
      <c r="E56" s="78"/>
      <c r="F56" s="78"/>
      <c r="G56" s="78"/>
      <c r="H56" s="78"/>
      <c r="I56" s="1497"/>
    </row>
    <row r="57" spans="1:9" ht="18">
      <c r="A57" s="778" t="s">
        <v>1294</v>
      </c>
      <c r="B57" s="78"/>
      <c r="C57" s="78"/>
      <c r="D57" s="78"/>
      <c r="E57" s="78"/>
      <c r="F57" s="78"/>
      <c r="G57" s="78"/>
      <c r="H57" s="78"/>
      <c r="I57" s="1497"/>
    </row>
    <row r="58" spans="1:9" ht="18">
      <c r="A58" s="778" t="s">
        <v>1295</v>
      </c>
      <c r="B58" s="78"/>
      <c r="C58" s="78"/>
      <c r="D58" s="78"/>
      <c r="E58" s="78"/>
      <c r="F58" s="78"/>
      <c r="G58" s="78"/>
      <c r="H58" s="78"/>
      <c r="I58" s="1497"/>
    </row>
    <row r="59" spans="1:9" ht="18">
      <c r="A59" s="778" t="s">
        <v>2056</v>
      </c>
      <c r="B59" s="78"/>
      <c r="C59" s="78"/>
      <c r="D59" s="78"/>
      <c r="E59" s="78"/>
      <c r="F59" s="78"/>
      <c r="G59" s="78"/>
      <c r="H59" s="78"/>
      <c r="I59" s="1497"/>
    </row>
    <row r="60" spans="1:9" ht="18.75" customHeight="1">
      <c r="A60" s="774" t="s">
        <v>1383</v>
      </c>
      <c r="B60" s="78"/>
      <c r="C60" s="78"/>
      <c r="D60" s="78"/>
      <c r="E60" s="78"/>
      <c r="F60" s="78"/>
      <c r="G60" s="78"/>
      <c r="H60" s="78"/>
      <c r="I60" s="1497"/>
    </row>
    <row r="61" spans="1:9" ht="18">
      <c r="A61" s="772" t="s">
        <v>2057</v>
      </c>
      <c r="B61" s="78"/>
      <c r="C61" s="78"/>
      <c r="D61" s="78"/>
      <c r="E61" s="78"/>
      <c r="F61" s="78"/>
      <c r="G61" s="78"/>
      <c r="H61" s="78"/>
      <c r="I61" s="1497"/>
    </row>
    <row r="62" spans="1:9" ht="18">
      <c r="A62" s="774" t="s">
        <v>2556</v>
      </c>
      <c r="B62" s="78"/>
      <c r="C62" s="78"/>
      <c r="D62" s="78"/>
      <c r="E62" s="78"/>
      <c r="F62" s="78"/>
      <c r="G62" s="78"/>
      <c r="H62" s="78"/>
      <c r="I62" s="1497"/>
    </row>
    <row r="63" spans="1:9" ht="18">
      <c r="A63" s="772"/>
      <c r="B63" s="78"/>
      <c r="C63" s="78"/>
      <c r="D63" s="78"/>
      <c r="E63" s="78"/>
      <c r="F63" s="78"/>
      <c r="G63" s="78"/>
      <c r="H63" s="78"/>
      <c r="I63" s="1497"/>
    </row>
    <row r="64" spans="1:9" ht="18">
      <c r="A64" s="772"/>
      <c r="B64" s="78"/>
      <c r="C64" s="78"/>
      <c r="D64" s="78"/>
      <c r="E64" s="78"/>
      <c r="F64" s="78"/>
      <c r="G64" s="78"/>
      <c r="H64" s="78"/>
      <c r="I64" s="1497"/>
    </row>
    <row r="65" spans="1:9" ht="30" customHeight="1">
      <c r="A65" s="774" t="s">
        <v>2177</v>
      </c>
      <c r="B65" s="78"/>
      <c r="C65" s="78"/>
      <c r="D65" s="78"/>
      <c r="E65" s="78"/>
      <c r="F65" s="78"/>
      <c r="G65" s="78"/>
      <c r="H65" s="78"/>
      <c r="I65" s="1497"/>
    </row>
    <row r="66" spans="1:9" ht="21.75" customHeight="1">
      <c r="A66" s="774" t="s">
        <v>591</v>
      </c>
      <c r="B66" s="78"/>
      <c r="C66" s="78"/>
      <c r="D66" s="78"/>
      <c r="E66" s="78"/>
      <c r="F66" s="78"/>
      <c r="G66" s="78"/>
      <c r="H66" s="78"/>
      <c r="I66" s="1497"/>
    </row>
    <row r="67" spans="1:9" ht="18">
      <c r="A67" s="772" t="s">
        <v>145</v>
      </c>
      <c r="B67" s="78"/>
      <c r="C67" s="78"/>
      <c r="D67" s="78"/>
      <c r="E67" s="78"/>
      <c r="F67" s="78"/>
      <c r="G67" s="78"/>
      <c r="H67" s="78"/>
      <c r="I67" s="1497"/>
    </row>
    <row r="68" spans="1:9" ht="20.25" customHeight="1">
      <c r="A68" s="774" t="s">
        <v>1450</v>
      </c>
      <c r="B68" s="78"/>
      <c r="C68" s="78"/>
      <c r="D68" s="78"/>
      <c r="E68" s="78"/>
      <c r="F68" s="78"/>
      <c r="G68" s="78"/>
      <c r="H68" s="78"/>
      <c r="I68" s="1497"/>
    </row>
    <row r="69" spans="1:9" ht="20.25" customHeight="1">
      <c r="A69" s="772" t="s">
        <v>590</v>
      </c>
      <c r="B69" s="78"/>
      <c r="C69" s="78"/>
      <c r="D69" s="78"/>
      <c r="E69" s="78"/>
      <c r="F69" s="78"/>
      <c r="G69" s="78"/>
      <c r="H69" s="78"/>
      <c r="I69" s="1497"/>
    </row>
    <row r="70" spans="1:9" ht="18">
      <c r="A70" s="779" t="s">
        <v>2557</v>
      </c>
      <c r="B70" s="78"/>
      <c r="C70" s="78"/>
      <c r="D70" s="78"/>
      <c r="E70" s="78"/>
      <c r="F70" s="78"/>
      <c r="G70" s="78"/>
      <c r="H70" s="78"/>
      <c r="I70" s="1497"/>
    </row>
    <row r="71" spans="1:9" ht="18">
      <c r="A71" s="774" t="s">
        <v>655</v>
      </c>
      <c r="B71" s="78"/>
      <c r="C71" s="78"/>
      <c r="D71" s="78"/>
      <c r="E71" s="78"/>
      <c r="F71" s="78"/>
      <c r="G71" s="78"/>
      <c r="H71" s="78"/>
      <c r="I71" s="1497"/>
    </row>
    <row r="72" spans="1:9" ht="18">
      <c r="A72" s="772" t="s">
        <v>2054</v>
      </c>
      <c r="B72" s="78"/>
      <c r="C72" s="78"/>
      <c r="D72" s="78"/>
      <c r="E72" s="78"/>
      <c r="F72" s="78"/>
      <c r="G72" s="78"/>
      <c r="H72" s="78"/>
      <c r="I72" s="1497"/>
    </row>
    <row r="73" spans="1:9" ht="18">
      <c r="A73" s="772" t="s">
        <v>2055</v>
      </c>
      <c r="B73" s="78"/>
      <c r="C73" s="78"/>
      <c r="D73" s="78"/>
      <c r="E73" s="78"/>
      <c r="F73" s="78"/>
      <c r="G73" s="78"/>
      <c r="H73" s="78"/>
      <c r="I73" s="1497"/>
    </row>
    <row r="74" spans="1:9" ht="18">
      <c r="A74" s="774" t="s">
        <v>656</v>
      </c>
      <c r="B74" s="78"/>
      <c r="C74" s="78"/>
      <c r="D74" s="78"/>
      <c r="E74" s="78"/>
      <c r="F74" s="78"/>
      <c r="G74" s="78"/>
      <c r="H74" s="78"/>
      <c r="I74" s="1497"/>
    </row>
    <row r="75" spans="1:9" ht="18">
      <c r="A75" s="774" t="s">
        <v>1784</v>
      </c>
      <c r="B75" s="78"/>
      <c r="C75" s="78"/>
      <c r="D75" s="78"/>
      <c r="E75" s="78"/>
      <c r="F75" s="78"/>
      <c r="G75" s="78"/>
      <c r="H75" s="78"/>
      <c r="I75" s="1497"/>
    </row>
    <row r="76" spans="1:9" ht="18">
      <c r="A76" s="774" t="s">
        <v>1785</v>
      </c>
      <c r="B76" s="78"/>
      <c r="C76" s="78"/>
      <c r="D76" s="78"/>
      <c r="E76" s="78"/>
      <c r="F76" s="78"/>
      <c r="G76" s="78"/>
      <c r="H76" s="78"/>
      <c r="I76" s="1497"/>
    </row>
    <row r="77" spans="1:9" ht="18">
      <c r="A77" s="772" t="str">
        <f>"such as if you are using MyTAX "&amp;yeartext&amp;" for personal tax planning scenarios."</f>
        <v>such as if you are using MyTAX 2007 for personal tax planning scenarios.</v>
      </c>
      <c r="B77" s="78"/>
      <c r="C77" s="78"/>
      <c r="D77" s="78"/>
      <c r="E77" s="78"/>
      <c r="F77" s="78"/>
      <c r="G77" s="78"/>
      <c r="H77" s="78"/>
      <c r="I77" s="1497"/>
    </row>
    <row r="78" spans="1:9" ht="30.75" customHeight="1">
      <c r="A78" s="772" t="s">
        <v>128</v>
      </c>
      <c r="B78" s="78"/>
      <c r="C78" s="78"/>
      <c r="D78" s="78"/>
      <c r="E78" s="78"/>
      <c r="F78" s="78"/>
      <c r="G78" s="78"/>
      <c r="H78" s="78"/>
      <c r="I78" s="1497"/>
    </row>
    <row r="79" spans="1:9" ht="15">
      <c r="A79" s="776"/>
      <c r="B79" s="78"/>
      <c r="C79" s="78"/>
      <c r="D79" s="78"/>
      <c r="E79" s="78"/>
      <c r="F79" s="78"/>
      <c r="G79" s="78"/>
      <c r="H79" s="78"/>
      <c r="I79" s="1497"/>
    </row>
    <row r="80" spans="1:9" ht="15.75">
      <c r="A80" s="780"/>
      <c r="B80" s="78"/>
      <c r="C80" s="78"/>
      <c r="D80" s="78"/>
      <c r="E80" s="78"/>
      <c r="F80" s="78"/>
      <c r="G80" s="115"/>
      <c r="H80" s="78"/>
      <c r="I80" s="1497"/>
    </row>
  </sheetData>
  <sheetProtection password="EC35" sheet="1" objects="1" scenarios="1"/>
  <mergeCells count="1">
    <mergeCell ref="I1:I80"/>
  </mergeCells>
  <hyperlinks>
    <hyperlink ref="I1:I80" location="'GO TO'!G24" display=" "/>
    <hyperlink ref="A19" location="'What''s New'!A1" display="New this Year!!:   What's New Sheet for Canada Revenue Agency. "/>
  </hyperlinks>
  <printOptions horizontalCentered="1"/>
  <pageMargins left="0.511811023622047" right="0.511811023622047" top="0.511811023622047" bottom="0.511811023622047" header="0.511811023622047" footer="0.511811023622047"/>
  <pageSetup fitToHeight="0" fitToWidth="1" horizontalDpi="600" verticalDpi="600" orientation="portrait" scale="70" r:id="rId3"/>
  <rowBreaks count="1" manualBreakCount="1">
    <brk id="41" max="7" man="1"/>
  </rowBreaks>
  <legacyDrawing r:id="rId2"/>
</worksheet>
</file>

<file path=xl/worksheets/sheet10.xml><?xml version="1.0" encoding="utf-8"?>
<worksheet xmlns="http://schemas.openxmlformats.org/spreadsheetml/2006/main" xmlns:r="http://schemas.openxmlformats.org/officeDocument/2006/relationships">
  <sheetPr codeName="Sheet73" transitionEvaluation="1">
    <pageSetUpPr fitToPage="1"/>
  </sheetPr>
  <dimension ref="A1:L118"/>
  <sheetViews>
    <sheetView showGridLines="0" zoomScale="75" zoomScaleNormal="75" workbookViewId="0" topLeftCell="A1">
      <selection activeCell="B3" sqref="B3"/>
    </sheetView>
  </sheetViews>
  <sheetFormatPr defaultColWidth="9.77734375" defaultRowHeight="15"/>
  <cols>
    <col min="1" max="1" width="1.5625" style="608" customWidth="1"/>
    <col min="2" max="2" width="25.5546875" style="608" customWidth="1"/>
    <col min="3" max="3" width="12.77734375" style="608" customWidth="1"/>
    <col min="4" max="4" width="13.6640625" style="608" customWidth="1"/>
    <col min="5" max="5" width="4.77734375" style="608" customWidth="1"/>
    <col min="6" max="6" width="12.77734375" style="608" customWidth="1"/>
    <col min="7" max="7" width="5.77734375" style="608" customWidth="1"/>
    <col min="8" max="8" width="12.77734375" style="608" customWidth="1"/>
    <col min="9" max="9" width="4.77734375" style="608" customWidth="1"/>
    <col min="10" max="10" width="12.77734375" style="608" customWidth="1"/>
    <col min="11" max="11" width="4.77734375" style="608" customWidth="1"/>
    <col min="12" max="16384" width="9.77734375" style="608" customWidth="1"/>
  </cols>
  <sheetData>
    <row r="1" spans="1:12" ht="23.25">
      <c r="A1" s="646"/>
      <c r="B1" s="213"/>
      <c r="C1" s="211"/>
      <c r="D1" s="233"/>
      <c r="E1" s="234" t="s">
        <v>1679</v>
      </c>
      <c r="F1" s="211"/>
      <c r="G1" s="211"/>
      <c r="H1" s="211"/>
      <c r="I1" s="211"/>
      <c r="J1" s="1465" t="s">
        <v>2668</v>
      </c>
      <c r="K1" s="211"/>
      <c r="L1" s="1573" t="s">
        <v>1659</v>
      </c>
    </row>
    <row r="2" spans="1:12" ht="23.25">
      <c r="A2" s="646"/>
      <c r="B2" s="211"/>
      <c r="C2" s="211"/>
      <c r="D2" s="211"/>
      <c r="E2" s="234"/>
      <c r="F2" s="211"/>
      <c r="G2" s="211"/>
      <c r="H2" s="211"/>
      <c r="I2" s="211"/>
      <c r="J2" s="219" t="str">
        <f>"T1 General - "&amp;yeartext</f>
        <v>T1 General - 2007</v>
      </c>
      <c r="K2" s="211"/>
      <c r="L2" s="1573"/>
    </row>
    <row r="3" spans="1:12" ht="15">
      <c r="A3" s="646"/>
      <c r="B3" s="211"/>
      <c r="C3" s="211"/>
      <c r="D3" s="211"/>
      <c r="E3" s="211"/>
      <c r="F3" s="211"/>
      <c r="G3" s="211"/>
      <c r="H3" s="211"/>
      <c r="I3" s="211"/>
      <c r="J3" s="211"/>
      <c r="K3" s="211"/>
      <c r="L3" s="1573"/>
    </row>
    <row r="4" spans="1:12" ht="15.75">
      <c r="A4" s="646"/>
      <c r="B4" s="211" t="s">
        <v>2669</v>
      </c>
      <c r="C4" s="211"/>
      <c r="D4" s="211"/>
      <c r="E4" s="211"/>
      <c r="F4" s="211"/>
      <c r="G4" s="211"/>
      <c r="H4" s="211"/>
      <c r="I4" s="211"/>
      <c r="J4" s="211"/>
      <c r="K4" s="211"/>
      <c r="L4" s="1573"/>
    </row>
    <row r="5" spans="1:12" ht="9.75" customHeight="1">
      <c r="A5" s="646"/>
      <c r="B5" s="211"/>
      <c r="C5" s="211"/>
      <c r="D5" s="211"/>
      <c r="E5" s="211"/>
      <c r="F5" s="211"/>
      <c r="G5" s="211"/>
      <c r="H5" s="211"/>
      <c r="I5" s="211"/>
      <c r="J5" s="211"/>
      <c r="K5" s="211"/>
      <c r="L5" s="1573"/>
    </row>
    <row r="6" spans="1:12" ht="21.75" customHeight="1">
      <c r="A6" s="646"/>
      <c r="B6" s="212" t="s">
        <v>2670</v>
      </c>
      <c r="C6" s="211"/>
      <c r="D6" s="211"/>
      <c r="E6" s="211"/>
      <c r="F6" s="211"/>
      <c r="G6" s="211"/>
      <c r="H6" s="211"/>
      <c r="I6" s="211"/>
      <c r="J6" s="211"/>
      <c r="K6" s="211"/>
      <c r="L6" s="1573"/>
    </row>
    <row r="7" spans="1:12" ht="15">
      <c r="A7" s="646"/>
      <c r="B7" s="211"/>
      <c r="C7" s="211"/>
      <c r="D7" s="211"/>
      <c r="E7" s="211"/>
      <c r="F7" s="211"/>
      <c r="G7" s="211"/>
      <c r="H7" s="211"/>
      <c r="I7" s="211"/>
      <c r="J7" s="211"/>
      <c r="K7" s="211"/>
      <c r="L7" s="1573"/>
    </row>
    <row r="8" spans="1:12" ht="15.75">
      <c r="A8" s="646"/>
      <c r="B8" s="211"/>
      <c r="C8" s="211"/>
      <c r="D8" s="211"/>
      <c r="E8" s="222"/>
      <c r="F8" s="225" t="s">
        <v>1230</v>
      </c>
      <c r="G8" s="2">
        <v>5609</v>
      </c>
      <c r="H8" s="211"/>
      <c r="I8" s="211"/>
      <c r="J8" s="211"/>
      <c r="K8" s="211"/>
      <c r="L8" s="1573"/>
    </row>
    <row r="9" spans="1:12" ht="15.75">
      <c r="A9" s="646"/>
      <c r="B9" s="214" t="s">
        <v>2285</v>
      </c>
      <c r="C9" s="214"/>
      <c r="D9" s="214"/>
      <c r="E9" s="214"/>
      <c r="F9" s="226" t="s">
        <v>2672</v>
      </c>
      <c r="G9" s="72" t="s">
        <v>2286</v>
      </c>
      <c r="H9" s="447">
        <f>9027*fract</f>
        <v>9027</v>
      </c>
      <c r="I9" s="230" t="s">
        <v>661</v>
      </c>
      <c r="J9" s="211"/>
      <c r="K9" s="211"/>
      <c r="L9" s="1573"/>
    </row>
    <row r="10" spans="1:12" ht="15.75">
      <c r="A10" s="646"/>
      <c r="B10" s="217" t="str">
        <f>"Age amount (if born in "&amp;year65text&amp;" or earlier)"</f>
        <v>Age amount (if born in 1942 or earlier)</v>
      </c>
      <c r="C10" s="217"/>
      <c r="D10" s="217"/>
      <c r="E10" s="217"/>
      <c r="F10" s="220" t="s">
        <v>879</v>
      </c>
      <c r="G10" s="72" t="s">
        <v>2287</v>
      </c>
      <c r="H10" s="384">
        <f>IF(age&gt;64,'BC WRK'!I16,0)</f>
        <v>0</v>
      </c>
      <c r="I10" s="230" t="s">
        <v>698</v>
      </c>
      <c r="J10" s="211"/>
      <c r="K10" s="211"/>
      <c r="L10" s="1573"/>
    </row>
    <row r="11" spans="1:12" ht="15">
      <c r="A11" s="646"/>
      <c r="B11" s="211" t="s">
        <v>880</v>
      </c>
      <c r="C11" s="211"/>
      <c r="D11" s="211"/>
      <c r="E11" s="211"/>
      <c r="F11" s="211"/>
      <c r="G11" s="211"/>
      <c r="H11" s="211"/>
      <c r="I11" s="211"/>
      <c r="J11" s="211"/>
      <c r="K11" s="211"/>
      <c r="L11" s="1573"/>
    </row>
    <row r="12" spans="1:12" ht="15">
      <c r="A12" s="646"/>
      <c r="B12" s="214" t="s">
        <v>881</v>
      </c>
      <c r="C12" s="215"/>
      <c r="D12" s="827">
        <f>IF('T1 GEN-1'!S28="",0,8502*fract)</f>
        <v>0</v>
      </c>
      <c r="E12" s="211"/>
      <c r="F12" s="211"/>
      <c r="G12" s="211"/>
      <c r="H12" s="211"/>
      <c r="I12" s="211"/>
      <c r="J12" s="211"/>
      <c r="K12" s="211"/>
      <c r="L12" s="1573"/>
    </row>
    <row r="13" spans="1:12" ht="45.75" thickBot="1">
      <c r="A13" s="646"/>
      <c r="B13" s="1220" t="s">
        <v>2002</v>
      </c>
      <c r="C13" s="215"/>
      <c r="D13" s="733">
        <f>'T1 GEN-1'!U30</f>
        <v>0</v>
      </c>
      <c r="E13" s="211"/>
      <c r="F13" s="215"/>
      <c r="G13" s="211"/>
      <c r="H13" s="211"/>
      <c r="I13" s="211"/>
      <c r="J13" s="211"/>
      <c r="K13" s="211"/>
      <c r="L13" s="1573"/>
    </row>
    <row r="14" spans="1:12" ht="15.75">
      <c r="A14" s="646"/>
      <c r="B14" s="595" t="s">
        <v>1949</v>
      </c>
      <c r="C14" s="224"/>
      <c r="D14" s="447">
        <f>MINA(7729*fract,MAXA(0,D12-D13))</f>
        <v>0</v>
      </c>
      <c r="E14" s="214"/>
      <c r="F14" s="1199" t="s">
        <v>2673</v>
      </c>
      <c r="G14" s="72" t="s">
        <v>883</v>
      </c>
      <c r="H14" s="369">
        <f>IF(QUAL!G10,D14,0)</f>
        <v>0</v>
      </c>
      <c r="I14" s="230" t="s">
        <v>699</v>
      </c>
      <c r="J14" s="211"/>
      <c r="K14" s="211"/>
      <c r="L14" s="1573"/>
    </row>
    <row r="15" spans="1:12" ht="15.75">
      <c r="A15" s="646"/>
      <c r="B15" s="217" t="s">
        <v>882</v>
      </c>
      <c r="C15" s="214"/>
      <c r="D15" s="217"/>
      <c r="E15" s="214"/>
      <c r="F15" s="220" t="s">
        <v>879</v>
      </c>
      <c r="G15" s="72" t="s">
        <v>885</v>
      </c>
      <c r="H15" s="447">
        <f>IF(QUAL!G13,MIN(7729*fract,'BC WRK'!I23),0)</f>
        <v>0</v>
      </c>
      <c r="I15" s="230" t="s">
        <v>700</v>
      </c>
      <c r="J15" s="211"/>
      <c r="K15" s="211"/>
      <c r="L15" s="1573"/>
    </row>
    <row r="16" spans="1:12" ht="15.75">
      <c r="A16" s="646"/>
      <c r="B16" s="214" t="s">
        <v>1728</v>
      </c>
      <c r="C16" s="214"/>
      <c r="D16" s="214"/>
      <c r="E16" s="214"/>
      <c r="F16" s="223" t="s">
        <v>879</v>
      </c>
      <c r="G16" s="72" t="s">
        <v>887</v>
      </c>
      <c r="H16" s="369">
        <f>IF(QUAL!G16,'BC WRK'!G34,0)</f>
        <v>0</v>
      </c>
      <c r="I16" s="230" t="s">
        <v>701</v>
      </c>
      <c r="J16" s="211"/>
      <c r="K16" s="211"/>
      <c r="L16" s="1573"/>
    </row>
    <row r="17" spans="1:12" ht="15">
      <c r="A17" s="646"/>
      <c r="B17" s="211" t="s">
        <v>88</v>
      </c>
      <c r="C17" s="211"/>
      <c r="D17" s="211"/>
      <c r="E17" s="211"/>
      <c r="F17" s="211"/>
      <c r="G17" s="211"/>
      <c r="H17" s="211"/>
      <c r="I17" s="211"/>
      <c r="J17" s="211"/>
      <c r="K17" s="211"/>
      <c r="L17" s="1573"/>
    </row>
    <row r="18" spans="1:12" ht="15.75">
      <c r="A18" s="646"/>
      <c r="B18" s="214"/>
      <c r="C18" s="214"/>
      <c r="D18" s="214"/>
      <c r="E18" s="214"/>
      <c r="F18" s="223" t="s">
        <v>1937</v>
      </c>
      <c r="G18" s="72" t="s">
        <v>1913</v>
      </c>
      <c r="H18" s="369">
        <f>Sch1!K17</f>
        <v>0</v>
      </c>
      <c r="I18" s="975" t="s">
        <v>775</v>
      </c>
      <c r="J18" s="211"/>
      <c r="K18" s="211"/>
      <c r="L18" s="1573"/>
    </row>
    <row r="19" spans="1:12" ht="15.75">
      <c r="A19" s="646"/>
      <c r="B19" s="217"/>
      <c r="C19" s="217"/>
      <c r="D19" s="217"/>
      <c r="E19" s="217"/>
      <c r="F19" s="220" t="s">
        <v>1217</v>
      </c>
      <c r="G19" s="72" t="s">
        <v>1914</v>
      </c>
      <c r="H19" s="384">
        <f>Sch1!K18</f>
        <v>0</v>
      </c>
      <c r="I19" s="975" t="s">
        <v>787</v>
      </c>
      <c r="J19" s="211"/>
      <c r="K19" s="211"/>
      <c r="L19" s="1573"/>
    </row>
    <row r="20" spans="1:12" ht="15.75">
      <c r="A20" s="646"/>
      <c r="B20" s="217" t="s">
        <v>1938</v>
      </c>
      <c r="C20" s="217"/>
      <c r="D20" s="217"/>
      <c r="E20" s="217"/>
      <c r="F20" s="220" t="s">
        <v>454</v>
      </c>
      <c r="G20" s="72" t="s">
        <v>1102</v>
      </c>
      <c r="H20" s="384">
        <f>line312</f>
        <v>0</v>
      </c>
      <c r="I20" s="975" t="s">
        <v>788</v>
      </c>
      <c r="J20" s="211"/>
      <c r="K20" s="211"/>
      <c r="L20" s="1573"/>
    </row>
    <row r="21" spans="1:12" ht="15.75">
      <c r="A21" s="646"/>
      <c r="B21" s="217" t="s">
        <v>1392</v>
      </c>
      <c r="C21" s="217"/>
      <c r="D21" s="217"/>
      <c r="E21" s="217"/>
      <c r="F21" s="220" t="s">
        <v>1393</v>
      </c>
      <c r="G21" s="72" t="s">
        <v>1462</v>
      </c>
      <c r="H21" s="384">
        <f>line313</f>
        <v>0</v>
      </c>
      <c r="I21" s="975" t="s">
        <v>2288</v>
      </c>
      <c r="J21" s="211"/>
      <c r="K21" s="211"/>
      <c r="L21" s="1573"/>
    </row>
    <row r="22" spans="1:12" ht="15.75">
      <c r="A22" s="646"/>
      <c r="B22" s="217" t="s">
        <v>2003</v>
      </c>
      <c r="C22" s="217"/>
      <c r="D22" s="217"/>
      <c r="E22" s="217"/>
      <c r="F22" s="220" t="s">
        <v>2150</v>
      </c>
      <c r="G22" s="72" t="s">
        <v>1103</v>
      </c>
      <c r="H22" s="384">
        <f>MIN(1000,Sch1!K24)</f>
        <v>0</v>
      </c>
      <c r="I22" s="230" t="s">
        <v>2445</v>
      </c>
      <c r="J22" s="211"/>
      <c r="K22" s="211"/>
      <c r="L22" s="1573"/>
    </row>
    <row r="23" spans="1:12" ht="15.75">
      <c r="A23" s="646"/>
      <c r="B23" s="217" t="s">
        <v>1224</v>
      </c>
      <c r="C23" s="217"/>
      <c r="D23" s="217"/>
      <c r="E23" s="217"/>
      <c r="F23" s="220" t="s">
        <v>879</v>
      </c>
      <c r="G23" s="72" t="s">
        <v>1104</v>
      </c>
      <c r="H23" s="384">
        <f>IF(QUAL!G19,'BC WRK'!G45,0)</f>
        <v>0</v>
      </c>
      <c r="I23" s="230" t="s">
        <v>884</v>
      </c>
      <c r="J23" s="211"/>
      <c r="K23" s="211"/>
      <c r="L23" s="1573"/>
    </row>
    <row r="24" spans="1:12" ht="15.75">
      <c r="A24" s="646"/>
      <c r="B24" s="217" t="s">
        <v>2137</v>
      </c>
      <c r="C24" s="217"/>
      <c r="D24" s="217"/>
      <c r="E24" s="217"/>
      <c r="F24" s="220" t="s">
        <v>2151</v>
      </c>
      <c r="G24" s="72" t="s">
        <v>1105</v>
      </c>
      <c r="H24" s="384">
        <f>IF(QUAL!G22,'BC WRK'!I56,0)</f>
        <v>0</v>
      </c>
      <c r="I24" s="230" t="s">
        <v>886</v>
      </c>
      <c r="J24" s="211"/>
      <c r="K24" s="211"/>
      <c r="L24" s="1573"/>
    </row>
    <row r="25" spans="1:12" ht="15.75">
      <c r="A25" s="646"/>
      <c r="B25" s="217" t="s">
        <v>1305</v>
      </c>
      <c r="C25" s="217"/>
      <c r="D25" s="217"/>
      <c r="E25" s="217"/>
      <c r="F25" s="220" t="s">
        <v>879</v>
      </c>
      <c r="G25" s="72" t="s">
        <v>1106</v>
      </c>
      <c r="H25" s="384">
        <f>IF(QUAL!G25,'BC WRK'!G71,0)</f>
        <v>0</v>
      </c>
      <c r="I25" s="230" t="s">
        <v>888</v>
      </c>
      <c r="J25" s="211"/>
      <c r="K25" s="211"/>
      <c r="L25" s="1573"/>
    </row>
    <row r="26" spans="1:12" ht="15.75">
      <c r="A26" s="646"/>
      <c r="B26" s="217" t="s">
        <v>455</v>
      </c>
      <c r="C26" s="217"/>
      <c r="D26" s="217"/>
      <c r="E26" s="217"/>
      <c r="F26" s="220" t="s">
        <v>456</v>
      </c>
      <c r="G26" s="72" t="s">
        <v>1107</v>
      </c>
      <c r="H26" s="384">
        <f>Sch1!K29</f>
        <v>0</v>
      </c>
      <c r="I26" s="230" t="s">
        <v>2447</v>
      </c>
      <c r="J26" s="211"/>
      <c r="K26" s="211"/>
      <c r="L26" s="1573"/>
    </row>
    <row r="27" spans="1:12" ht="15.75">
      <c r="A27" s="646"/>
      <c r="B27" s="217" t="s">
        <v>1219</v>
      </c>
      <c r="C27" s="217"/>
      <c r="D27" s="217"/>
      <c r="E27" s="217"/>
      <c r="F27" s="451" t="s">
        <v>1218</v>
      </c>
      <c r="G27" s="72" t="s">
        <v>1108</v>
      </c>
      <c r="H27" s="648">
        <f>'BC(S11)'!I35</f>
        <v>0</v>
      </c>
      <c r="I27" s="230" t="s">
        <v>1915</v>
      </c>
      <c r="J27" s="211"/>
      <c r="K27" s="211"/>
      <c r="L27" s="1573"/>
    </row>
    <row r="28" spans="1:12" ht="15.75">
      <c r="A28" s="646"/>
      <c r="B28" s="217" t="s">
        <v>1279</v>
      </c>
      <c r="C28" s="217"/>
      <c r="D28" s="217"/>
      <c r="E28" s="217"/>
      <c r="F28" s="217"/>
      <c r="G28" s="72" t="s">
        <v>1109</v>
      </c>
      <c r="H28" s="160"/>
      <c r="I28" s="230" t="s">
        <v>2449</v>
      </c>
      <c r="J28" s="211"/>
      <c r="K28" s="211"/>
      <c r="L28" s="1573"/>
    </row>
    <row r="29" spans="1:12" ht="15.75">
      <c r="A29" s="646"/>
      <c r="B29" s="831" t="s">
        <v>1950</v>
      </c>
      <c r="C29" s="217"/>
      <c r="D29" s="217"/>
      <c r="E29" s="217"/>
      <c r="F29" s="451" t="s">
        <v>1220</v>
      </c>
      <c r="G29" s="72" t="s">
        <v>1110</v>
      </c>
      <c r="H29" s="447">
        <f>'BC(S2)'!J31</f>
        <v>0</v>
      </c>
      <c r="I29" s="230" t="s">
        <v>2451</v>
      </c>
      <c r="J29" s="211"/>
      <c r="K29" s="211"/>
      <c r="L29" s="1573"/>
    </row>
    <row r="30" spans="1:12" ht="15.75">
      <c r="A30" s="646"/>
      <c r="B30" s="1464"/>
      <c r="C30" s="227"/>
      <c r="D30" s="227"/>
      <c r="E30" s="227"/>
      <c r="F30" s="1467"/>
      <c r="G30" s="230"/>
      <c r="H30" s="659"/>
      <c r="I30" s="230"/>
      <c r="J30" s="211"/>
      <c r="K30" s="211"/>
      <c r="L30" s="1573"/>
    </row>
    <row r="31" spans="1:12" ht="15.75">
      <c r="A31" s="646"/>
      <c r="B31" s="214" t="s">
        <v>1550</v>
      </c>
      <c r="C31" s="214"/>
      <c r="D31" s="214"/>
      <c r="E31" s="72" t="s">
        <v>1803</v>
      </c>
      <c r="F31" s="369">
        <f>Sch1!I34</f>
        <v>0</v>
      </c>
      <c r="G31" s="230" t="s">
        <v>2452</v>
      </c>
      <c r="H31" s="812"/>
      <c r="I31" s="231"/>
      <c r="J31" s="211"/>
      <c r="K31" s="211"/>
      <c r="L31" s="1573"/>
    </row>
    <row r="32" spans="1:12" ht="15.75">
      <c r="A32" s="646"/>
      <c r="B32" s="227" t="s">
        <v>2678</v>
      </c>
      <c r="C32" s="227"/>
      <c r="D32" s="227"/>
      <c r="E32" s="227"/>
      <c r="F32" s="1467"/>
      <c r="G32" s="230"/>
      <c r="H32" s="812"/>
      <c r="I32" s="231"/>
      <c r="J32" s="211"/>
      <c r="K32" s="211"/>
      <c r="L32" s="1573"/>
    </row>
    <row r="33" spans="1:12" ht="18.75" customHeight="1" thickBot="1">
      <c r="A33" s="646"/>
      <c r="B33" s="215" t="s">
        <v>2679</v>
      </c>
      <c r="C33" s="215"/>
      <c r="D33" s="215"/>
      <c r="E33" s="211"/>
      <c r="F33" s="737">
        <f>MINA(1877,0.03*'T1 GEN-2-3-4'!K89)</f>
        <v>0</v>
      </c>
      <c r="G33" s="230" t="s">
        <v>1911</v>
      </c>
      <c r="H33" s="211"/>
      <c r="I33" s="231"/>
      <c r="J33" s="211"/>
      <c r="K33" s="211"/>
      <c r="L33" s="1573"/>
    </row>
    <row r="34" spans="1:12" ht="15.75">
      <c r="A34" s="646"/>
      <c r="B34" s="217" t="s">
        <v>0</v>
      </c>
      <c r="C34" s="217"/>
      <c r="D34" s="217"/>
      <c r="E34" s="211"/>
      <c r="F34" s="447">
        <f>MAXA(0,F31-F33)</f>
        <v>0</v>
      </c>
      <c r="G34" s="230" t="s">
        <v>2454</v>
      </c>
      <c r="H34" s="211"/>
      <c r="I34" s="231"/>
      <c r="J34" s="211"/>
      <c r="K34" s="211"/>
      <c r="L34" s="1573"/>
    </row>
    <row r="35" spans="1:12" ht="15.75">
      <c r="A35" s="646"/>
      <c r="B35" s="227" t="s">
        <v>1128</v>
      </c>
      <c r="C35" s="227"/>
      <c r="D35" s="227"/>
      <c r="E35" s="211"/>
      <c r="F35" s="227"/>
      <c r="G35" s="230"/>
      <c r="H35" s="211"/>
      <c r="I35" s="231"/>
      <c r="J35" s="211"/>
      <c r="K35" s="211"/>
      <c r="L35" s="1573"/>
    </row>
    <row r="36" spans="1:12" ht="16.5" thickBot="1">
      <c r="A36" s="646"/>
      <c r="B36" s="214" t="s">
        <v>1129</v>
      </c>
      <c r="C36" s="214"/>
      <c r="D36" s="223"/>
      <c r="E36" s="72" t="s">
        <v>266</v>
      </c>
      <c r="F36" s="737">
        <f>'BC WRK'!G84</f>
        <v>0</v>
      </c>
      <c r="G36" s="230" t="s">
        <v>1916</v>
      </c>
      <c r="H36" s="211"/>
      <c r="I36" s="231"/>
      <c r="J36" s="211"/>
      <c r="K36" s="211"/>
      <c r="L36" s="1573"/>
    </row>
    <row r="37" spans="1:12" ht="16.5" thickBot="1">
      <c r="A37" s="646"/>
      <c r="B37" s="217" t="s">
        <v>1</v>
      </c>
      <c r="C37" s="217"/>
      <c r="D37" s="217"/>
      <c r="E37" s="72" t="s">
        <v>267</v>
      </c>
      <c r="F37" s="447">
        <f>F34+F36</f>
        <v>0</v>
      </c>
      <c r="G37" s="1195" t="s">
        <v>410</v>
      </c>
      <c r="H37" s="737">
        <f>F37</f>
        <v>0</v>
      </c>
      <c r="I37" s="230" t="s">
        <v>2456</v>
      </c>
      <c r="J37" s="211"/>
      <c r="K37" s="211"/>
      <c r="L37" s="1573"/>
    </row>
    <row r="38" spans="1:12" ht="15.75">
      <c r="A38" s="646"/>
      <c r="B38" s="214" t="s">
        <v>2</v>
      </c>
      <c r="C38" s="214"/>
      <c r="D38" s="214"/>
      <c r="E38" s="214"/>
      <c r="F38" s="214"/>
      <c r="G38" s="72" t="s">
        <v>174</v>
      </c>
      <c r="H38" s="447">
        <f>SUM(H9:H37)</f>
        <v>9027</v>
      </c>
      <c r="I38" s="1195" t="s">
        <v>410</v>
      </c>
      <c r="J38" s="447">
        <f>H38</f>
        <v>9027</v>
      </c>
      <c r="K38" s="230" t="s">
        <v>1917</v>
      </c>
      <c r="L38" s="1573"/>
    </row>
    <row r="39" spans="1:12" ht="16.5" thickBot="1">
      <c r="A39" s="646"/>
      <c r="B39" s="214" t="s">
        <v>234</v>
      </c>
      <c r="C39" s="214"/>
      <c r="D39" s="214"/>
      <c r="E39" s="214"/>
      <c r="F39" s="214"/>
      <c r="G39" s="214"/>
      <c r="H39" s="214"/>
      <c r="I39" s="231"/>
      <c r="J39" s="908">
        <v>0.057</v>
      </c>
      <c r="K39" s="230" t="s">
        <v>2016</v>
      </c>
      <c r="L39" s="1573"/>
    </row>
    <row r="40" spans="1:12" ht="15.75">
      <c r="A40" s="646"/>
      <c r="B40" s="217" t="s">
        <v>3</v>
      </c>
      <c r="C40" s="217"/>
      <c r="D40" s="217"/>
      <c r="E40" s="217"/>
      <c r="F40" s="217"/>
      <c r="G40" s="217"/>
      <c r="H40" s="217"/>
      <c r="I40" s="72" t="s">
        <v>1454</v>
      </c>
      <c r="J40" s="447">
        <f>J38*J39</f>
        <v>514.54</v>
      </c>
      <c r="K40" s="230" t="s">
        <v>1804</v>
      </c>
      <c r="L40" s="1573"/>
    </row>
    <row r="41" spans="1:12" ht="15">
      <c r="A41" s="646"/>
      <c r="B41" s="211" t="s">
        <v>235</v>
      </c>
      <c r="C41" s="211"/>
      <c r="D41" s="211"/>
      <c r="E41" s="211"/>
      <c r="F41" s="211"/>
      <c r="G41" s="211"/>
      <c r="H41" s="211"/>
      <c r="I41" s="231"/>
      <c r="J41" s="211"/>
      <c r="K41" s="211"/>
      <c r="L41" s="1573"/>
    </row>
    <row r="42" spans="1:12" ht="15.75">
      <c r="A42" s="646"/>
      <c r="B42" s="214"/>
      <c r="C42" s="214"/>
      <c r="D42" s="214"/>
      <c r="E42" s="221" t="s">
        <v>1951</v>
      </c>
      <c r="F42" s="447">
        <f>Sch9!E25</f>
        <v>0</v>
      </c>
      <c r="G42" s="800" t="s">
        <v>2680</v>
      </c>
      <c r="H42" s="447">
        <f>0.057*F42</f>
        <v>0</v>
      </c>
      <c r="I42" s="230" t="s">
        <v>2018</v>
      </c>
      <c r="J42" s="211"/>
      <c r="K42" s="211"/>
      <c r="L42" s="1573"/>
    </row>
    <row r="43" spans="1:12" ht="15.75">
      <c r="A43" s="646"/>
      <c r="B43" s="214"/>
      <c r="C43" s="217"/>
      <c r="D43" s="217"/>
      <c r="E43" s="450" t="s">
        <v>1952</v>
      </c>
      <c r="F43" s="648">
        <f>Sch9!E26</f>
        <v>0</v>
      </c>
      <c r="G43" s="800" t="s">
        <v>1221</v>
      </c>
      <c r="H43" s="648">
        <f>0.147*F43</f>
        <v>0</v>
      </c>
      <c r="I43" s="230" t="s">
        <v>1805</v>
      </c>
      <c r="J43" s="211"/>
      <c r="K43" s="211"/>
      <c r="L43" s="1573"/>
    </row>
    <row r="44" spans="1:12" ht="15.75">
      <c r="A44" s="646"/>
      <c r="B44" s="214" t="s">
        <v>4</v>
      </c>
      <c r="C44" s="214"/>
      <c r="D44" s="214"/>
      <c r="E44" s="214"/>
      <c r="F44" s="214"/>
      <c r="G44" s="72" t="s">
        <v>1452</v>
      </c>
      <c r="H44" s="648">
        <f>H42+H43</f>
        <v>0</v>
      </c>
      <c r="I44" s="1195" t="s">
        <v>410</v>
      </c>
      <c r="J44" s="447">
        <f>H44</f>
        <v>0</v>
      </c>
      <c r="K44" s="230" t="s">
        <v>1806</v>
      </c>
      <c r="L44" s="1573"/>
    </row>
    <row r="45" spans="1:12" ht="15.75">
      <c r="A45" s="646"/>
      <c r="B45" s="1469" t="s">
        <v>2681</v>
      </c>
      <c r="C45" s="215"/>
      <c r="D45" s="215"/>
      <c r="E45" s="215"/>
      <c r="F45" s="215"/>
      <c r="G45" s="230"/>
      <c r="H45" s="211"/>
      <c r="I45" s="1468"/>
      <c r="J45" s="211"/>
      <c r="K45" s="230"/>
      <c r="L45" s="1573"/>
    </row>
    <row r="46" spans="1:12" ht="21" customHeight="1">
      <c r="A46" s="646"/>
      <c r="B46" s="1194" t="s">
        <v>5</v>
      </c>
      <c r="C46" s="214"/>
      <c r="D46" s="214"/>
      <c r="E46" s="214"/>
      <c r="F46" s="214"/>
      <c r="G46" s="214"/>
      <c r="H46" s="226" t="s">
        <v>2162</v>
      </c>
      <c r="I46" s="72" t="s">
        <v>1453</v>
      </c>
      <c r="J46" s="739">
        <f>J40+J44</f>
        <v>514.54</v>
      </c>
      <c r="K46" s="230" t="s">
        <v>1807</v>
      </c>
      <c r="L46" s="1573"/>
    </row>
    <row r="47" spans="1:12" ht="25.5" customHeight="1">
      <c r="A47" s="646"/>
      <c r="B47" s="211"/>
      <c r="C47" s="211"/>
      <c r="D47" s="211"/>
      <c r="E47" s="211"/>
      <c r="F47" s="211"/>
      <c r="G47" s="211"/>
      <c r="H47" s="211"/>
      <c r="I47" s="231"/>
      <c r="J47" s="232" t="s">
        <v>1590</v>
      </c>
      <c r="K47" s="212" t="s">
        <v>570</v>
      </c>
      <c r="L47" s="1573"/>
    </row>
    <row r="48" spans="1:12" ht="20.25">
      <c r="A48" s="646"/>
      <c r="B48" s="212" t="s">
        <v>2671</v>
      </c>
      <c r="C48" s="211"/>
      <c r="D48" s="211"/>
      <c r="E48" s="211"/>
      <c r="F48" s="211"/>
      <c r="G48" s="211"/>
      <c r="H48" s="211"/>
      <c r="I48" s="211"/>
      <c r="J48" s="211"/>
      <c r="K48" s="211"/>
      <c r="L48" s="1573"/>
    </row>
    <row r="49" spans="1:12" ht="18">
      <c r="A49" s="646"/>
      <c r="B49" s="213"/>
      <c r="C49" s="211"/>
      <c r="D49" s="211"/>
      <c r="E49" s="211"/>
      <c r="F49" s="211"/>
      <c r="G49" s="211"/>
      <c r="H49" s="211"/>
      <c r="I49" s="211"/>
      <c r="J49" s="211"/>
      <c r="K49" s="211"/>
      <c r="L49" s="1573"/>
    </row>
    <row r="50" spans="1:12" ht="15.75">
      <c r="A50" s="646"/>
      <c r="B50" s="214" t="s">
        <v>1424</v>
      </c>
      <c r="C50" s="214"/>
      <c r="D50" s="214"/>
      <c r="E50" s="214"/>
      <c r="F50" s="214"/>
      <c r="G50" s="214"/>
      <c r="H50" s="214"/>
      <c r="I50" s="211"/>
      <c r="J50" s="369">
        <f>'T1 GEN-2-3-4'!K103</f>
        <v>0</v>
      </c>
      <c r="K50" s="230" t="s">
        <v>1456</v>
      </c>
      <c r="L50" s="1573"/>
    </row>
    <row r="51" spans="1:12" ht="15">
      <c r="A51" s="646"/>
      <c r="B51" s="470" t="s">
        <v>2682</v>
      </c>
      <c r="C51" s="215"/>
      <c r="D51" s="215"/>
      <c r="E51" s="215"/>
      <c r="F51" s="215"/>
      <c r="G51" s="211"/>
      <c r="H51" s="211"/>
      <c r="I51" s="211"/>
      <c r="J51" s="211"/>
      <c r="K51" s="211"/>
      <c r="L51" s="1573"/>
    </row>
    <row r="52" spans="1:12" ht="15">
      <c r="A52" s="646"/>
      <c r="B52" s="470" t="s">
        <v>2048</v>
      </c>
      <c r="C52" s="471"/>
      <c r="D52" s="1470" t="s">
        <v>2685</v>
      </c>
      <c r="E52" s="1588" t="s">
        <v>2685</v>
      </c>
      <c r="F52" s="1589"/>
      <c r="G52" s="1588" t="s">
        <v>2685</v>
      </c>
      <c r="H52" s="1589"/>
      <c r="I52" s="472"/>
      <c r="J52" s="473"/>
      <c r="K52" s="211"/>
      <c r="L52" s="1573"/>
    </row>
    <row r="53" spans="1:12" ht="15">
      <c r="A53" s="646"/>
      <c r="B53" s="470" t="s">
        <v>1681</v>
      </c>
      <c r="C53" s="474" t="s">
        <v>1589</v>
      </c>
      <c r="D53" s="475" t="s">
        <v>2689</v>
      </c>
      <c r="E53" s="1590" t="s">
        <v>2691</v>
      </c>
      <c r="F53" s="1591"/>
      <c r="G53" s="1590" t="s">
        <v>2693</v>
      </c>
      <c r="H53" s="1591"/>
      <c r="I53" s="1592" t="s">
        <v>2686</v>
      </c>
      <c r="J53" s="1591"/>
      <c r="K53" s="211"/>
      <c r="L53" s="1573"/>
    </row>
    <row r="54" spans="1:12" ht="15">
      <c r="A54" s="646"/>
      <c r="B54" s="1223" t="s">
        <v>51</v>
      </c>
      <c r="C54" s="476" t="s">
        <v>2688</v>
      </c>
      <c r="D54" s="797" t="s">
        <v>2690</v>
      </c>
      <c r="E54" s="1592" t="s">
        <v>2692</v>
      </c>
      <c r="F54" s="1591"/>
      <c r="G54" s="1592" t="s">
        <v>2694</v>
      </c>
      <c r="H54" s="1591"/>
      <c r="I54" s="1592" t="s">
        <v>2695</v>
      </c>
      <c r="J54" s="1591"/>
      <c r="K54" s="211"/>
      <c r="L54" s="1573"/>
    </row>
    <row r="55" spans="1:12" ht="15.75">
      <c r="A55" s="646"/>
      <c r="B55" s="1224" t="s">
        <v>2687</v>
      </c>
      <c r="C55" s="651">
        <f>IF(NOT($J$50&gt;D56),$J$50,0)</f>
        <v>0</v>
      </c>
      <c r="D55" s="651">
        <f>IF($J$50&gt;D56,IF(NOT($J$50&gt;F56),$J$50,0),0)</f>
        <v>0</v>
      </c>
      <c r="E55" s="652"/>
      <c r="F55" s="653">
        <f>IF($J$50&gt;F56,IF(NOT($J$50&gt;H56),$J$50,0),0)</f>
        <v>0</v>
      </c>
      <c r="G55" s="652"/>
      <c r="H55" s="653">
        <f>IF($J$50&gt;H56,IF(NOT($J$50&gt;J56),$J$50,0),0)</f>
        <v>0</v>
      </c>
      <c r="I55" s="652"/>
      <c r="J55" s="653">
        <f>IF(J50&gt;J56,J50,0)</f>
        <v>0</v>
      </c>
      <c r="K55" s="230" t="s">
        <v>1457</v>
      </c>
      <c r="L55" s="1573"/>
    </row>
    <row r="56" spans="1:12" ht="15.75">
      <c r="A56" s="646"/>
      <c r="B56" s="211" t="s">
        <v>2683</v>
      </c>
      <c r="C56" s="654">
        <v>0</v>
      </c>
      <c r="D56" s="654">
        <v>34397</v>
      </c>
      <c r="E56" s="655"/>
      <c r="F56" s="656">
        <v>68794</v>
      </c>
      <c r="G56" s="655"/>
      <c r="H56" s="656">
        <v>78984</v>
      </c>
      <c r="I56" s="655"/>
      <c r="J56" s="656">
        <v>95909</v>
      </c>
      <c r="K56" s="647" t="s">
        <v>1458</v>
      </c>
      <c r="L56" s="1573"/>
    </row>
    <row r="57" spans="1:12" ht="15.75">
      <c r="A57" s="646"/>
      <c r="B57" s="214" t="s">
        <v>581</v>
      </c>
      <c r="C57" s="654">
        <f>MAXA(0,C55-C56)</f>
        <v>0</v>
      </c>
      <c r="D57" s="654">
        <f>MAXA(0,D55-D56)</f>
        <v>0</v>
      </c>
      <c r="E57" s="655"/>
      <c r="F57" s="656">
        <f>MAXA(0,F55-F56)</f>
        <v>0</v>
      </c>
      <c r="G57" s="655"/>
      <c r="H57" s="656">
        <f>MAXA(0,H55-H56)</f>
        <v>0</v>
      </c>
      <c r="I57" s="655"/>
      <c r="J57" s="656">
        <f>MAXA(0,J55-J56)</f>
        <v>0</v>
      </c>
      <c r="K57" s="230" t="s">
        <v>531</v>
      </c>
      <c r="L57" s="1573"/>
    </row>
    <row r="58" spans="1:12" ht="15.75">
      <c r="A58" s="646"/>
      <c r="B58" s="211"/>
      <c r="C58" s="796">
        <v>0.057</v>
      </c>
      <c r="D58" s="796">
        <v>0.0865</v>
      </c>
      <c r="E58" s="657"/>
      <c r="F58" s="658">
        <v>0.111</v>
      </c>
      <c r="G58" s="657"/>
      <c r="H58" s="658">
        <v>0.13</v>
      </c>
      <c r="I58" s="657"/>
      <c r="J58" s="658">
        <v>0.147</v>
      </c>
      <c r="K58" s="230" t="s">
        <v>532</v>
      </c>
      <c r="L58" s="1573"/>
    </row>
    <row r="59" spans="1:12" ht="15.75">
      <c r="A59" s="646"/>
      <c r="B59" s="214" t="s">
        <v>6</v>
      </c>
      <c r="C59" s="654">
        <f>C57*C58</f>
        <v>0</v>
      </c>
      <c r="D59" s="654">
        <f>D57*D58</f>
        <v>0</v>
      </c>
      <c r="E59" s="655"/>
      <c r="F59" s="656">
        <f>F57*F58</f>
        <v>0</v>
      </c>
      <c r="G59" s="655"/>
      <c r="H59" s="656">
        <f>H57*H58</f>
        <v>0</v>
      </c>
      <c r="I59" s="655"/>
      <c r="J59" s="656">
        <f>J57*J58</f>
        <v>0</v>
      </c>
      <c r="K59" s="230" t="s">
        <v>1451</v>
      </c>
      <c r="L59" s="1573"/>
    </row>
    <row r="60" spans="1:12" ht="15.75">
      <c r="A60" s="646"/>
      <c r="B60" s="211"/>
      <c r="C60" s="654">
        <v>0</v>
      </c>
      <c r="D60" s="654">
        <v>1961</v>
      </c>
      <c r="E60" s="655"/>
      <c r="F60" s="656">
        <v>4936</v>
      </c>
      <c r="G60" s="655"/>
      <c r="H60" s="656">
        <v>6067</v>
      </c>
      <c r="I60" s="655"/>
      <c r="J60" s="656">
        <v>8267</v>
      </c>
      <c r="K60" s="230" t="s">
        <v>1455</v>
      </c>
      <c r="L60" s="1573"/>
    </row>
    <row r="61" spans="1:12" ht="31.5">
      <c r="A61" s="646"/>
      <c r="B61" s="477" t="s">
        <v>2684</v>
      </c>
      <c r="C61" s="654" t="b">
        <f>IF($J$50&gt;0,IF(NOT($J$50&gt;D56),(C59+C60),0))</f>
        <v>0</v>
      </c>
      <c r="D61" s="654" t="b">
        <f>IF($J$50&gt;D56,IF(NOT($J$50&gt;F56),(D59+D60),0))</f>
        <v>0</v>
      </c>
      <c r="E61" s="655"/>
      <c r="F61" s="656" t="b">
        <f>IF($J$50&gt;F56,IF(NOT($J$50&gt;H56),(F59+F60),0))</f>
        <v>0</v>
      </c>
      <c r="G61" s="655"/>
      <c r="H61" s="656" t="b">
        <f>IF($J$50&gt;H56,IF(NOT($J$50&gt;J56),(H59+H60),0))</f>
        <v>0</v>
      </c>
      <c r="I61" s="655"/>
      <c r="J61" s="656">
        <f>IF(J50&gt;J56,J59+J60,0)</f>
        <v>0</v>
      </c>
      <c r="K61" s="230" t="s">
        <v>2458</v>
      </c>
      <c r="L61" s="1573"/>
    </row>
    <row r="62" spans="1:12" ht="15">
      <c r="A62" s="646"/>
      <c r="B62" s="211"/>
      <c r="C62" s="211"/>
      <c r="D62" s="211"/>
      <c r="E62" s="211"/>
      <c r="F62" s="211"/>
      <c r="G62" s="211"/>
      <c r="H62" s="211"/>
      <c r="I62" s="211"/>
      <c r="J62" s="211"/>
      <c r="K62" s="211"/>
      <c r="L62" s="1573"/>
    </row>
    <row r="63" spans="1:12" ht="20.25">
      <c r="A63" s="646"/>
      <c r="B63" s="212" t="s">
        <v>59</v>
      </c>
      <c r="C63" s="211"/>
      <c r="D63" s="211"/>
      <c r="E63" s="211"/>
      <c r="F63" s="211"/>
      <c r="G63" s="211"/>
      <c r="H63" s="211"/>
      <c r="I63" s="231"/>
      <c r="J63" s="211"/>
      <c r="K63" s="211"/>
      <c r="L63" s="1573"/>
    </row>
    <row r="64" spans="1:12" ht="17.25" customHeight="1">
      <c r="A64" s="646"/>
      <c r="B64" s="214" t="s">
        <v>2696</v>
      </c>
      <c r="C64" s="214"/>
      <c r="D64" s="214"/>
      <c r="E64" s="214"/>
      <c r="F64" s="214"/>
      <c r="G64" s="214"/>
      <c r="H64" s="214"/>
      <c r="I64" s="231"/>
      <c r="J64" s="447">
        <f>MAXA(C61,D61,F61,H61,J61)</f>
        <v>0</v>
      </c>
      <c r="K64" s="230" t="s">
        <v>1787</v>
      </c>
      <c r="L64" s="1573"/>
    </row>
    <row r="65" spans="1:12" ht="16.5" thickBot="1">
      <c r="A65" s="646"/>
      <c r="B65" s="217" t="s">
        <v>1222</v>
      </c>
      <c r="C65" s="217"/>
      <c r="D65" s="217"/>
      <c r="E65" s="217"/>
      <c r="F65" s="217"/>
      <c r="G65" s="217"/>
      <c r="H65" s="217"/>
      <c r="I65" s="72" t="s">
        <v>1788</v>
      </c>
      <c r="J65" s="752"/>
      <c r="K65" s="975" t="s">
        <v>289</v>
      </c>
      <c r="L65" s="1573"/>
    </row>
    <row r="66" spans="1:12" ht="15.75">
      <c r="A66" s="646"/>
      <c r="B66" s="217" t="s">
        <v>652</v>
      </c>
      <c r="C66" s="217"/>
      <c r="D66" s="217"/>
      <c r="E66" s="217"/>
      <c r="F66" s="217"/>
      <c r="G66" s="217"/>
      <c r="H66" s="217"/>
      <c r="I66" s="231"/>
      <c r="J66" s="447">
        <f>J64+J65</f>
        <v>0</v>
      </c>
      <c r="K66" s="230" t="s">
        <v>1789</v>
      </c>
      <c r="L66" s="1573"/>
    </row>
    <row r="67" spans="1:12" ht="15">
      <c r="A67" s="646"/>
      <c r="B67" s="211"/>
      <c r="C67" s="211"/>
      <c r="D67" s="211"/>
      <c r="E67" s="211"/>
      <c r="F67" s="211"/>
      <c r="G67" s="211"/>
      <c r="H67" s="211"/>
      <c r="I67" s="231"/>
      <c r="J67" s="211"/>
      <c r="K67" s="211"/>
      <c r="L67" s="1573"/>
    </row>
    <row r="68" spans="1:12" ht="15.75">
      <c r="A68" s="646"/>
      <c r="B68" s="214" t="s">
        <v>2697</v>
      </c>
      <c r="C68" s="214"/>
      <c r="D68" s="214"/>
      <c r="E68" s="214"/>
      <c r="F68" s="214"/>
      <c r="G68" s="211"/>
      <c r="H68" s="447">
        <f>J46</f>
        <v>514.54</v>
      </c>
      <c r="I68" s="230" t="s">
        <v>2583</v>
      </c>
      <c r="J68" s="211"/>
      <c r="K68" s="211"/>
      <c r="L68" s="1573"/>
    </row>
    <row r="69" spans="1:12" ht="15">
      <c r="A69" s="646"/>
      <c r="B69" s="211" t="s">
        <v>989</v>
      </c>
      <c r="C69" s="211"/>
      <c r="D69" s="211"/>
      <c r="E69" s="211"/>
      <c r="F69" s="211"/>
      <c r="G69" s="211"/>
      <c r="H69" s="211"/>
      <c r="I69" s="231"/>
      <c r="J69" s="211"/>
      <c r="K69" s="211"/>
      <c r="L69" s="1573"/>
    </row>
    <row r="70" spans="1:12" ht="15.75">
      <c r="A70" s="646"/>
      <c r="B70" s="214" t="s">
        <v>864</v>
      </c>
      <c r="C70" s="214"/>
      <c r="D70" s="214"/>
      <c r="E70" s="214"/>
      <c r="F70" s="214"/>
      <c r="G70" s="72" t="s">
        <v>1828</v>
      </c>
      <c r="H70" s="447">
        <f>MAX('BC WRK'!I97,'BC WRK'!I89)</f>
        <v>0</v>
      </c>
      <c r="I70" s="975" t="s">
        <v>2004</v>
      </c>
      <c r="J70" s="211"/>
      <c r="K70" s="211"/>
      <c r="L70" s="1573"/>
    </row>
    <row r="71" spans="1:12" ht="15">
      <c r="A71" s="646"/>
      <c r="B71" s="211" t="s">
        <v>52</v>
      </c>
      <c r="C71" s="211"/>
      <c r="D71" s="211"/>
      <c r="E71" s="211"/>
      <c r="F71" s="211"/>
      <c r="G71" s="211"/>
      <c r="H71" s="211"/>
      <c r="I71" s="231"/>
      <c r="J71" s="211"/>
      <c r="K71" s="211"/>
      <c r="L71" s="1573"/>
    </row>
    <row r="72" spans="1:12" ht="15.75">
      <c r="A72" s="646"/>
      <c r="B72" s="214" t="s">
        <v>2698</v>
      </c>
      <c r="C72" s="214"/>
      <c r="D72" s="214"/>
      <c r="E72" s="214"/>
      <c r="F72" s="214"/>
      <c r="G72" s="72" t="s">
        <v>1829</v>
      </c>
      <c r="H72" s="447">
        <f>'BC WRK'!I106</f>
        <v>0</v>
      </c>
      <c r="I72" s="975" t="s">
        <v>2005</v>
      </c>
      <c r="J72" s="211"/>
      <c r="K72" s="211"/>
      <c r="L72" s="1573"/>
    </row>
    <row r="73" spans="1:12" ht="15.75">
      <c r="A73" s="646"/>
      <c r="B73" s="215" t="s">
        <v>53</v>
      </c>
      <c r="C73" s="215"/>
      <c r="D73" s="215"/>
      <c r="E73" s="215"/>
      <c r="F73" s="215"/>
      <c r="G73" s="211"/>
      <c r="H73" s="227"/>
      <c r="I73" s="230"/>
      <c r="J73" s="211"/>
      <c r="K73" s="211"/>
      <c r="L73" s="1573"/>
    </row>
    <row r="74" spans="1:12" ht="16.5" thickBot="1">
      <c r="A74" s="646"/>
      <c r="B74" s="214" t="s">
        <v>1701</v>
      </c>
      <c r="C74" s="214"/>
      <c r="D74" s="447">
        <f>Sch1!I69</f>
        <v>0</v>
      </c>
      <c r="E74" s="214"/>
      <c r="F74" s="812" t="s">
        <v>2699</v>
      </c>
      <c r="G74" s="72" t="s">
        <v>1830</v>
      </c>
      <c r="H74" s="737">
        <f>0.38*D74</f>
        <v>0</v>
      </c>
      <c r="I74" s="975" t="s">
        <v>449</v>
      </c>
      <c r="J74" s="211"/>
      <c r="K74" s="211"/>
      <c r="L74" s="1573"/>
    </row>
    <row r="75" spans="1:12" ht="16.5" thickBot="1">
      <c r="A75" s="646"/>
      <c r="B75" s="217" t="s">
        <v>653</v>
      </c>
      <c r="C75" s="217"/>
      <c r="D75" s="217"/>
      <c r="E75" s="217"/>
      <c r="F75" s="217"/>
      <c r="G75" s="211"/>
      <c r="H75" s="447">
        <f>SUM(H68:H73)</f>
        <v>514.54</v>
      </c>
      <c r="I75" s="1195" t="s">
        <v>410</v>
      </c>
      <c r="J75" s="737">
        <f>H75</f>
        <v>514.54</v>
      </c>
      <c r="K75" s="230" t="s">
        <v>1832</v>
      </c>
      <c r="L75" s="1573"/>
    </row>
    <row r="76" spans="1:12" ht="15.75">
      <c r="A76" s="646"/>
      <c r="B76" s="214" t="s">
        <v>654</v>
      </c>
      <c r="C76" s="214"/>
      <c r="D76" s="214"/>
      <c r="E76" s="214"/>
      <c r="F76" s="214"/>
      <c r="G76" s="214"/>
      <c r="H76" s="214"/>
      <c r="I76" s="231"/>
      <c r="J76" s="447">
        <f>MAXA(0,J66-J75)</f>
        <v>0</v>
      </c>
      <c r="K76" s="230" t="s">
        <v>948</v>
      </c>
      <c r="L76" s="1573"/>
    </row>
    <row r="77" spans="1:12" ht="15.75">
      <c r="A77" s="646"/>
      <c r="B77" s="227" t="s">
        <v>2386</v>
      </c>
      <c r="C77" s="227"/>
      <c r="D77" s="227"/>
      <c r="E77" s="227"/>
      <c r="F77" s="227"/>
      <c r="G77" s="227"/>
      <c r="H77" s="227"/>
      <c r="I77" s="231"/>
      <c r="J77" s="211"/>
      <c r="K77" s="230"/>
      <c r="L77" s="1573"/>
    </row>
    <row r="78" spans="1:12" ht="15.75">
      <c r="A78" s="646"/>
      <c r="B78" s="214" t="s">
        <v>2700</v>
      </c>
      <c r="C78" s="214"/>
      <c r="D78" s="826"/>
      <c r="E78" s="214"/>
      <c r="F78" s="812" t="s">
        <v>2699</v>
      </c>
      <c r="G78" s="214"/>
      <c r="H78" s="214"/>
      <c r="I78" s="231"/>
      <c r="J78" s="447">
        <f>D78*0.38</f>
        <v>0</v>
      </c>
      <c r="K78" s="230" t="s">
        <v>1833</v>
      </c>
      <c r="L78" s="1573"/>
    </row>
    <row r="79" spans="1:12" ht="15.75">
      <c r="A79" s="646"/>
      <c r="B79" s="217" t="s">
        <v>291</v>
      </c>
      <c r="C79" s="217"/>
      <c r="D79" s="217"/>
      <c r="E79" s="217"/>
      <c r="F79" s="217"/>
      <c r="G79" s="217"/>
      <c r="H79" s="217"/>
      <c r="I79" s="231"/>
      <c r="J79" s="447">
        <f>J76+J78</f>
        <v>0</v>
      </c>
      <c r="K79" s="230" t="s">
        <v>1834</v>
      </c>
      <c r="L79" s="1573"/>
    </row>
    <row r="80" spans="1:12" ht="16.5" thickBot="1">
      <c r="A80" s="646"/>
      <c r="B80" s="217" t="s">
        <v>990</v>
      </c>
      <c r="C80" s="217"/>
      <c r="D80" s="217"/>
      <c r="E80" s="217"/>
      <c r="F80" s="217"/>
      <c r="G80" s="217"/>
      <c r="H80" s="217"/>
      <c r="I80" s="231"/>
      <c r="J80" s="752"/>
      <c r="K80" s="230" t="s">
        <v>1835</v>
      </c>
      <c r="L80" s="1573"/>
    </row>
    <row r="81" spans="1:12" ht="15.75">
      <c r="A81" s="646"/>
      <c r="B81" s="217" t="s">
        <v>2701</v>
      </c>
      <c r="C81" s="217"/>
      <c r="D81" s="217"/>
      <c r="E81" s="217"/>
      <c r="F81" s="217"/>
      <c r="G81" s="217"/>
      <c r="H81" s="217"/>
      <c r="I81" s="231"/>
      <c r="J81" s="447">
        <f>J79-J80</f>
        <v>0</v>
      </c>
      <c r="K81" s="230" t="s">
        <v>1836</v>
      </c>
      <c r="L81" s="1573"/>
    </row>
    <row r="82" spans="1:12" ht="27" customHeight="1">
      <c r="A82" s="646"/>
      <c r="B82" s="248" t="s">
        <v>966</v>
      </c>
      <c r="C82" s="215"/>
      <c r="D82" s="215"/>
      <c r="E82" s="215"/>
      <c r="F82" s="215"/>
      <c r="G82" s="215"/>
      <c r="H82" s="215"/>
      <c r="I82" s="231"/>
      <c r="J82" s="211"/>
      <c r="K82" s="230"/>
      <c r="L82" s="1573"/>
    </row>
    <row r="83" spans="1:12" ht="15.75">
      <c r="A83" s="646"/>
      <c r="B83" s="215" t="s">
        <v>2703</v>
      </c>
      <c r="C83" s="215"/>
      <c r="D83" s="215"/>
      <c r="E83" s="215"/>
      <c r="F83" s="215"/>
      <c r="G83" s="215"/>
      <c r="H83" s="215"/>
      <c r="I83" s="231"/>
      <c r="J83" s="211"/>
      <c r="K83" s="230"/>
      <c r="L83" s="1573"/>
    </row>
    <row r="84" spans="1:12" ht="15.75">
      <c r="A84" s="646"/>
      <c r="B84" s="215" t="s">
        <v>2702</v>
      </c>
      <c r="C84" s="215"/>
      <c r="D84" s="215"/>
      <c r="E84" s="215"/>
      <c r="F84" s="215"/>
      <c r="G84" s="215"/>
      <c r="H84" s="215"/>
      <c r="I84" s="231"/>
      <c r="J84" s="211"/>
      <c r="K84" s="230"/>
      <c r="L84" s="1573"/>
    </row>
    <row r="85" spans="1:12" ht="15.75">
      <c r="A85" s="646"/>
      <c r="B85" s="215"/>
      <c r="C85" s="215"/>
      <c r="D85" s="215"/>
      <c r="E85" s="215"/>
      <c r="F85" s="215"/>
      <c r="G85" s="215"/>
      <c r="H85" s="215"/>
      <c r="I85" s="231"/>
      <c r="J85" s="211"/>
      <c r="K85" s="230"/>
      <c r="L85" s="1573"/>
    </row>
    <row r="86" spans="1:12" ht="15.75">
      <c r="A86" s="646"/>
      <c r="B86" s="214" t="s">
        <v>770</v>
      </c>
      <c r="C86" s="214"/>
      <c r="D86" s="214"/>
      <c r="E86" s="214"/>
      <c r="F86" s="221" t="s">
        <v>2704</v>
      </c>
      <c r="G86" s="215"/>
      <c r="H86" s="447">
        <v>375</v>
      </c>
      <c r="I86" s="230" t="s">
        <v>1837</v>
      </c>
      <c r="J86" s="211"/>
      <c r="K86" s="230"/>
      <c r="L86" s="1573"/>
    </row>
    <row r="87" spans="1:12" ht="15.75">
      <c r="A87" s="646"/>
      <c r="B87" s="215"/>
      <c r="C87" s="215"/>
      <c r="D87" s="215"/>
      <c r="E87" s="215"/>
      <c r="F87" s="215"/>
      <c r="G87" s="215"/>
      <c r="H87" s="215"/>
      <c r="I87" s="231"/>
      <c r="J87" s="211"/>
      <c r="K87" s="230"/>
      <c r="L87" s="1573"/>
    </row>
    <row r="88" spans="1:12" ht="15.75">
      <c r="A88" s="646"/>
      <c r="B88" s="214" t="s">
        <v>2181</v>
      </c>
      <c r="C88" s="214"/>
      <c r="D88" s="214"/>
      <c r="E88" s="215"/>
      <c r="F88" s="447">
        <f>'T1 GEN-2-3-4'!K89</f>
        <v>0</v>
      </c>
      <c r="G88" s="230" t="s">
        <v>949</v>
      </c>
      <c r="H88" s="215"/>
      <c r="I88" s="231"/>
      <c r="J88" s="211"/>
      <c r="K88" s="230"/>
      <c r="L88" s="1573"/>
    </row>
    <row r="89" spans="1:12" ht="16.5" thickBot="1">
      <c r="A89" s="646"/>
      <c r="B89" s="217" t="s">
        <v>60</v>
      </c>
      <c r="C89" s="217"/>
      <c r="D89" s="217"/>
      <c r="E89" s="215"/>
      <c r="F89" s="751">
        <v>16646</v>
      </c>
      <c r="G89" s="230" t="s">
        <v>951</v>
      </c>
      <c r="H89" s="215"/>
      <c r="I89" s="231"/>
      <c r="J89" s="211"/>
      <c r="K89" s="230"/>
      <c r="L89" s="1573"/>
    </row>
    <row r="90" spans="1:12" ht="15.75">
      <c r="A90" s="646"/>
      <c r="B90" s="217" t="s">
        <v>2705</v>
      </c>
      <c r="C90" s="217"/>
      <c r="D90" s="217"/>
      <c r="E90" s="215"/>
      <c r="F90" s="447">
        <f>MAX(0,F88-F89)</f>
        <v>0</v>
      </c>
      <c r="G90" s="230" t="s">
        <v>1838</v>
      </c>
      <c r="H90" s="215"/>
      <c r="I90" s="231"/>
      <c r="J90" s="211"/>
      <c r="K90" s="230"/>
      <c r="L90" s="1573"/>
    </row>
    <row r="91" spans="1:12" ht="16.5" thickBot="1">
      <c r="A91" s="646"/>
      <c r="B91" s="217" t="s">
        <v>2472</v>
      </c>
      <c r="C91" s="217"/>
      <c r="D91" s="217"/>
      <c r="E91" s="215"/>
      <c r="F91" s="1222">
        <v>0.034</v>
      </c>
      <c r="G91" s="230" t="s">
        <v>1839</v>
      </c>
      <c r="H91" s="215"/>
      <c r="I91" s="231"/>
      <c r="J91" s="211"/>
      <c r="K91" s="230"/>
      <c r="L91" s="1573"/>
    </row>
    <row r="92" spans="1:12" ht="16.5" thickBot="1">
      <c r="A92" s="646"/>
      <c r="B92" s="217" t="s">
        <v>2706</v>
      </c>
      <c r="C92" s="217"/>
      <c r="D92" s="217"/>
      <c r="E92" s="215"/>
      <c r="F92" s="447">
        <f>F90*F91</f>
        <v>0</v>
      </c>
      <c r="G92" s="1195" t="s">
        <v>410</v>
      </c>
      <c r="H92" s="737">
        <f>F92</f>
        <v>0</v>
      </c>
      <c r="I92" s="230" t="s">
        <v>1840</v>
      </c>
      <c r="J92" s="211"/>
      <c r="K92" s="230"/>
      <c r="L92" s="1573"/>
    </row>
    <row r="93" spans="1:12" ht="16.5" thickBot="1">
      <c r="A93" s="646"/>
      <c r="B93" s="217" t="s">
        <v>2707</v>
      </c>
      <c r="C93" s="217"/>
      <c r="D93" s="217"/>
      <c r="E93" s="215"/>
      <c r="F93" s="215"/>
      <c r="G93" s="215"/>
      <c r="H93" s="447">
        <f>MAX(0,H86-H92)</f>
        <v>375</v>
      </c>
      <c r="I93" s="1195" t="s">
        <v>410</v>
      </c>
      <c r="J93" s="737">
        <f>H93</f>
        <v>375</v>
      </c>
      <c r="K93" s="230" t="s">
        <v>1841</v>
      </c>
      <c r="L93" s="1573"/>
    </row>
    <row r="94" spans="1:12" ht="15.75">
      <c r="A94" s="646"/>
      <c r="B94" s="217" t="s">
        <v>2708</v>
      </c>
      <c r="C94" s="217"/>
      <c r="D94" s="217"/>
      <c r="E94" s="215"/>
      <c r="F94" s="215"/>
      <c r="G94" s="215"/>
      <c r="H94" s="215"/>
      <c r="I94" s="231"/>
      <c r="J94" s="977">
        <f>MAX(0,J81-J93)</f>
        <v>0</v>
      </c>
      <c r="K94" s="230" t="s">
        <v>1842</v>
      </c>
      <c r="L94" s="1573"/>
    </row>
    <row r="95" spans="1:12" ht="15.75">
      <c r="A95" s="646"/>
      <c r="B95" s="215"/>
      <c r="C95" s="215"/>
      <c r="D95" s="215"/>
      <c r="E95" s="215"/>
      <c r="F95" s="215"/>
      <c r="G95" s="215"/>
      <c r="H95" s="215"/>
      <c r="I95" s="231"/>
      <c r="J95" s="211"/>
      <c r="K95" s="230"/>
      <c r="L95" s="1573"/>
    </row>
    <row r="96" spans="1:12" ht="16.5" thickBot="1">
      <c r="A96" s="646"/>
      <c r="B96" s="214" t="s">
        <v>547</v>
      </c>
      <c r="C96" s="214"/>
      <c r="D96" s="214"/>
      <c r="E96" s="214"/>
      <c r="F96" s="214"/>
      <c r="G96" s="214"/>
      <c r="H96" s="214"/>
      <c r="I96" s="231"/>
      <c r="J96" s="752"/>
      <c r="K96" s="230" t="s">
        <v>1843</v>
      </c>
      <c r="L96" s="1573"/>
    </row>
    <row r="97" spans="1:12" ht="15.75">
      <c r="A97" s="646"/>
      <c r="B97" s="217" t="s">
        <v>2709</v>
      </c>
      <c r="C97" s="217"/>
      <c r="D97" s="217"/>
      <c r="E97" s="217"/>
      <c r="F97" s="217"/>
      <c r="G97" s="217"/>
      <c r="H97" s="217"/>
      <c r="I97" s="231"/>
      <c r="J97" s="447">
        <f>MAX(0,J94-J96)</f>
        <v>0</v>
      </c>
      <c r="K97" s="230" t="s">
        <v>1844</v>
      </c>
      <c r="L97" s="1573"/>
    </row>
    <row r="98" spans="1:12" ht="59.25" customHeight="1">
      <c r="A98" s="646"/>
      <c r="B98" s="215"/>
      <c r="C98" s="215"/>
      <c r="D98" s="215"/>
      <c r="E98" s="215"/>
      <c r="F98" s="215"/>
      <c r="G98" s="215"/>
      <c r="H98" s="215"/>
      <c r="I98" s="231"/>
      <c r="J98" s="813" t="s">
        <v>2674</v>
      </c>
      <c r="K98" s="1466" t="s">
        <v>1591</v>
      </c>
      <c r="L98" s="1573"/>
    </row>
    <row r="99" spans="1:12" ht="44.25" customHeight="1">
      <c r="A99" s="646"/>
      <c r="B99" s="215"/>
      <c r="C99" s="215"/>
      <c r="D99" s="215"/>
      <c r="E99" s="215"/>
      <c r="F99" s="215"/>
      <c r="G99" s="215"/>
      <c r="H99" s="215"/>
      <c r="I99" s="231"/>
      <c r="J99" s="813"/>
      <c r="K99" s="1466"/>
      <c r="L99" s="1573"/>
    </row>
    <row r="100" spans="1:12" ht="20.25">
      <c r="A100" s="646"/>
      <c r="B100" s="212" t="s">
        <v>2675</v>
      </c>
      <c r="C100" s="215"/>
      <c r="D100" s="215"/>
      <c r="E100" s="215"/>
      <c r="F100" s="215"/>
      <c r="G100" s="215"/>
      <c r="H100" s="215"/>
      <c r="I100" s="231"/>
      <c r="J100" s="211"/>
      <c r="K100" s="230"/>
      <c r="L100" s="1573"/>
    </row>
    <row r="101" spans="1:12" ht="30" customHeight="1">
      <c r="A101" s="646"/>
      <c r="B101" s="214" t="s">
        <v>7</v>
      </c>
      <c r="C101" s="214"/>
      <c r="D101" s="214"/>
      <c r="E101" s="214"/>
      <c r="F101" s="214"/>
      <c r="G101" s="214"/>
      <c r="H101" s="214"/>
      <c r="I101" s="231"/>
      <c r="J101" s="447">
        <f>J97</f>
        <v>0</v>
      </c>
      <c r="K101" s="230" t="s">
        <v>1844</v>
      </c>
      <c r="L101" s="1573"/>
    </row>
    <row r="102" spans="1:12" ht="36.75" customHeight="1">
      <c r="A102" s="646"/>
      <c r="B102" s="798" t="s">
        <v>54</v>
      </c>
      <c r="C102" s="215"/>
      <c r="D102" s="215"/>
      <c r="E102" s="215"/>
      <c r="F102" s="215"/>
      <c r="G102" s="215"/>
      <c r="H102" s="215"/>
      <c r="I102" s="231"/>
      <c r="J102" s="211"/>
      <c r="K102" s="230"/>
      <c r="L102" s="1573"/>
    </row>
    <row r="103" spans="1:12" ht="18" customHeight="1">
      <c r="A103" s="646"/>
      <c r="B103" s="214" t="str">
        <f>"Enter British Columbia political contributions made in "&amp;yeartext</f>
        <v>Enter British Columbia political contributions made in 2007</v>
      </c>
      <c r="C103" s="214"/>
      <c r="D103" s="214"/>
      <c r="E103" s="214"/>
      <c r="F103" s="214"/>
      <c r="G103" s="72">
        <v>6040</v>
      </c>
      <c r="H103" s="447">
        <f>'BC WRK'!I115</f>
        <v>0</v>
      </c>
      <c r="I103" s="230" t="s">
        <v>1845</v>
      </c>
      <c r="J103" s="211"/>
      <c r="K103" s="230"/>
      <c r="L103" s="1573"/>
    </row>
    <row r="104" spans="1:12" ht="15.75">
      <c r="A104" s="646"/>
      <c r="B104" s="215" t="s">
        <v>2710</v>
      </c>
      <c r="C104" s="215"/>
      <c r="D104" s="215"/>
      <c r="E104" s="215"/>
      <c r="F104" s="215"/>
      <c r="G104" s="215"/>
      <c r="H104" s="215"/>
      <c r="I104" s="231"/>
      <c r="J104" s="211"/>
      <c r="K104" s="230"/>
      <c r="L104" s="1573"/>
    </row>
    <row r="105" spans="1:12" ht="16.5" thickBot="1">
      <c r="A105" s="646"/>
      <c r="B105" s="214" t="s">
        <v>2049</v>
      </c>
      <c r="C105" s="214"/>
      <c r="D105" s="214"/>
      <c r="E105" s="214"/>
      <c r="F105" s="214"/>
      <c r="G105" s="214"/>
      <c r="H105" s="221" t="s">
        <v>55</v>
      </c>
      <c r="I105" s="231"/>
      <c r="J105" s="751">
        <f>'BC WRK'!I117</f>
        <v>0</v>
      </c>
      <c r="K105" s="230" t="s">
        <v>1846</v>
      </c>
      <c r="L105" s="1573"/>
    </row>
    <row r="106" spans="1:12" ht="15.75">
      <c r="A106" s="646"/>
      <c r="B106" s="217" t="s">
        <v>2711</v>
      </c>
      <c r="C106" s="217"/>
      <c r="D106" s="217"/>
      <c r="E106" s="217"/>
      <c r="F106" s="217"/>
      <c r="G106" s="217"/>
      <c r="H106" s="217"/>
      <c r="I106" s="231"/>
      <c r="J106" s="447">
        <f>MAX(0,J101-J105)</f>
        <v>0</v>
      </c>
      <c r="K106" s="230" t="s">
        <v>1847</v>
      </c>
      <c r="L106" s="1573"/>
    </row>
    <row r="107" spans="1:12" ht="15.75">
      <c r="A107" s="646"/>
      <c r="B107" s="215"/>
      <c r="C107" s="215"/>
      <c r="D107" s="215"/>
      <c r="E107" s="215"/>
      <c r="F107" s="215"/>
      <c r="G107" s="215"/>
      <c r="H107" s="215"/>
      <c r="I107" s="231"/>
      <c r="J107" s="211"/>
      <c r="K107" s="230"/>
      <c r="L107" s="1573"/>
    </row>
    <row r="108" spans="1:12" ht="15.75">
      <c r="A108" s="646"/>
      <c r="B108" s="248" t="s">
        <v>279</v>
      </c>
      <c r="C108" s="215"/>
      <c r="D108" s="215"/>
      <c r="E108" s="215"/>
      <c r="F108" s="215"/>
      <c r="G108" s="215"/>
      <c r="H108" s="215"/>
      <c r="I108" s="231"/>
      <c r="J108" s="211"/>
      <c r="K108" s="230"/>
      <c r="L108" s="1573"/>
    </row>
    <row r="109" spans="1:12" ht="15.75">
      <c r="A109" s="646"/>
      <c r="B109" s="214" t="s">
        <v>2712</v>
      </c>
      <c r="C109" s="214"/>
      <c r="D109" s="214"/>
      <c r="E109" s="214"/>
      <c r="F109" s="214"/>
      <c r="G109" s="72">
        <v>6045</v>
      </c>
      <c r="H109" s="159"/>
      <c r="I109" s="975" t="s">
        <v>2676</v>
      </c>
      <c r="J109" s="211"/>
      <c r="K109" s="230"/>
      <c r="L109" s="1573"/>
    </row>
    <row r="110" spans="1:12" ht="16.5" thickBot="1">
      <c r="A110" s="646"/>
      <c r="B110" s="217" t="s">
        <v>2713</v>
      </c>
      <c r="C110" s="217"/>
      <c r="D110" s="217"/>
      <c r="E110" s="217"/>
      <c r="F110" s="217"/>
      <c r="G110" s="72">
        <v>6047</v>
      </c>
      <c r="H110" s="752"/>
      <c r="I110" s="975" t="s">
        <v>288</v>
      </c>
      <c r="J110" s="215"/>
      <c r="K110" s="230"/>
      <c r="L110" s="1573"/>
    </row>
    <row r="111" spans="1:12" ht="16.5" thickBot="1">
      <c r="A111" s="646"/>
      <c r="B111" s="217" t="s">
        <v>2714</v>
      </c>
      <c r="C111" s="217"/>
      <c r="D111" s="217"/>
      <c r="E111" s="217"/>
      <c r="F111" s="450" t="s">
        <v>403</v>
      </c>
      <c r="G111" s="215"/>
      <c r="H111" s="447">
        <f>MINA(2000,H109+H110)</f>
        <v>0</v>
      </c>
      <c r="I111" s="1195" t="s">
        <v>410</v>
      </c>
      <c r="J111" s="737">
        <f>H111</f>
        <v>0</v>
      </c>
      <c r="K111" s="230" t="s">
        <v>662</v>
      </c>
      <c r="L111" s="1573"/>
    </row>
    <row r="112" spans="1:12" ht="15.75">
      <c r="A112" s="646"/>
      <c r="B112" s="214" t="s">
        <v>2715</v>
      </c>
      <c r="C112" s="214"/>
      <c r="D112" s="214"/>
      <c r="E112" s="214"/>
      <c r="F112" s="214"/>
      <c r="G112" s="214"/>
      <c r="H112" s="214"/>
      <c r="I112" s="231"/>
      <c r="J112" s="447">
        <f>MAXA(0,J106-J111)</f>
        <v>0</v>
      </c>
      <c r="K112" s="230" t="s">
        <v>663</v>
      </c>
      <c r="L112" s="1573"/>
    </row>
    <row r="113" spans="1:12" ht="15.75">
      <c r="A113" s="646"/>
      <c r="B113" s="215"/>
      <c r="C113" s="215"/>
      <c r="D113" s="215"/>
      <c r="E113" s="215"/>
      <c r="F113" s="215"/>
      <c r="G113" s="215"/>
      <c r="H113" s="215"/>
      <c r="I113" s="231"/>
      <c r="J113" s="211"/>
      <c r="K113" s="230"/>
      <c r="L113" s="1573"/>
    </row>
    <row r="114" spans="1:12" ht="15.75">
      <c r="A114" s="646"/>
      <c r="B114" s="248" t="s">
        <v>1081</v>
      </c>
      <c r="C114" s="215"/>
      <c r="D114" s="215"/>
      <c r="E114" s="215"/>
      <c r="F114" s="215"/>
      <c r="G114" s="215"/>
      <c r="H114" s="215"/>
      <c r="I114" s="231"/>
      <c r="J114" s="211"/>
      <c r="K114" s="230"/>
      <c r="L114" s="1573"/>
    </row>
    <row r="115" spans="1:12" ht="15.75">
      <c r="A115" s="646"/>
      <c r="B115" s="214" t="s">
        <v>609</v>
      </c>
      <c r="C115" s="214"/>
      <c r="D115" s="214"/>
      <c r="E115" s="214"/>
      <c r="F115" s="214"/>
      <c r="G115" s="214"/>
      <c r="H115" s="214"/>
      <c r="I115" s="72" t="s">
        <v>494</v>
      </c>
      <c r="J115" s="159"/>
      <c r="K115" s="975" t="s">
        <v>2677</v>
      </c>
      <c r="L115" s="1573"/>
    </row>
    <row r="116" spans="1:12" ht="15.75">
      <c r="A116" s="646"/>
      <c r="B116" s="215" t="s">
        <v>2716</v>
      </c>
      <c r="C116" s="215"/>
      <c r="D116" s="215"/>
      <c r="E116" s="215"/>
      <c r="F116" s="215"/>
      <c r="G116" s="215"/>
      <c r="H116" s="215"/>
      <c r="I116" s="231"/>
      <c r="J116" s="211"/>
      <c r="K116" s="230"/>
      <c r="L116" s="1573"/>
    </row>
    <row r="117" spans="1:12" ht="15.75">
      <c r="A117" s="646"/>
      <c r="B117" s="214" t="s">
        <v>610</v>
      </c>
      <c r="C117" s="214"/>
      <c r="D117" s="214"/>
      <c r="E117" s="214"/>
      <c r="F117" s="214"/>
      <c r="G117" s="214"/>
      <c r="H117" s="226" t="s">
        <v>611</v>
      </c>
      <c r="I117" s="231"/>
      <c r="J117" s="739">
        <f>MAXA(0,J112-J115)</f>
        <v>0</v>
      </c>
      <c r="K117" s="230" t="s">
        <v>689</v>
      </c>
      <c r="L117" s="1573"/>
    </row>
    <row r="118" spans="1:12" ht="15.75">
      <c r="A118" s="646"/>
      <c r="B118" s="215"/>
      <c r="C118" s="215"/>
      <c r="D118" s="215"/>
      <c r="E118" s="215"/>
      <c r="F118" s="215"/>
      <c r="G118" s="215"/>
      <c r="H118" s="215"/>
      <c r="I118" s="231"/>
      <c r="J118" s="211"/>
      <c r="K118" s="230"/>
      <c r="L118" s="1573"/>
    </row>
  </sheetData>
  <sheetProtection password="EC35" sheet="1" objects="1" scenarios="1"/>
  <mergeCells count="9">
    <mergeCell ref="L1:L118"/>
    <mergeCell ref="E52:F52"/>
    <mergeCell ref="E53:F53"/>
    <mergeCell ref="E54:F54"/>
    <mergeCell ref="G52:H52"/>
    <mergeCell ref="G53:H53"/>
    <mergeCell ref="G54:H54"/>
    <mergeCell ref="I53:J53"/>
    <mergeCell ref="I54:J54"/>
  </mergeCells>
  <hyperlinks>
    <hyperlink ref="L1:L118" location="'GO TO'!B37" display=" "/>
  </hyperlinks>
  <printOptions horizontalCentered="1"/>
  <pageMargins left="0.15748031496063" right="0.15748031496063" top="0.5" bottom="0.236220472440945" header="0.511811023622047" footer="0.15748031496063"/>
  <pageSetup fitToHeight="0" fitToWidth="1" horizontalDpi="600" verticalDpi="600" orientation="portrait" scale="76" r:id="rId4"/>
  <headerFooter alignWithMargins="0">
    <oddFooter>&amp;L5010-C</oddFooter>
  </headerFooter>
  <rowBreaks count="2" manualBreakCount="2">
    <brk id="47" max="255" man="1"/>
    <brk id="99" max="255" man="1"/>
  </rowBreaks>
  <drawing r:id="rId3"/>
  <legacyDrawing r:id="rId2"/>
</worksheet>
</file>

<file path=xl/worksheets/sheet11.xml><?xml version="1.0" encoding="utf-8"?>
<worksheet xmlns="http://schemas.openxmlformats.org/spreadsheetml/2006/main" xmlns:r="http://schemas.openxmlformats.org/officeDocument/2006/relationships">
  <sheetPr codeName="Sheet92" transitionEvaluation="1">
    <pageSetUpPr fitToPage="1"/>
  </sheetPr>
  <dimension ref="A1:K52"/>
  <sheetViews>
    <sheetView showGridLines="0" zoomScale="80" zoomScaleNormal="80" workbookViewId="0" topLeftCell="A1">
      <selection activeCell="B4" sqref="B4"/>
    </sheetView>
  </sheetViews>
  <sheetFormatPr defaultColWidth="9.77734375" defaultRowHeight="15"/>
  <cols>
    <col min="1" max="1" width="2.5546875" style="608" customWidth="1"/>
    <col min="2" max="2" width="30.77734375" style="608" customWidth="1"/>
    <col min="3" max="3" width="6.77734375" style="608" customWidth="1"/>
    <col min="4" max="4" width="12.77734375" style="608" customWidth="1"/>
    <col min="5" max="5" width="16.6640625" style="608" customWidth="1"/>
    <col min="6" max="6" width="5.77734375" style="608" customWidth="1"/>
    <col min="7" max="7" width="13.77734375" style="608" customWidth="1"/>
    <col min="8" max="8" width="5.99609375" style="608" customWidth="1"/>
    <col min="9" max="9" width="11.77734375" style="608" customWidth="1"/>
    <col min="10" max="10" width="5.77734375" style="608" customWidth="1"/>
    <col min="11" max="16384" width="9.77734375" style="608" customWidth="1"/>
  </cols>
  <sheetData>
    <row r="1" spans="1:11" ht="19.5" customHeight="1">
      <c r="A1" s="649"/>
      <c r="B1" s="211"/>
      <c r="C1" s="211"/>
      <c r="D1" s="452"/>
      <c r="E1" s="452"/>
      <c r="F1" s="452"/>
      <c r="G1" s="211"/>
      <c r="H1" s="211"/>
      <c r="I1" s="211"/>
      <c r="J1" s="236" t="s">
        <v>612</v>
      </c>
      <c r="K1" s="1573" t="s">
        <v>1659</v>
      </c>
    </row>
    <row r="2" spans="1:11" ht="21" customHeight="1">
      <c r="A2" s="649"/>
      <c r="B2" s="211"/>
      <c r="C2" s="237"/>
      <c r="D2" s="974" t="s">
        <v>613</v>
      </c>
      <c r="E2" s="453"/>
      <c r="F2" s="452"/>
      <c r="G2" s="211"/>
      <c r="H2" s="211"/>
      <c r="I2" s="211"/>
      <c r="J2" s="238" t="str">
        <f>"T1 General -"&amp;yeartext</f>
        <v>T1 General -2007</v>
      </c>
      <c r="K2" s="1573"/>
    </row>
    <row r="3" spans="1:11" ht="16.5" customHeight="1">
      <c r="A3" s="649"/>
      <c r="B3" s="211"/>
      <c r="C3" s="237"/>
      <c r="D3" s="448"/>
      <c r="E3" s="448"/>
      <c r="F3" s="448"/>
      <c r="G3" s="211"/>
      <c r="H3" s="211"/>
      <c r="I3" s="211"/>
      <c r="J3" s="238"/>
      <c r="K3" s="1573"/>
    </row>
    <row r="4" spans="1:11" ht="9.75" customHeight="1">
      <c r="A4" s="649"/>
      <c r="B4" s="211"/>
      <c r="C4" s="237"/>
      <c r="D4" s="448"/>
      <c r="E4" s="448"/>
      <c r="F4" s="448"/>
      <c r="G4" s="211"/>
      <c r="H4" s="211"/>
      <c r="I4" s="211"/>
      <c r="J4" s="238"/>
      <c r="K4" s="1573"/>
    </row>
    <row r="5" spans="1:11" ht="16.5" customHeight="1">
      <c r="A5" s="649"/>
      <c r="B5" s="211" t="s">
        <v>1320</v>
      </c>
      <c r="C5" s="237"/>
      <c r="D5" s="448"/>
      <c r="E5" s="448"/>
      <c r="F5" s="448"/>
      <c r="G5" s="211"/>
      <c r="H5" s="211"/>
      <c r="I5" s="211"/>
      <c r="J5" s="238"/>
      <c r="K5" s="1573"/>
    </row>
    <row r="6" spans="1:11" ht="16.5" customHeight="1">
      <c r="A6" s="649"/>
      <c r="B6" s="211" t="s">
        <v>308</v>
      </c>
      <c r="C6" s="237"/>
      <c r="D6" s="448"/>
      <c r="E6" s="448"/>
      <c r="F6" s="448"/>
      <c r="G6" s="211"/>
      <c r="H6" s="211"/>
      <c r="I6" s="211"/>
      <c r="J6" s="238"/>
      <c r="K6" s="1573"/>
    </row>
    <row r="7" spans="1:11" ht="36.75" customHeight="1">
      <c r="A7" s="649"/>
      <c r="B7" s="212" t="s">
        <v>1318</v>
      </c>
      <c r="C7" s="237"/>
      <c r="D7" s="448"/>
      <c r="E7" s="448"/>
      <c r="F7" s="448"/>
      <c r="G7" s="211"/>
      <c r="H7" s="211"/>
      <c r="I7" s="211"/>
      <c r="J7" s="238"/>
      <c r="K7" s="1573"/>
    </row>
    <row r="8" spans="1:11" ht="23.25">
      <c r="A8" s="649"/>
      <c r="B8" s="454" t="str">
        <f>"If you had a spouse or common-law partner on December 31, "&amp;yeartext&amp;","</f>
        <v>If you had a spouse or common-law partner on December 31, 2007,</v>
      </c>
      <c r="C8" s="237"/>
      <c r="D8" s="448"/>
      <c r="E8" s="1221"/>
      <c r="F8" s="1221"/>
      <c r="G8" s="591" t="s">
        <v>2654</v>
      </c>
      <c r="H8" s="795"/>
      <c r="I8" s="211"/>
      <c r="J8" s="238"/>
      <c r="K8" s="1573"/>
    </row>
    <row r="9" spans="1:11" ht="16.5" customHeight="1">
      <c r="A9" s="649"/>
      <c r="B9" s="211"/>
      <c r="C9" s="237"/>
      <c r="D9" s="448"/>
      <c r="E9" s="448"/>
      <c r="F9" s="448"/>
      <c r="G9" s="211"/>
      <c r="H9" s="211"/>
      <c r="I9" s="211"/>
      <c r="J9" s="238"/>
      <c r="K9" s="1573"/>
    </row>
    <row r="10" spans="1:11" ht="16.5" customHeight="1">
      <c r="A10" s="649"/>
      <c r="B10" s="973" t="s">
        <v>1319</v>
      </c>
      <c r="C10" s="455"/>
      <c r="D10" s="456"/>
      <c r="E10" s="456"/>
      <c r="F10" s="456"/>
      <c r="G10" s="449" t="s">
        <v>2513</v>
      </c>
      <c r="H10" s="227"/>
      <c r="I10" s="449" t="s">
        <v>2512</v>
      </c>
      <c r="J10" s="457"/>
      <c r="K10" s="1573"/>
    </row>
    <row r="11" spans="1:11" ht="16.5" customHeight="1">
      <c r="A11" s="649"/>
      <c r="B11" s="1461"/>
      <c r="C11" s="458"/>
      <c r="D11" s="459"/>
      <c r="E11" s="459"/>
      <c r="F11" s="459"/>
      <c r="G11" s="215"/>
      <c r="H11" s="215"/>
      <c r="I11" s="593" t="s">
        <v>1171</v>
      </c>
      <c r="J11" s="1463"/>
      <c r="K11" s="1573"/>
    </row>
    <row r="12" spans="1:11" ht="16.5" customHeight="1">
      <c r="A12" s="649"/>
      <c r="B12" s="1461"/>
      <c r="C12" s="458"/>
      <c r="D12" s="459"/>
      <c r="E12" s="459"/>
      <c r="F12" s="459"/>
      <c r="G12" s="593" t="s">
        <v>1963</v>
      </c>
      <c r="H12" s="215"/>
      <c r="I12" s="593" t="s">
        <v>292</v>
      </c>
      <c r="J12" s="1463"/>
      <c r="K12" s="1573"/>
    </row>
    <row r="13" spans="1:11" ht="7.5" customHeight="1">
      <c r="A13" s="649"/>
      <c r="B13" s="1461"/>
      <c r="C13" s="458"/>
      <c r="D13" s="459"/>
      <c r="E13" s="459"/>
      <c r="F13" s="459"/>
      <c r="G13" s="215"/>
      <c r="H13" s="215"/>
      <c r="I13" s="215"/>
      <c r="J13" s="1463"/>
      <c r="K13" s="1573"/>
    </row>
    <row r="14" spans="1:11" ht="16.5" customHeight="1">
      <c r="A14" s="649"/>
      <c r="B14" s="460" t="s">
        <v>1021</v>
      </c>
      <c r="C14" s="461"/>
      <c r="D14" s="462"/>
      <c r="E14" s="462"/>
      <c r="F14" s="462"/>
      <c r="G14" s="447">
        <f>netincome</f>
        <v>0</v>
      </c>
      <c r="H14" s="903">
        <v>1</v>
      </c>
      <c r="I14" s="369">
        <f>'T1 GEN-1'!U30</f>
        <v>0</v>
      </c>
      <c r="J14" s="255">
        <v>1</v>
      </c>
      <c r="K14" s="1573"/>
    </row>
    <row r="15" spans="1:11" ht="16.5" customHeight="1">
      <c r="A15" s="649"/>
      <c r="B15" s="243" t="s">
        <v>1777</v>
      </c>
      <c r="C15" s="455"/>
      <c r="D15" s="456"/>
      <c r="E15" s="456"/>
      <c r="F15" s="456"/>
      <c r="G15" s="459"/>
      <c r="H15" s="903"/>
      <c r="I15" s="215"/>
      <c r="J15" s="255"/>
      <c r="K15" s="1573"/>
    </row>
    <row r="16" spans="1:11" ht="16.5" customHeight="1" thickBot="1">
      <c r="A16" s="649"/>
      <c r="B16" s="460" t="s">
        <v>1778</v>
      </c>
      <c r="C16" s="461"/>
      <c r="D16" s="462"/>
      <c r="E16" s="462"/>
      <c r="F16" s="462"/>
      <c r="G16" s="736">
        <f>line213</f>
        <v>0</v>
      </c>
      <c r="H16" s="903">
        <v>2</v>
      </c>
      <c r="I16" s="369">
        <f>'T1 GEN-1'!U34</f>
        <v>0</v>
      </c>
      <c r="J16" s="255">
        <v>2</v>
      </c>
      <c r="K16" s="1573"/>
    </row>
    <row r="17" spans="1:11" ht="16.5" customHeight="1">
      <c r="A17" s="649"/>
      <c r="B17" s="222" t="s">
        <v>1640</v>
      </c>
      <c r="C17" s="463"/>
      <c r="D17" s="464"/>
      <c r="E17" s="464"/>
      <c r="F17" s="464"/>
      <c r="G17" s="369">
        <f>G14+G16</f>
        <v>0</v>
      </c>
      <c r="H17" s="903">
        <v>3</v>
      </c>
      <c r="I17" s="369">
        <f>I14+I16</f>
        <v>0</v>
      </c>
      <c r="J17" s="255">
        <v>3</v>
      </c>
      <c r="K17" s="1573"/>
    </row>
    <row r="18" spans="1:11" ht="16.5" customHeight="1">
      <c r="A18" s="649"/>
      <c r="B18" s="243" t="s">
        <v>1641</v>
      </c>
      <c r="C18" s="455"/>
      <c r="D18" s="456"/>
      <c r="E18" s="456"/>
      <c r="F18" s="456"/>
      <c r="G18" s="211"/>
      <c r="H18" s="903"/>
      <c r="I18" s="215"/>
      <c r="J18" s="255"/>
      <c r="K18" s="1573"/>
    </row>
    <row r="19" spans="1:11" ht="16.5" customHeight="1">
      <c r="A19" s="649"/>
      <c r="B19" s="460" t="s">
        <v>1779</v>
      </c>
      <c r="C19" s="461"/>
      <c r="D19" s="462"/>
      <c r="E19" s="462"/>
      <c r="F19" s="462"/>
      <c r="G19" s="369">
        <f>line117</f>
        <v>0</v>
      </c>
      <c r="H19" s="468" t="s">
        <v>700</v>
      </c>
      <c r="I19" s="369">
        <f>'T1 GEN-1'!U32</f>
        <v>0</v>
      </c>
      <c r="J19" s="465" t="s">
        <v>700</v>
      </c>
      <c r="K19" s="1573"/>
    </row>
    <row r="20" spans="1:11" ht="16.5" customHeight="1">
      <c r="A20" s="649"/>
      <c r="B20" s="460" t="s">
        <v>2174</v>
      </c>
      <c r="C20" s="461"/>
      <c r="D20" s="462"/>
      <c r="E20" s="462"/>
      <c r="F20" s="462"/>
      <c r="G20" s="369">
        <f>G17-G19</f>
        <v>0</v>
      </c>
      <c r="H20" s="468" t="s">
        <v>701</v>
      </c>
      <c r="I20" s="369">
        <f>I17-I19</f>
        <v>0</v>
      </c>
      <c r="J20" s="465" t="s">
        <v>701</v>
      </c>
      <c r="K20" s="1573"/>
    </row>
    <row r="21" spans="1:11" ht="16.5" customHeight="1">
      <c r="A21" s="649"/>
      <c r="B21" s="243" t="s">
        <v>1780</v>
      </c>
      <c r="C21" s="455"/>
      <c r="D21" s="456"/>
      <c r="E21" s="456"/>
      <c r="F21" s="456"/>
      <c r="G21" s="227"/>
      <c r="H21" s="215"/>
      <c r="I21" s="211"/>
      <c r="J21" s="465"/>
      <c r="K21" s="1573"/>
    </row>
    <row r="22" spans="1:11" ht="16.5" customHeight="1">
      <c r="A22" s="649"/>
      <c r="B22" s="460" t="s">
        <v>2655</v>
      </c>
      <c r="C22" s="461"/>
      <c r="D22" s="462"/>
      <c r="E22" s="462"/>
      <c r="F22" s="462"/>
      <c r="G22" s="226" t="s">
        <v>2656</v>
      </c>
      <c r="H22" s="215"/>
      <c r="I22" s="1227">
        <f>G20+I20</f>
        <v>0</v>
      </c>
      <c r="J22" s="465" t="s">
        <v>702</v>
      </c>
      <c r="K22" s="1573"/>
    </row>
    <row r="23" spans="1:11" ht="16.5" customHeight="1">
      <c r="A23" s="649"/>
      <c r="B23" s="243" t="s">
        <v>2657</v>
      </c>
      <c r="C23" s="455"/>
      <c r="D23" s="456"/>
      <c r="E23" s="456"/>
      <c r="F23" s="456"/>
      <c r="G23" s="587"/>
      <c r="H23" s="215"/>
      <c r="I23" s="215"/>
      <c r="J23" s="465"/>
      <c r="K23" s="1573"/>
    </row>
    <row r="24" spans="1:11" ht="16.5" customHeight="1" thickBot="1">
      <c r="A24" s="649"/>
      <c r="B24" s="460" t="s">
        <v>2658</v>
      </c>
      <c r="C24" s="461"/>
      <c r="D24" s="462"/>
      <c r="E24" s="462"/>
      <c r="F24" s="462"/>
      <c r="G24" s="214"/>
      <c r="H24" s="215"/>
      <c r="I24" s="736">
        <f>IF(OR('T1 GEN-1'!O20="X",'T1 GEN-1'!R20="X"),18000,15000)</f>
        <v>15000</v>
      </c>
      <c r="J24" s="465" t="s">
        <v>64</v>
      </c>
      <c r="K24" s="1573"/>
    </row>
    <row r="25" spans="1:11" ht="22.5" customHeight="1">
      <c r="A25" s="649"/>
      <c r="B25" s="222" t="s">
        <v>697</v>
      </c>
      <c r="C25" s="463"/>
      <c r="D25" s="464"/>
      <c r="E25" s="464"/>
      <c r="F25" s="464"/>
      <c r="G25" s="263" t="s">
        <v>1319</v>
      </c>
      <c r="H25" s="215"/>
      <c r="I25" s="369">
        <f>MAXA(0,I22-I24)</f>
        <v>0</v>
      </c>
      <c r="J25" s="465" t="s">
        <v>703</v>
      </c>
      <c r="K25" s="1573"/>
    </row>
    <row r="26" spans="1:11" ht="9.75" customHeight="1">
      <c r="A26" s="649"/>
      <c r="B26" s="460"/>
      <c r="C26" s="461"/>
      <c r="D26" s="462"/>
      <c r="E26" s="462"/>
      <c r="F26" s="462"/>
      <c r="G26" s="214"/>
      <c r="H26" s="214"/>
      <c r="I26" s="214"/>
      <c r="J26" s="466"/>
      <c r="K26" s="1573"/>
    </row>
    <row r="27" spans="1:11" ht="16.5" customHeight="1">
      <c r="A27" s="649"/>
      <c r="B27" s="215"/>
      <c r="C27" s="458"/>
      <c r="D27" s="459"/>
      <c r="E27" s="459"/>
      <c r="F27" s="459"/>
      <c r="G27" s="215"/>
      <c r="H27" s="215"/>
      <c r="I27" s="215"/>
      <c r="J27" s="249"/>
      <c r="K27" s="1573"/>
    </row>
    <row r="28" spans="1:11" ht="16.5" customHeight="1">
      <c r="A28" s="649"/>
      <c r="B28" s="214" t="s">
        <v>2572</v>
      </c>
      <c r="C28" s="461"/>
      <c r="D28" s="462"/>
      <c r="E28" s="462"/>
      <c r="F28" s="462"/>
      <c r="G28" s="221" t="s">
        <v>2141</v>
      </c>
      <c r="H28" s="467">
        <v>6033</v>
      </c>
      <c r="I28" s="827">
        <v>75</v>
      </c>
      <c r="J28" s="468" t="s">
        <v>2288</v>
      </c>
      <c r="K28" s="1573"/>
    </row>
    <row r="29" spans="1:11" ht="16.5" customHeight="1" thickBot="1">
      <c r="A29" s="649"/>
      <c r="B29" s="217" t="s">
        <v>2072</v>
      </c>
      <c r="C29" s="463"/>
      <c r="D29" s="464"/>
      <c r="E29" s="464"/>
      <c r="F29" s="464"/>
      <c r="G29" s="450" t="s">
        <v>2141</v>
      </c>
      <c r="H29" s="467">
        <v>6035</v>
      </c>
      <c r="I29" s="981">
        <f>IF(OR('T1 GEN-1'!O20="X",'T1 GEN-1'!R20="X"),75,0)</f>
        <v>0</v>
      </c>
      <c r="J29" s="468" t="s">
        <v>2445</v>
      </c>
      <c r="K29" s="1573"/>
    </row>
    <row r="30" spans="1:11" ht="16.5" customHeight="1">
      <c r="A30" s="649"/>
      <c r="B30" s="217" t="s">
        <v>2665</v>
      </c>
      <c r="C30" s="463"/>
      <c r="D30" s="464"/>
      <c r="E30" s="464"/>
      <c r="F30" s="464"/>
      <c r="G30" s="217"/>
      <c r="H30" s="211"/>
      <c r="I30" s="369">
        <f>I28+I29</f>
        <v>75</v>
      </c>
      <c r="J30" s="468" t="s">
        <v>884</v>
      </c>
      <c r="K30" s="1573"/>
    </row>
    <row r="31" spans="1:11" ht="16.5" customHeight="1" thickBot="1">
      <c r="A31" s="649"/>
      <c r="B31" s="217" t="s">
        <v>2666</v>
      </c>
      <c r="C31" s="463"/>
      <c r="D31" s="384">
        <f>I25</f>
        <v>0</v>
      </c>
      <c r="E31" s="469"/>
      <c r="F31" s="1219"/>
      <c r="G31" s="469" t="s">
        <v>1212</v>
      </c>
      <c r="H31" s="211"/>
      <c r="I31" s="733">
        <f>0.02*D31</f>
        <v>0</v>
      </c>
      <c r="J31" s="468" t="s">
        <v>886</v>
      </c>
      <c r="K31" s="1573"/>
    </row>
    <row r="32" spans="1:11" ht="16.5" customHeight="1">
      <c r="A32" s="649"/>
      <c r="B32" s="217" t="s">
        <v>2667</v>
      </c>
      <c r="C32" s="463"/>
      <c r="D32" s="464"/>
      <c r="E32" s="464"/>
      <c r="F32" s="464"/>
      <c r="G32" s="263" t="s">
        <v>1799</v>
      </c>
      <c r="H32" s="211"/>
      <c r="I32" s="369">
        <f>MAXA(0,I30-I31)</f>
        <v>75</v>
      </c>
      <c r="J32" s="468" t="s">
        <v>888</v>
      </c>
      <c r="K32" s="1573"/>
    </row>
    <row r="33" spans="1:11" ht="16.5" customHeight="1">
      <c r="A33" s="649"/>
      <c r="B33" s="211"/>
      <c r="C33" s="237"/>
      <c r="D33" s="448"/>
      <c r="E33" s="448"/>
      <c r="F33" s="448"/>
      <c r="G33" s="211"/>
      <c r="H33" s="211"/>
      <c r="I33" s="211"/>
      <c r="J33" s="238"/>
      <c r="K33" s="1573"/>
    </row>
    <row r="34" spans="1:11" ht="33.75" customHeight="1">
      <c r="A34" s="649"/>
      <c r="B34" s="212" t="s">
        <v>614</v>
      </c>
      <c r="C34" s="237"/>
      <c r="D34" s="448"/>
      <c r="E34" s="448"/>
      <c r="F34" s="448"/>
      <c r="G34" s="211"/>
      <c r="H34" s="211"/>
      <c r="I34" s="211"/>
      <c r="J34" s="238"/>
      <c r="K34" s="1573"/>
    </row>
    <row r="35" spans="1:11" ht="16.5" customHeight="1">
      <c r="A35" s="649"/>
      <c r="B35" s="299" t="s">
        <v>2059</v>
      </c>
      <c r="C35" s="237"/>
      <c r="D35" s="448"/>
      <c r="E35" s="448"/>
      <c r="F35" s="448"/>
      <c r="G35" s="215"/>
      <c r="H35" s="211"/>
      <c r="I35" s="211"/>
      <c r="J35" s="238"/>
      <c r="K35" s="1573"/>
    </row>
    <row r="36" spans="1:11" ht="16.5" customHeight="1">
      <c r="A36" s="649"/>
      <c r="B36" s="214" t="str">
        <f>"for shares acquired in "&amp;yeartext</f>
        <v>for shares acquired in 2007</v>
      </c>
      <c r="C36" s="461"/>
      <c r="D36" s="462"/>
      <c r="E36" s="462"/>
      <c r="F36" s="467">
        <v>6049</v>
      </c>
      <c r="G36" s="104"/>
      <c r="H36" s="1217" t="s">
        <v>1759</v>
      </c>
      <c r="I36" s="211"/>
      <c r="J36" s="238"/>
      <c r="K36" s="1573"/>
    </row>
    <row r="37" spans="1:11" ht="16.5" customHeight="1">
      <c r="A37" s="649"/>
      <c r="B37" s="290" t="s">
        <v>2059</v>
      </c>
      <c r="C37" s="455"/>
      <c r="D37" s="456"/>
      <c r="E37" s="456"/>
      <c r="F37" s="448"/>
      <c r="G37" s="211"/>
      <c r="H37" s="468"/>
      <c r="I37" s="211"/>
      <c r="J37" s="238"/>
      <c r="K37" s="1573"/>
    </row>
    <row r="38" spans="1:11" ht="16.5" customHeight="1">
      <c r="A38" s="649"/>
      <c r="B38" s="1593" t="str">
        <f>"for shares acquired during the first 60 days of "&amp;TEXT(year+1,"0000")&amp;" that you elect to claim in "&amp;yeartext</f>
        <v>for shares acquired during the first 60 days of 2008 that you elect to claim in 2007</v>
      </c>
      <c r="C38" s="1594"/>
      <c r="D38" s="1594"/>
      <c r="E38" s="1594"/>
      <c r="F38" s="467">
        <v>6050</v>
      </c>
      <c r="G38" s="104"/>
      <c r="H38" s="1217" t="s">
        <v>1760</v>
      </c>
      <c r="I38" s="211"/>
      <c r="J38" s="238"/>
      <c r="K38" s="1573"/>
    </row>
    <row r="39" spans="1:11" ht="36" customHeight="1" thickBot="1">
      <c r="A39" s="649"/>
      <c r="B39" s="1597" t="s">
        <v>1642</v>
      </c>
      <c r="C39" s="1598"/>
      <c r="D39" s="1598"/>
      <c r="E39" s="1598"/>
      <c r="F39" s="448"/>
      <c r="G39" s="735"/>
      <c r="H39" s="468" t="s">
        <v>2449</v>
      </c>
      <c r="I39" s="211"/>
      <c r="J39" s="468"/>
      <c r="K39" s="1573"/>
    </row>
    <row r="40" spans="1:11" ht="16.5" customHeight="1">
      <c r="A40" s="649"/>
      <c r="B40" s="217" t="s">
        <v>1022</v>
      </c>
      <c r="C40" s="463"/>
      <c r="D40" s="464"/>
      <c r="E40" s="469" t="s">
        <v>2061</v>
      </c>
      <c r="F40" s="448"/>
      <c r="G40" s="369">
        <f>MINA(60000,G36+G38+G39)</f>
        <v>0</v>
      </c>
      <c r="H40" s="1195" t="s">
        <v>410</v>
      </c>
      <c r="I40" s="369">
        <f>G40</f>
        <v>0</v>
      </c>
      <c r="J40" s="468" t="s">
        <v>2451</v>
      </c>
      <c r="K40" s="1573"/>
    </row>
    <row r="41" spans="1:11" ht="9.75" customHeight="1">
      <c r="A41" s="649"/>
      <c r="B41" s="211"/>
      <c r="C41" s="237"/>
      <c r="D41" s="448"/>
      <c r="E41" s="448"/>
      <c r="F41" s="448"/>
      <c r="G41" s="211"/>
      <c r="H41" s="211"/>
      <c r="I41" s="211"/>
      <c r="J41" s="238"/>
      <c r="K41" s="1573"/>
    </row>
    <row r="42" spans="1:11" ht="23.25">
      <c r="A42" s="649"/>
      <c r="B42" s="212" t="s">
        <v>615</v>
      </c>
      <c r="C42" s="237"/>
      <c r="D42" s="448"/>
      <c r="E42" s="448"/>
      <c r="F42" s="448"/>
      <c r="G42" s="211"/>
      <c r="H42" s="211"/>
      <c r="I42" s="215"/>
      <c r="J42" s="238"/>
      <c r="K42" s="1573"/>
    </row>
    <row r="43" spans="1:11" ht="23.25">
      <c r="A43" s="649"/>
      <c r="B43" s="214" t="s">
        <v>2062</v>
      </c>
      <c r="C43" s="461"/>
      <c r="D43" s="462"/>
      <c r="E43" s="462"/>
      <c r="F43" s="462"/>
      <c r="G43" s="215"/>
      <c r="H43" s="467">
        <v>6051</v>
      </c>
      <c r="I43" s="104"/>
      <c r="J43" s="1218" t="s">
        <v>2659</v>
      </c>
      <c r="K43" s="1573"/>
    </row>
    <row r="44" spans="1:11" ht="32.25" customHeight="1">
      <c r="A44" s="649"/>
      <c r="B44" s="1595" t="s">
        <v>1223</v>
      </c>
      <c r="C44" s="1596"/>
      <c r="D44" s="1596"/>
      <c r="E44" s="1596"/>
      <c r="F44" s="467">
        <v>6053</v>
      </c>
      <c r="G44" s="104"/>
      <c r="H44" s="468">
        <v>19</v>
      </c>
      <c r="I44" s="211"/>
      <c r="J44" s="468"/>
      <c r="K44" s="1573"/>
    </row>
    <row r="45" spans="1:11" ht="9.75" customHeight="1">
      <c r="A45" s="649"/>
      <c r="B45" s="215"/>
      <c r="C45" s="458"/>
      <c r="D45" s="459"/>
      <c r="E45" s="459"/>
      <c r="F45" s="459"/>
      <c r="G45" s="215"/>
      <c r="H45" s="211"/>
      <c r="I45" s="211"/>
      <c r="J45" s="468"/>
      <c r="K45" s="1573"/>
    </row>
    <row r="46" spans="1:11" ht="23.25">
      <c r="A46" s="649"/>
      <c r="B46" s="212" t="s">
        <v>2660</v>
      </c>
      <c r="C46" s="458"/>
      <c r="D46" s="459"/>
      <c r="E46" s="459"/>
      <c r="F46" s="459"/>
      <c r="G46" s="215"/>
      <c r="H46" s="211"/>
      <c r="I46" s="211"/>
      <c r="J46" s="468"/>
      <c r="K46" s="1573"/>
    </row>
    <row r="47" spans="1:11" ht="16.5" customHeight="1">
      <c r="A47" s="649"/>
      <c r="B47" s="214" t="s">
        <v>2661</v>
      </c>
      <c r="C47" s="461"/>
      <c r="D47" s="462"/>
      <c r="E47" s="462"/>
      <c r="F47" s="467">
        <v>6055</v>
      </c>
      <c r="G47" s="104"/>
      <c r="H47" s="468" t="s">
        <v>2454</v>
      </c>
      <c r="I47" s="211"/>
      <c r="J47" s="468"/>
      <c r="K47" s="1573"/>
    </row>
    <row r="48" spans="1:11" ht="16.5" customHeight="1">
      <c r="A48" s="649"/>
      <c r="B48" s="217" t="s">
        <v>2662</v>
      </c>
      <c r="C48" s="463"/>
      <c r="D48" s="464"/>
      <c r="E48" s="464"/>
      <c r="F48" s="467">
        <v>6056</v>
      </c>
      <c r="G48" s="104"/>
      <c r="H48" s="1218" t="s">
        <v>2664</v>
      </c>
      <c r="I48" s="211"/>
      <c r="J48" s="468"/>
      <c r="K48" s="1573"/>
    </row>
    <row r="49" spans="1:11" ht="16.5" customHeight="1">
      <c r="A49" s="649"/>
      <c r="B49" s="217" t="s">
        <v>1</v>
      </c>
      <c r="C49" s="463"/>
      <c r="D49" s="464"/>
      <c r="E49" s="464"/>
      <c r="F49" s="459"/>
      <c r="G49" s="369">
        <f>G47+G48</f>
        <v>0</v>
      </c>
      <c r="H49" s="1195" t="s">
        <v>410</v>
      </c>
      <c r="I49" s="369">
        <f>G49</f>
        <v>0</v>
      </c>
      <c r="J49" s="468" t="s">
        <v>2456</v>
      </c>
      <c r="K49" s="1573"/>
    </row>
    <row r="50" spans="1:11" ht="9.75" customHeight="1">
      <c r="A50" s="649"/>
      <c r="B50" s="215"/>
      <c r="C50" s="458"/>
      <c r="D50" s="459"/>
      <c r="E50" s="459"/>
      <c r="F50" s="459"/>
      <c r="G50" s="215"/>
      <c r="H50" s="211"/>
      <c r="I50" s="211"/>
      <c r="J50" s="468"/>
      <c r="K50" s="1573"/>
    </row>
    <row r="51" spans="1:11" ht="16.5" customHeight="1">
      <c r="A51" s="649"/>
      <c r="B51" s="214" t="s">
        <v>2663</v>
      </c>
      <c r="C51" s="461"/>
      <c r="D51" s="462"/>
      <c r="E51" s="462"/>
      <c r="F51" s="462"/>
      <c r="G51" s="226" t="s">
        <v>616</v>
      </c>
      <c r="H51" s="211"/>
      <c r="I51" s="654">
        <f>I32+I40+I43+I49</f>
        <v>75</v>
      </c>
      <c r="J51" s="468" t="s">
        <v>1917</v>
      </c>
      <c r="K51" s="1573"/>
    </row>
    <row r="52" spans="1:11" ht="16.5" customHeight="1">
      <c r="A52" s="649"/>
      <c r="B52" s="211"/>
      <c r="C52" s="237"/>
      <c r="D52" s="448"/>
      <c r="E52" s="448"/>
      <c r="F52" s="448"/>
      <c r="G52" s="211"/>
      <c r="H52" s="211"/>
      <c r="I52" s="211"/>
      <c r="J52" s="238"/>
      <c r="K52" s="1573"/>
    </row>
  </sheetData>
  <sheetProtection password="EC35" sheet="1" objects="1" scenarios="1"/>
  <mergeCells count="4">
    <mergeCell ref="B38:E38"/>
    <mergeCell ref="B44:E44"/>
    <mergeCell ref="K1:K52"/>
    <mergeCell ref="B39:E39"/>
  </mergeCells>
  <hyperlinks>
    <hyperlink ref="K1:K52" location="'GO TO'!B38" display=" "/>
  </hyperlinks>
  <printOptions horizontalCentered="1"/>
  <pageMargins left="0" right="0" top="0.4" bottom="0.511811024" header="0.511811023622047" footer="0.261811024"/>
  <pageSetup fitToHeight="0" fitToWidth="1" horizontalDpi="600" verticalDpi="600" orientation="portrait" scale="75" r:id="rId4"/>
  <headerFooter alignWithMargins="0">
    <oddFooter>&amp;L5010-TC</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712" transitionEvaluation="1">
    <pageSetUpPr fitToPage="1"/>
  </sheetPr>
  <dimension ref="A1:L33"/>
  <sheetViews>
    <sheetView showGridLines="0" zoomScale="75" zoomScaleNormal="75" workbookViewId="0" topLeftCell="A1">
      <selection activeCell="B4" sqref="B4"/>
    </sheetView>
  </sheetViews>
  <sheetFormatPr defaultColWidth="9.77734375" defaultRowHeight="15"/>
  <cols>
    <col min="1" max="1" width="1.5625" style="0" customWidth="1"/>
    <col min="2" max="2" width="11.5546875" style="0" customWidth="1"/>
    <col min="3" max="3" width="25.21484375" style="0" customWidth="1"/>
    <col min="4" max="4" width="12.3359375" style="0" customWidth="1"/>
    <col min="5" max="5" width="4.77734375" style="0" customWidth="1"/>
    <col min="6" max="6" width="13.77734375" style="0" customWidth="1"/>
    <col min="7" max="7" width="5.77734375" style="0" customWidth="1"/>
    <col min="8" max="8" width="13.77734375" style="0" customWidth="1"/>
    <col min="9" max="9" width="4.77734375" style="0" customWidth="1"/>
    <col min="10" max="10" width="13.77734375" style="0" customWidth="1"/>
    <col min="11" max="11" width="4.77734375" style="0" customWidth="1"/>
  </cols>
  <sheetData>
    <row r="1" spans="1:10" ht="15">
      <c r="A1" s="177"/>
      <c r="B1" s="177"/>
      <c r="C1" s="177"/>
      <c r="D1" s="177"/>
      <c r="E1" s="177"/>
      <c r="F1" s="177"/>
      <c r="G1" s="177"/>
      <c r="H1" s="177"/>
      <c r="I1" s="177"/>
      <c r="J1" s="177"/>
    </row>
    <row r="2" spans="1:12" ht="21.75">
      <c r="A2" s="210"/>
      <c r="B2" s="213"/>
      <c r="C2" s="211"/>
      <c r="D2" s="233"/>
      <c r="E2" s="239"/>
      <c r="F2" s="239" t="s">
        <v>1658</v>
      </c>
      <c r="G2" s="211"/>
      <c r="H2" s="211"/>
      <c r="I2" s="211"/>
      <c r="J2" s="240"/>
      <c r="K2" s="240" t="s">
        <v>617</v>
      </c>
      <c r="L2" s="1508" t="s">
        <v>1659</v>
      </c>
    </row>
    <row r="3" spans="1:12" ht="21.75">
      <c r="A3" s="210"/>
      <c r="B3" s="211"/>
      <c r="C3" s="211"/>
      <c r="D3" s="211"/>
      <c r="E3" s="239"/>
      <c r="F3" s="239" t="s">
        <v>1775</v>
      </c>
      <c r="G3" s="211"/>
      <c r="H3" s="211"/>
      <c r="I3" s="211"/>
      <c r="J3" s="238"/>
      <c r="K3" s="238" t="str">
        <f>"T1 General - "&amp;yeartext</f>
        <v>T1 General - 2007</v>
      </c>
      <c r="L3" s="1508"/>
    </row>
    <row r="4" spans="1:12" ht="20.25" customHeight="1">
      <c r="A4" s="210"/>
      <c r="B4" s="211"/>
      <c r="C4" s="211"/>
      <c r="D4" s="211"/>
      <c r="E4" s="211"/>
      <c r="F4" s="211"/>
      <c r="G4" s="211"/>
      <c r="H4" s="211"/>
      <c r="I4" s="211"/>
      <c r="J4" s="211"/>
      <c r="K4" s="211"/>
      <c r="L4" s="1508"/>
    </row>
    <row r="5" spans="1:12" ht="15.75">
      <c r="A5" s="210"/>
      <c r="B5" s="211" t="s">
        <v>1054</v>
      </c>
      <c r="C5" s="211"/>
      <c r="D5" s="211"/>
      <c r="E5" s="211"/>
      <c r="F5" s="211"/>
      <c r="G5" s="211"/>
      <c r="H5" s="211"/>
      <c r="I5" s="211"/>
      <c r="J5" s="211"/>
      <c r="K5" s="211"/>
      <c r="L5" s="1508"/>
    </row>
    <row r="6" spans="1:12" ht="15.75">
      <c r="A6" s="210"/>
      <c r="B6" s="210" t="s">
        <v>1857</v>
      </c>
      <c r="C6" s="211"/>
      <c r="D6" s="211"/>
      <c r="E6" s="211"/>
      <c r="F6" s="211"/>
      <c r="G6" s="211"/>
      <c r="H6" s="211"/>
      <c r="I6" s="211"/>
      <c r="J6" s="211"/>
      <c r="K6" s="211"/>
      <c r="L6" s="1508"/>
    </row>
    <row r="7" spans="1:12" ht="15">
      <c r="A7" s="210"/>
      <c r="B7" s="210"/>
      <c r="C7" s="211"/>
      <c r="D7" s="211"/>
      <c r="E7" s="211"/>
      <c r="F7" s="211"/>
      <c r="G7" s="211"/>
      <c r="H7" s="211"/>
      <c r="I7" s="211"/>
      <c r="J7" s="211"/>
      <c r="K7" s="211"/>
      <c r="L7" s="1508"/>
    </row>
    <row r="8" spans="1:12" ht="15.75">
      <c r="A8" s="210"/>
      <c r="B8" s="257" t="str">
        <f>"If your spouse or common-law partner is not filing a "&amp;yeartext&amp;" return, use the amounts that he or she would use on Form BC428 if"</f>
        <v>If your spouse or common-law partner is not filing a 2007 return, use the amounts that he or she would use on Form BC428 if</v>
      </c>
      <c r="C8" s="211"/>
      <c r="D8" s="211"/>
      <c r="E8" s="211"/>
      <c r="F8" s="211"/>
      <c r="G8" s="211"/>
      <c r="H8" s="211"/>
      <c r="I8" s="211"/>
      <c r="J8" s="211"/>
      <c r="K8" s="211"/>
      <c r="L8" s="1508"/>
    </row>
    <row r="9" spans="1:12" ht="15.75">
      <c r="A9" s="210"/>
      <c r="B9" s="257" t="s">
        <v>1247</v>
      </c>
      <c r="C9" s="211"/>
      <c r="D9" s="211"/>
      <c r="E9" s="211"/>
      <c r="F9" s="211"/>
      <c r="G9" s="211"/>
      <c r="H9" s="211"/>
      <c r="I9" s="211"/>
      <c r="J9" s="211"/>
      <c r="K9" s="211"/>
      <c r="L9" s="1508"/>
    </row>
    <row r="10" spans="1:12" ht="15.75">
      <c r="A10" s="210"/>
      <c r="B10" s="257"/>
      <c r="C10" s="211"/>
      <c r="D10" s="211"/>
      <c r="E10" s="211"/>
      <c r="F10" s="211"/>
      <c r="G10" s="211"/>
      <c r="H10" s="211"/>
      <c r="I10" s="211"/>
      <c r="J10" s="211"/>
      <c r="K10" s="211"/>
      <c r="L10" s="1508"/>
    </row>
    <row r="11" spans="1:12" ht="15">
      <c r="A11" s="210"/>
      <c r="B11" s="258" t="s">
        <v>252</v>
      </c>
      <c r="C11" s="211"/>
      <c r="D11" s="211"/>
      <c r="E11" s="211"/>
      <c r="F11" s="211"/>
      <c r="G11" s="211"/>
      <c r="H11" s="211"/>
      <c r="I11" s="211"/>
      <c r="J11" s="211"/>
      <c r="K11" s="211"/>
      <c r="L11" s="1508"/>
    </row>
    <row r="12" spans="1:12" ht="15">
      <c r="A12" s="210"/>
      <c r="B12" s="258" t="s">
        <v>2000</v>
      </c>
      <c r="C12" s="211"/>
      <c r="D12" s="211"/>
      <c r="E12" s="211"/>
      <c r="F12" s="211"/>
      <c r="G12" s="211"/>
      <c r="H12" s="211"/>
      <c r="I12" s="211"/>
      <c r="J12" s="211"/>
      <c r="K12" s="211"/>
      <c r="L12" s="1508"/>
    </row>
    <row r="13" spans="1:12" ht="15">
      <c r="A13" s="210"/>
      <c r="B13" s="258"/>
      <c r="C13" s="211"/>
      <c r="D13" s="211"/>
      <c r="E13" s="211"/>
      <c r="F13" s="211"/>
      <c r="G13" s="211"/>
      <c r="H13" s="211"/>
      <c r="I13" s="211"/>
      <c r="J13" s="211"/>
      <c r="K13" s="211"/>
      <c r="L13" s="1508"/>
    </row>
    <row r="14" spans="1:12" ht="15.75">
      <c r="A14" s="210"/>
      <c r="B14" s="257" t="s">
        <v>2058</v>
      </c>
      <c r="C14" s="211" t="str">
        <f>"(if he or she was age 65 or older in "&amp;yeartext&amp;"):"</f>
        <v>(if he or she was age 65 or older in 2007):</v>
      </c>
      <c r="D14" s="211"/>
      <c r="E14" s="211"/>
      <c r="F14" s="211"/>
      <c r="G14" s="211"/>
      <c r="H14" s="211"/>
      <c r="I14" s="211"/>
      <c r="J14" s="211"/>
      <c r="K14" s="211"/>
      <c r="L14" s="1508"/>
    </row>
    <row r="15" spans="1:12" ht="15">
      <c r="A15" s="210"/>
      <c r="B15" s="258" t="s">
        <v>225</v>
      </c>
      <c r="C15" s="211"/>
      <c r="D15" s="211"/>
      <c r="E15" s="211"/>
      <c r="F15" s="211"/>
      <c r="G15" s="211"/>
      <c r="H15" s="211"/>
      <c r="I15" s="211"/>
      <c r="J15" s="211"/>
      <c r="K15" s="211"/>
      <c r="L15" s="1508"/>
    </row>
    <row r="16" spans="1:12" ht="15.75">
      <c r="A16" s="210"/>
      <c r="B16" s="259" t="s">
        <v>1737</v>
      </c>
      <c r="C16" s="214"/>
      <c r="D16" s="214"/>
      <c r="E16" s="214"/>
      <c r="F16" s="214"/>
      <c r="G16" s="214"/>
      <c r="H16" s="221"/>
      <c r="I16" s="72" t="s">
        <v>841</v>
      </c>
      <c r="J16" s="159"/>
      <c r="K16" s="230" t="s">
        <v>661</v>
      </c>
      <c r="L16" s="1508"/>
    </row>
    <row r="17" spans="1:12" ht="15.75">
      <c r="A17" s="210"/>
      <c r="B17" s="257" t="s">
        <v>1572</v>
      </c>
      <c r="C17" s="211"/>
      <c r="D17" s="211"/>
      <c r="E17" s="211"/>
      <c r="F17" s="211"/>
      <c r="G17" s="211"/>
      <c r="H17" s="211"/>
      <c r="I17" s="211"/>
      <c r="J17" s="211"/>
      <c r="K17" s="211"/>
      <c r="L17" s="1508"/>
    </row>
    <row r="18" spans="1:12" ht="15.75">
      <c r="A18" s="210"/>
      <c r="B18" s="259" t="s">
        <v>618</v>
      </c>
      <c r="C18" s="214"/>
      <c r="D18" s="214"/>
      <c r="E18" s="214"/>
      <c r="F18" s="214"/>
      <c r="G18" s="214"/>
      <c r="H18" s="221"/>
      <c r="I18" s="72" t="s">
        <v>1594</v>
      </c>
      <c r="J18" s="159"/>
      <c r="K18" s="230" t="s">
        <v>698</v>
      </c>
      <c r="L18" s="1508"/>
    </row>
    <row r="19" spans="1:12" ht="15.75">
      <c r="A19" s="210"/>
      <c r="B19" s="257" t="s">
        <v>1573</v>
      </c>
      <c r="C19" s="211"/>
      <c r="D19" s="211"/>
      <c r="E19" s="211"/>
      <c r="F19" s="211"/>
      <c r="G19" s="211"/>
      <c r="H19" s="211"/>
      <c r="I19" s="211"/>
      <c r="J19" s="211"/>
      <c r="K19" s="211"/>
      <c r="L19" s="1508"/>
    </row>
    <row r="20" spans="1:12" ht="15.75">
      <c r="A20" s="210"/>
      <c r="B20" s="259" t="s">
        <v>619</v>
      </c>
      <c r="C20" s="214"/>
      <c r="D20" s="214"/>
      <c r="E20" s="214"/>
      <c r="F20" s="214"/>
      <c r="G20" s="214"/>
      <c r="H20" s="214"/>
      <c r="I20" s="72" t="s">
        <v>1595</v>
      </c>
      <c r="J20" s="159"/>
      <c r="K20" s="230" t="s">
        <v>699</v>
      </c>
      <c r="L20" s="1508"/>
    </row>
    <row r="21" spans="1:12" ht="15.75">
      <c r="A21" s="210"/>
      <c r="B21" s="257" t="s">
        <v>900</v>
      </c>
      <c r="C21" s="211"/>
      <c r="D21" s="211"/>
      <c r="E21" s="211"/>
      <c r="F21" s="211"/>
      <c r="G21" s="211"/>
      <c r="H21" s="211"/>
      <c r="I21" s="211"/>
      <c r="J21" s="211"/>
      <c r="K21" s="211"/>
      <c r="L21" s="1508"/>
    </row>
    <row r="22" spans="1:12" ht="16.5" thickBot="1">
      <c r="A22" s="210"/>
      <c r="B22" s="259" t="s">
        <v>253</v>
      </c>
      <c r="C22" s="214"/>
      <c r="D22" s="214"/>
      <c r="E22" s="214"/>
      <c r="F22" s="214"/>
      <c r="G22" s="214"/>
      <c r="H22" s="214"/>
      <c r="I22" s="72" t="s">
        <v>1596</v>
      </c>
      <c r="J22" s="754"/>
      <c r="K22" s="230" t="s">
        <v>700</v>
      </c>
      <c r="L22" s="1508"/>
    </row>
    <row r="23" spans="1:12" ht="31.5" customHeight="1">
      <c r="A23" s="210"/>
      <c r="B23" s="260" t="s">
        <v>1574</v>
      </c>
      <c r="C23" s="217"/>
      <c r="D23" s="217"/>
      <c r="E23" s="217"/>
      <c r="F23" s="217"/>
      <c r="G23" s="217"/>
      <c r="H23" s="217"/>
      <c r="I23" s="211"/>
      <c r="J23" s="369">
        <f>SUM(J16:J22)</f>
        <v>0</v>
      </c>
      <c r="K23" s="230" t="s">
        <v>701</v>
      </c>
      <c r="L23" s="1508"/>
    </row>
    <row r="24" spans="1:12" ht="15">
      <c r="A24" s="210"/>
      <c r="B24" s="258" t="s">
        <v>2170</v>
      </c>
      <c r="C24" s="211"/>
      <c r="D24" s="211"/>
      <c r="E24" s="211"/>
      <c r="F24" s="211"/>
      <c r="G24" s="211"/>
      <c r="H24" s="211"/>
      <c r="I24" s="211"/>
      <c r="J24" s="211"/>
      <c r="K24" s="211"/>
      <c r="L24" s="1508"/>
    </row>
    <row r="25" spans="1:12" ht="15.75">
      <c r="A25" s="210"/>
      <c r="B25" s="259" t="s">
        <v>1776</v>
      </c>
      <c r="C25" s="214"/>
      <c r="D25" s="214"/>
      <c r="E25" s="214"/>
      <c r="F25" s="214"/>
      <c r="G25" s="211"/>
      <c r="H25" s="159"/>
      <c r="I25" s="230" t="s">
        <v>702</v>
      </c>
      <c r="J25" s="211"/>
      <c r="K25" s="211"/>
      <c r="L25" s="1508"/>
    </row>
    <row r="26" spans="1:12" ht="15">
      <c r="A26" s="210"/>
      <c r="B26" s="258" t="s">
        <v>226</v>
      </c>
      <c r="C26" s="211"/>
      <c r="D26" s="211"/>
      <c r="E26" s="211"/>
      <c r="F26" s="211"/>
      <c r="G26" s="211"/>
      <c r="H26" s="211"/>
      <c r="I26" s="211"/>
      <c r="J26" s="211"/>
      <c r="K26" s="211"/>
      <c r="L26" s="1508"/>
    </row>
    <row r="27" spans="1:12" ht="16.5" thickBot="1">
      <c r="A27" s="210"/>
      <c r="B27" s="259" t="s">
        <v>227</v>
      </c>
      <c r="C27" s="214"/>
      <c r="D27" s="214"/>
      <c r="E27" s="214"/>
      <c r="F27" s="214"/>
      <c r="G27" s="211"/>
      <c r="H27" s="754"/>
      <c r="I27" s="230" t="s">
        <v>64</v>
      </c>
      <c r="J27" s="211"/>
      <c r="K27" s="211"/>
      <c r="L27" s="1508"/>
    </row>
    <row r="28" spans="1:12" ht="15">
      <c r="A28" s="210"/>
      <c r="B28" s="258" t="s">
        <v>1261</v>
      </c>
      <c r="C28" s="211"/>
      <c r="D28" s="211"/>
      <c r="E28" s="211"/>
      <c r="F28" s="211"/>
      <c r="G28" s="211"/>
      <c r="H28" s="211"/>
      <c r="I28" s="211"/>
      <c r="J28" s="211"/>
      <c r="K28" s="211"/>
      <c r="L28" s="1508"/>
    </row>
    <row r="29" spans="1:12" ht="15.75">
      <c r="A29" s="210"/>
      <c r="B29" s="259" t="s">
        <v>697</v>
      </c>
      <c r="C29" s="214"/>
      <c r="D29" s="214"/>
      <c r="E29" s="214"/>
      <c r="F29" s="214"/>
      <c r="G29" s="72" t="s">
        <v>2338</v>
      </c>
      <c r="H29" s="369">
        <f>MAXA(0,H25-H27)</f>
        <v>0</v>
      </c>
      <c r="I29" s="1195" t="s">
        <v>410</v>
      </c>
      <c r="J29" s="369">
        <f>H29</f>
        <v>0</v>
      </c>
      <c r="K29" s="230" t="s">
        <v>703</v>
      </c>
      <c r="L29" s="1508"/>
    </row>
    <row r="30" spans="1:12" ht="15.75">
      <c r="A30" s="210"/>
      <c r="B30" s="258" t="s">
        <v>1575</v>
      </c>
      <c r="C30" s="211"/>
      <c r="D30" s="211"/>
      <c r="E30" s="211"/>
      <c r="F30" s="211"/>
      <c r="G30" s="211"/>
      <c r="H30" s="219" t="s">
        <v>2339</v>
      </c>
      <c r="I30" s="211"/>
      <c r="J30" s="211"/>
      <c r="K30" s="211"/>
      <c r="L30" s="1508"/>
    </row>
    <row r="31" spans="1:12" ht="15.75">
      <c r="A31" s="210"/>
      <c r="B31" s="259" t="s">
        <v>664</v>
      </c>
      <c r="C31" s="214"/>
      <c r="D31" s="214"/>
      <c r="E31" s="214"/>
      <c r="F31" s="214"/>
      <c r="G31" s="214"/>
      <c r="H31" s="226" t="s">
        <v>1090</v>
      </c>
      <c r="I31" s="211"/>
      <c r="J31" s="654">
        <f>MAX(0,J23-J29)</f>
        <v>0</v>
      </c>
      <c r="K31" s="230" t="s">
        <v>2288</v>
      </c>
      <c r="L31" s="1508"/>
    </row>
    <row r="32" spans="1:12" ht="15">
      <c r="A32" s="210"/>
      <c r="B32" s="258"/>
      <c r="C32" s="211"/>
      <c r="D32" s="211"/>
      <c r="E32" s="211"/>
      <c r="F32" s="211"/>
      <c r="G32" s="211"/>
      <c r="H32" s="211"/>
      <c r="I32" s="211"/>
      <c r="J32" s="211"/>
      <c r="K32" s="211"/>
      <c r="L32" s="1508"/>
    </row>
    <row r="33" spans="1:10" ht="15">
      <c r="A33" s="256"/>
      <c r="B33" s="177"/>
      <c r="C33" s="177"/>
      <c r="D33" s="177"/>
      <c r="E33" s="177"/>
      <c r="F33" s="177"/>
      <c r="G33" s="177"/>
      <c r="H33" s="177"/>
      <c r="I33" s="177"/>
      <c r="J33" s="177"/>
    </row>
  </sheetData>
  <sheetProtection password="EC35" sheet="1" objects="1" scenarios="1"/>
  <mergeCells count="1">
    <mergeCell ref="L2:L32"/>
  </mergeCells>
  <dataValidations count="1">
    <dataValidation type="decimal" allowBlank="1" showInputMessage="1" showErrorMessage="1" errorTitle="Data Out of Range" error="Value must be between 0 and 1000." sqref="J18">
      <formula1>0</formula1>
      <formula2>1000</formula2>
    </dataValidation>
  </dataValidations>
  <hyperlinks>
    <hyperlink ref="L2:L32" location="'GO TO'!B39" display=" "/>
  </hyperlinks>
  <printOptions horizontalCentered="1"/>
  <pageMargins left="0.25" right="0.25" top="0.5" bottom="0.25" header="0.511811023622047" footer="0.15"/>
  <pageSetup fitToHeight="0" fitToWidth="1" horizontalDpi="600" verticalDpi="600" orientation="portrait" scale="76" r:id="rId2"/>
  <headerFooter alignWithMargins="0">
    <oddFooter>&amp;L5010-S2</oddFooter>
  </headerFooter>
  <drawing r:id="rId1"/>
</worksheet>
</file>

<file path=xl/worksheets/sheet13.xml><?xml version="1.0" encoding="utf-8"?>
<worksheet xmlns="http://schemas.openxmlformats.org/spreadsheetml/2006/main" xmlns:r="http://schemas.openxmlformats.org/officeDocument/2006/relationships">
  <sheetPr codeName="Sheet1912" transitionEvaluation="1">
    <pageSetUpPr fitToPage="1"/>
  </sheetPr>
  <dimension ref="A1:K60"/>
  <sheetViews>
    <sheetView showGridLines="0" zoomScale="75" zoomScaleNormal="75" workbookViewId="0" topLeftCell="A1">
      <selection activeCell="A4" sqref="A4"/>
    </sheetView>
  </sheetViews>
  <sheetFormatPr defaultColWidth="9.77734375" defaultRowHeight="15"/>
  <cols>
    <col min="1" max="1" width="40.88671875" style="0" customWidth="1"/>
    <col min="2" max="2" width="4.77734375" style="0" customWidth="1"/>
    <col min="3" max="3" width="12.77734375" style="0" customWidth="1"/>
    <col min="4" max="4" width="4.77734375" style="0" customWidth="1"/>
    <col min="5" max="5" width="12.77734375" style="0" customWidth="1"/>
    <col min="6" max="6" width="4.77734375" style="0" customWidth="1"/>
    <col min="7" max="7" width="12.77734375" style="0" customWidth="1"/>
    <col min="8" max="8" width="4.77734375" style="0" customWidth="1"/>
    <col min="9" max="9" width="12.77734375" style="0" customWidth="1"/>
    <col min="10" max="10" width="4.77734375" style="0" customWidth="1"/>
  </cols>
  <sheetData>
    <row r="1" spans="1:11" ht="9" customHeight="1">
      <c r="A1" s="210"/>
      <c r="B1" s="210"/>
      <c r="C1" s="210"/>
      <c r="D1" s="210"/>
      <c r="E1" s="210"/>
      <c r="F1" s="210"/>
      <c r="G1" s="210"/>
      <c r="H1" s="210"/>
      <c r="I1" s="210"/>
      <c r="J1" s="210"/>
      <c r="K1" s="1508" t="s">
        <v>1659</v>
      </c>
    </row>
    <row r="2" spans="1:11" ht="20.25">
      <c r="A2" s="212"/>
      <c r="B2" s="241" t="s">
        <v>1437</v>
      </c>
      <c r="C2" s="242"/>
      <c r="D2" s="242"/>
      <c r="E2" s="242"/>
      <c r="F2" s="233"/>
      <c r="G2" s="233"/>
      <c r="H2" s="233"/>
      <c r="I2" s="233"/>
      <c r="J2" s="236" t="s">
        <v>665</v>
      </c>
      <c r="K2" s="1508"/>
    </row>
    <row r="3" spans="1:11" ht="15">
      <c r="A3" s="211"/>
      <c r="B3" s="229"/>
      <c r="C3" s="211"/>
      <c r="D3" s="211"/>
      <c r="E3" s="211"/>
      <c r="F3" s="211"/>
      <c r="G3" s="211"/>
      <c r="H3" s="211"/>
      <c r="I3" s="211"/>
      <c r="J3" s="238" t="str">
        <f>"T1 General - "&amp;yeartext</f>
        <v>T1 General - 2007</v>
      </c>
      <c r="K3" s="1508"/>
    </row>
    <row r="4" spans="1:11" ht="15">
      <c r="A4" s="211"/>
      <c r="B4" s="211"/>
      <c r="C4" s="211"/>
      <c r="D4" s="211"/>
      <c r="E4" s="211"/>
      <c r="F4" s="211"/>
      <c r="G4" s="211"/>
      <c r="H4" s="211"/>
      <c r="I4" s="211"/>
      <c r="J4" s="211"/>
      <c r="K4" s="1508"/>
    </row>
    <row r="5" spans="1:11" ht="15.75">
      <c r="A5" s="216" t="s">
        <v>56</v>
      </c>
      <c r="B5" s="211"/>
      <c r="C5" s="211"/>
      <c r="D5" s="211"/>
      <c r="E5" s="211"/>
      <c r="F5" s="211"/>
      <c r="G5" s="211"/>
      <c r="H5" s="211"/>
      <c r="I5" s="211"/>
      <c r="J5" s="211"/>
      <c r="K5" s="1508"/>
    </row>
    <row r="6" spans="1:11" ht="15">
      <c r="A6" s="969" t="s">
        <v>2040</v>
      </c>
      <c r="B6" s="211"/>
      <c r="C6" s="211"/>
      <c r="D6" s="211"/>
      <c r="E6" s="211"/>
      <c r="F6" s="211"/>
      <c r="G6" s="211"/>
      <c r="H6" s="211"/>
      <c r="I6" s="211"/>
      <c r="J6" s="211"/>
      <c r="K6" s="1508"/>
    </row>
    <row r="7" spans="1:11" ht="15">
      <c r="A7" s="969" t="s">
        <v>411</v>
      </c>
      <c r="B7" s="211"/>
      <c r="C7" s="211"/>
      <c r="D7" s="211"/>
      <c r="E7" s="211"/>
      <c r="F7" s="211"/>
      <c r="G7" s="211"/>
      <c r="H7" s="211"/>
      <c r="I7" s="211"/>
      <c r="J7" s="211"/>
      <c r="K7" s="1508"/>
    </row>
    <row r="8" spans="1:11" ht="15">
      <c r="A8" s="969" t="s">
        <v>412</v>
      </c>
      <c r="B8" s="211"/>
      <c r="C8" s="211"/>
      <c r="D8" s="211"/>
      <c r="E8" s="211"/>
      <c r="F8" s="211"/>
      <c r="G8" s="211"/>
      <c r="H8" s="211"/>
      <c r="I8" s="211"/>
      <c r="J8" s="211"/>
      <c r="K8" s="1508"/>
    </row>
    <row r="9" spans="1:11" ht="15">
      <c r="A9" s="211"/>
      <c r="B9" s="211"/>
      <c r="C9" s="211"/>
      <c r="D9" s="211"/>
      <c r="E9" s="211"/>
      <c r="F9" s="211"/>
      <c r="G9" s="211"/>
      <c r="H9" s="211"/>
      <c r="I9" s="211"/>
      <c r="J9" s="211"/>
      <c r="K9" s="1508"/>
    </row>
    <row r="10" spans="1:11" ht="15.75">
      <c r="A10" s="216" t="s">
        <v>1639</v>
      </c>
      <c r="B10" s="211"/>
      <c r="C10" s="211"/>
      <c r="D10" s="211"/>
      <c r="E10" s="211"/>
      <c r="F10" s="211"/>
      <c r="G10" s="211"/>
      <c r="H10" s="211"/>
      <c r="I10" s="211"/>
      <c r="J10" s="211"/>
      <c r="K10" s="1508"/>
    </row>
    <row r="11" spans="1:11" ht="15">
      <c r="A11" s="211"/>
      <c r="B11" s="211"/>
      <c r="C11" s="211"/>
      <c r="D11" s="211"/>
      <c r="E11" s="211"/>
      <c r="F11" s="211"/>
      <c r="G11" s="211"/>
      <c r="H11" s="211"/>
      <c r="I11" s="211"/>
      <c r="J11" s="211"/>
      <c r="K11" s="1508"/>
    </row>
    <row r="12" spans="1:11" ht="20.25">
      <c r="A12" s="212" t="str">
        <f>"British Columbia tuition and education amounts claimed by the student for "&amp;yeartext</f>
        <v>British Columbia tuition and education amounts claimed by the student for 2007</v>
      </c>
      <c r="B12" s="211"/>
      <c r="C12" s="211"/>
      <c r="D12" s="211"/>
      <c r="E12" s="211"/>
      <c r="F12" s="211"/>
      <c r="G12" s="211"/>
      <c r="H12" s="211"/>
      <c r="I12" s="211"/>
      <c r="J12" s="211"/>
      <c r="K12" s="1508"/>
    </row>
    <row r="13" spans="1:11" ht="14.25" customHeight="1">
      <c r="A13" s="211"/>
      <c r="B13" s="211"/>
      <c r="C13" s="211"/>
      <c r="D13" s="211"/>
      <c r="E13" s="211"/>
      <c r="F13" s="211"/>
      <c r="G13" s="211"/>
      <c r="H13" s="211"/>
      <c r="I13" s="211"/>
      <c r="J13" s="211"/>
      <c r="K13" s="1508"/>
    </row>
    <row r="14" spans="1:11" ht="15">
      <c r="A14" s="215" t="s">
        <v>1385</v>
      </c>
      <c r="B14" s="211"/>
      <c r="C14" s="211"/>
      <c r="D14" s="211"/>
      <c r="E14" s="211"/>
      <c r="F14" s="211"/>
      <c r="G14" s="211"/>
      <c r="H14" s="211"/>
      <c r="I14" s="211"/>
      <c r="J14" s="211"/>
      <c r="K14" s="1508"/>
    </row>
    <row r="15" spans="1:11" ht="15.75">
      <c r="A15" s="246" t="str">
        <f>"your "&amp;lastyeartext&amp;" Notice of Assessment or Notice of Reassessment*"</f>
        <v>your 2006 Notice of Assessment or Notice of Reassessment*</v>
      </c>
      <c r="B15" s="246"/>
      <c r="C15" s="246"/>
      <c r="D15" s="246"/>
      <c r="E15" s="246"/>
      <c r="F15" s="246"/>
      <c r="G15" s="246"/>
      <c r="H15" s="211"/>
      <c r="I15" s="1462"/>
      <c r="J15" s="253">
        <v>1</v>
      </c>
      <c r="K15" s="1508"/>
    </row>
    <row r="16" spans="1:11" ht="15.75">
      <c r="A16" s="211"/>
      <c r="B16" s="211"/>
      <c r="C16" s="211"/>
      <c r="D16" s="211"/>
      <c r="E16" s="211"/>
      <c r="F16" s="211"/>
      <c r="G16" s="211"/>
      <c r="H16" s="211"/>
      <c r="I16" s="211"/>
      <c r="J16" s="216"/>
      <c r="K16" s="1508"/>
    </row>
    <row r="17" spans="1:11" ht="15.75">
      <c r="A17" s="246" t="str">
        <f>"Eligible tuition fees paid for "&amp;yeartext</f>
        <v>Eligible tuition fees paid for 2007</v>
      </c>
      <c r="B17" s="246"/>
      <c r="C17" s="246"/>
      <c r="D17" s="246"/>
      <c r="E17" s="246"/>
      <c r="F17" s="73" t="s">
        <v>413</v>
      </c>
      <c r="G17" s="369">
        <f>Sch11!I10</f>
        <v>0</v>
      </c>
      <c r="H17" s="253">
        <v>2</v>
      </c>
      <c r="I17" s="211"/>
      <c r="J17" s="211"/>
      <c r="K17" s="1508"/>
    </row>
    <row r="18" spans="1:11" ht="15">
      <c r="A18" s="211" t="str">
        <f>"Education amount for "&amp;yeartext&amp;": Use columns B and C of Forms T2202, T2202A,TL11A, "</f>
        <v>Education amount for 2007: Use columns B and C of Forms T2202, T2202A,TL11A, </v>
      </c>
      <c r="B18" s="211"/>
      <c r="C18" s="211"/>
      <c r="D18" s="211"/>
      <c r="E18" s="211"/>
      <c r="F18" s="211"/>
      <c r="G18" s="211"/>
      <c r="H18" s="211"/>
      <c r="I18" s="211"/>
      <c r="J18" s="211"/>
      <c r="K18" s="1508"/>
    </row>
    <row r="19" spans="1:11" ht="15.75">
      <c r="A19" s="211" t="s">
        <v>1041</v>
      </c>
      <c r="B19" s="211"/>
      <c r="C19" s="211"/>
      <c r="D19" s="211"/>
      <c r="E19" s="211"/>
      <c r="F19" s="211"/>
      <c r="G19" s="211"/>
      <c r="H19" s="211"/>
      <c r="I19" s="211"/>
      <c r="J19" s="211"/>
      <c r="K19" s="1508"/>
    </row>
    <row r="20" spans="1:11" ht="15.75">
      <c r="A20" s="215" t="s">
        <v>1096</v>
      </c>
      <c r="B20" s="211"/>
      <c r="C20" s="211"/>
      <c r="D20" s="211"/>
      <c r="E20" s="211"/>
      <c r="F20" s="211"/>
      <c r="G20" s="211"/>
      <c r="H20" s="211"/>
      <c r="I20" s="211"/>
      <c r="J20" s="211"/>
      <c r="K20" s="1508"/>
    </row>
    <row r="21" spans="1:11" ht="15.75" customHeight="1">
      <c r="A21" s="1599" t="s">
        <v>549</v>
      </c>
      <c r="B21" s="1599"/>
      <c r="C21" s="980">
        <f>Sch11!C16</f>
        <v>0</v>
      </c>
      <c r="D21" s="246"/>
      <c r="E21" s="247" t="s">
        <v>451</v>
      </c>
      <c r="F21" s="73" t="s">
        <v>600</v>
      </c>
      <c r="G21" s="369">
        <f>60*MINA(C21+0,12)</f>
        <v>0</v>
      </c>
      <c r="H21" s="253">
        <v>3</v>
      </c>
      <c r="I21" s="211"/>
      <c r="J21" s="211"/>
      <c r="K21" s="1508"/>
    </row>
    <row r="22" spans="1:11" ht="16.5" customHeight="1" thickBot="1">
      <c r="A22" s="246" t="s">
        <v>1097</v>
      </c>
      <c r="B22" s="246"/>
      <c r="C22" s="980">
        <f>Sch11!C24</f>
        <v>0</v>
      </c>
      <c r="D22" s="246"/>
      <c r="E22" s="247" t="s">
        <v>452</v>
      </c>
      <c r="F22" s="73" t="s">
        <v>601</v>
      </c>
      <c r="G22" s="733">
        <f>200*MINA(C22+0,12)</f>
        <v>0</v>
      </c>
      <c r="H22" s="253">
        <v>4</v>
      </c>
      <c r="I22" s="211"/>
      <c r="J22" s="211"/>
      <c r="K22" s="1508"/>
    </row>
    <row r="23" spans="1:11" ht="16.5" thickBot="1">
      <c r="A23" s="261" t="s">
        <v>602</v>
      </c>
      <c r="B23" s="246"/>
      <c r="C23" s="246"/>
      <c r="D23" s="246"/>
      <c r="E23" s="250" t="str">
        <f>"Total "&amp;yeartext&amp;" tuition and education amounts"</f>
        <v>Total 2007 tuition and education amounts</v>
      </c>
      <c r="F23" s="211"/>
      <c r="G23" s="369">
        <f>G17+G21+G22</f>
        <v>0</v>
      </c>
      <c r="H23" s="1195" t="s">
        <v>410</v>
      </c>
      <c r="I23" s="736">
        <f>G23</f>
        <v>0</v>
      </c>
      <c r="J23" s="253">
        <v>5</v>
      </c>
      <c r="K23" s="1508"/>
    </row>
    <row r="24" spans="1:11" ht="15.75">
      <c r="A24" s="261" t="s">
        <v>603</v>
      </c>
      <c r="B24" s="246"/>
      <c r="C24" s="246"/>
      <c r="D24" s="246"/>
      <c r="E24" s="246"/>
      <c r="F24" s="246"/>
      <c r="G24" s="250" t="s">
        <v>1095</v>
      </c>
      <c r="H24" s="211"/>
      <c r="I24" s="369">
        <f>I15+I23</f>
        <v>0</v>
      </c>
      <c r="J24" s="253">
        <v>6</v>
      </c>
      <c r="K24" s="1508"/>
    </row>
    <row r="25" spans="1:11" ht="15">
      <c r="A25" s="211"/>
      <c r="B25" s="211"/>
      <c r="C25" s="211"/>
      <c r="D25" s="211"/>
      <c r="E25" s="211"/>
      <c r="F25" s="211"/>
      <c r="G25" s="211"/>
      <c r="H25" s="211"/>
      <c r="I25" s="211"/>
      <c r="J25" s="211"/>
      <c r="K25" s="1508"/>
    </row>
    <row r="26" spans="1:11" ht="15.75">
      <c r="A26" s="246" t="s">
        <v>1098</v>
      </c>
      <c r="B26" s="246"/>
      <c r="C26" s="246"/>
      <c r="D26" s="246"/>
      <c r="E26" s="246"/>
      <c r="F26" s="211"/>
      <c r="G26" s="369">
        <f>taxinc</f>
        <v>0</v>
      </c>
      <c r="H26" s="253">
        <v>7</v>
      </c>
      <c r="I26" s="211"/>
      <c r="J26" s="211"/>
      <c r="K26" s="1508"/>
    </row>
    <row r="27" spans="1:11" ht="16.5" thickBot="1">
      <c r="A27" s="246" t="s">
        <v>979</v>
      </c>
      <c r="B27" s="246"/>
      <c r="C27" s="246"/>
      <c r="D27" s="246"/>
      <c r="E27" s="246"/>
      <c r="F27" s="211"/>
      <c r="G27" s="733">
        <f>SUM('BC428'!H9:H25)</f>
        <v>9027</v>
      </c>
      <c r="H27" s="253">
        <v>8</v>
      </c>
      <c r="I27" s="211"/>
      <c r="J27" s="211"/>
      <c r="K27" s="1508"/>
    </row>
    <row r="28" spans="1:11" ht="15.75">
      <c r="A28" s="261" t="s">
        <v>457</v>
      </c>
      <c r="B28" s="246"/>
      <c r="C28" s="246"/>
      <c r="D28" s="246"/>
      <c r="E28" s="246"/>
      <c r="F28" s="211"/>
      <c r="G28" s="369">
        <f>MAXA(0,G26-G27)</f>
        <v>0</v>
      </c>
      <c r="H28" s="253">
        <v>9</v>
      </c>
      <c r="I28" s="211"/>
      <c r="J28" s="211"/>
      <c r="K28" s="1508"/>
    </row>
    <row r="29" spans="1:11" ht="15">
      <c r="A29" s="211" t="str">
        <f>"Unused British Columbia tuition and education amounts claimed for "&amp;yeartext&amp;":"</f>
        <v>Unused British Columbia tuition and education amounts claimed for 2007:</v>
      </c>
      <c r="B29" s="211"/>
      <c r="C29" s="211"/>
      <c r="D29" s="211"/>
      <c r="E29" s="211"/>
      <c r="F29" s="211"/>
      <c r="G29" s="211"/>
      <c r="H29" s="211"/>
      <c r="I29" s="211"/>
      <c r="J29" s="211"/>
      <c r="K29" s="1508"/>
    </row>
    <row r="30" spans="1:11" ht="16.5" thickBot="1">
      <c r="A30" s="246" t="s">
        <v>1099</v>
      </c>
      <c r="B30" s="246"/>
      <c r="C30" s="246"/>
      <c r="D30" s="246"/>
      <c r="E30" s="246"/>
      <c r="F30" s="211"/>
      <c r="G30" s="736">
        <f>MINA(I15+0,G28)</f>
        <v>0</v>
      </c>
      <c r="H30" s="1195" t="s">
        <v>410</v>
      </c>
      <c r="I30" s="369">
        <f>G30</f>
        <v>0</v>
      </c>
      <c r="J30" s="253">
        <v>10</v>
      </c>
      <c r="K30" s="1508"/>
    </row>
    <row r="31" spans="1:11" ht="15.75">
      <c r="A31" s="261" t="s">
        <v>1100</v>
      </c>
      <c r="B31" s="246"/>
      <c r="C31" s="246"/>
      <c r="D31" s="246"/>
      <c r="E31" s="246"/>
      <c r="F31" s="211"/>
      <c r="G31" s="369">
        <f>G28-I30</f>
        <v>0</v>
      </c>
      <c r="H31" s="253">
        <v>11</v>
      </c>
      <c r="I31" s="211"/>
      <c r="J31" s="211"/>
      <c r="K31" s="1508"/>
    </row>
    <row r="32" spans="1:11" ht="15">
      <c r="A32" s="262" t="str">
        <f>yeartext&amp;" tuition and education amounts claimed for "&amp;yeartext&amp;":"</f>
        <v>2007 tuition and education amounts claimed for 2007:</v>
      </c>
      <c r="B32" s="211"/>
      <c r="C32" s="211"/>
      <c r="D32" s="211"/>
      <c r="E32" s="211"/>
      <c r="F32" s="211"/>
      <c r="G32" s="211"/>
      <c r="H32" s="211"/>
      <c r="I32" s="211"/>
      <c r="J32" s="211"/>
      <c r="K32" s="1508"/>
    </row>
    <row r="33" spans="1:11" ht="15.75">
      <c r="A33" s="246" t="s">
        <v>1101</v>
      </c>
      <c r="B33" s="246"/>
      <c r="C33" s="246"/>
      <c r="D33" s="246"/>
      <c r="E33" s="246"/>
      <c r="F33" s="246"/>
      <c r="G33" s="211"/>
      <c r="H33" s="211"/>
      <c r="I33" s="369">
        <f>MINA(I23,G31)</f>
        <v>0</v>
      </c>
      <c r="J33" s="253">
        <v>12</v>
      </c>
      <c r="K33" s="1508"/>
    </row>
    <row r="34" spans="1:11" ht="15.75">
      <c r="A34" s="211" t="s">
        <v>974</v>
      </c>
      <c r="B34" s="211"/>
      <c r="C34" s="211"/>
      <c r="D34" s="216"/>
      <c r="E34" s="219"/>
      <c r="F34" s="211"/>
      <c r="G34" s="219" t="s">
        <v>2185</v>
      </c>
      <c r="H34" s="216"/>
      <c r="I34" s="211"/>
      <c r="J34" s="211"/>
      <c r="K34" s="1508"/>
    </row>
    <row r="35" spans="1:11" ht="15.75">
      <c r="A35" s="246" t="s">
        <v>1065</v>
      </c>
      <c r="B35" s="246"/>
      <c r="C35" s="246"/>
      <c r="D35" s="246"/>
      <c r="E35" s="246"/>
      <c r="F35" s="246"/>
      <c r="G35" s="252" t="str">
        <f>" amounts claimed by the student for "&amp;yeartext</f>
        <v> amounts claimed by the student for 2007</v>
      </c>
      <c r="H35" s="216"/>
      <c r="I35" s="654">
        <f>I30+I33</f>
        <v>0</v>
      </c>
      <c r="J35" s="253">
        <v>13</v>
      </c>
      <c r="K35" s="1508"/>
    </row>
    <row r="36" spans="1:11" ht="25.5" customHeight="1">
      <c r="A36" s="215"/>
      <c r="B36" s="215"/>
      <c r="C36" s="215"/>
      <c r="D36" s="215"/>
      <c r="E36" s="215"/>
      <c r="F36" s="215"/>
      <c r="G36" s="251"/>
      <c r="H36" s="216"/>
      <c r="I36" s="211"/>
      <c r="J36" s="253"/>
      <c r="K36" s="1508"/>
    </row>
    <row r="37" spans="1:11" ht="18">
      <c r="A37" s="589" t="s">
        <v>2001</v>
      </c>
      <c r="B37" s="227"/>
      <c r="C37" s="227"/>
      <c r="D37" s="227"/>
      <c r="E37" s="227"/>
      <c r="F37" s="227"/>
      <c r="G37" s="587"/>
      <c r="H37" s="899"/>
      <c r="I37" s="227"/>
      <c r="J37" s="900"/>
      <c r="K37" s="1508"/>
    </row>
    <row r="38" spans="1:11" ht="27.75" customHeight="1">
      <c r="A38" s="460" t="s">
        <v>550</v>
      </c>
      <c r="B38" s="214"/>
      <c r="C38" s="214"/>
      <c r="D38" s="214"/>
      <c r="E38" s="214"/>
      <c r="F38" s="214"/>
      <c r="G38" s="226"/>
      <c r="H38" s="248"/>
      <c r="I38" s="447">
        <f>I24</f>
        <v>0</v>
      </c>
      <c r="J38" s="905">
        <v>14</v>
      </c>
      <c r="K38" s="1508"/>
    </row>
    <row r="39" spans="1:11" ht="16.5" thickBot="1">
      <c r="A39" s="222" t="s">
        <v>551</v>
      </c>
      <c r="B39" s="217"/>
      <c r="C39" s="217"/>
      <c r="D39" s="217"/>
      <c r="E39" s="217"/>
      <c r="F39" s="217"/>
      <c r="G39" s="263"/>
      <c r="H39" s="248"/>
      <c r="I39" s="751">
        <f>I35</f>
        <v>0</v>
      </c>
      <c r="J39" s="905">
        <v>15</v>
      </c>
      <c r="K39" s="1508"/>
    </row>
    <row r="40" spans="1:11" ht="15.75">
      <c r="A40" s="222" t="s">
        <v>2518</v>
      </c>
      <c r="B40" s="217"/>
      <c r="C40" s="217"/>
      <c r="D40" s="217"/>
      <c r="E40" s="217"/>
      <c r="F40" s="217"/>
      <c r="G40" s="263" t="s">
        <v>1373</v>
      </c>
      <c r="H40" s="248"/>
      <c r="I40" s="447">
        <f>I38-I39</f>
        <v>0</v>
      </c>
      <c r="J40" s="905">
        <v>16</v>
      </c>
      <c r="K40" s="1508"/>
    </row>
    <row r="41" spans="1:11" ht="26.25" customHeight="1">
      <c r="A41" s="244" t="s">
        <v>2570</v>
      </c>
      <c r="B41" s="215"/>
      <c r="C41" s="215"/>
      <c r="D41" s="215"/>
      <c r="E41" s="215"/>
      <c r="F41" s="215"/>
      <c r="G41" s="251"/>
      <c r="H41" s="248"/>
      <c r="I41" s="659"/>
      <c r="J41" s="905"/>
      <c r="K41" s="1508"/>
    </row>
    <row r="42" spans="1:11" ht="15.75">
      <c r="A42" s="245" t="s">
        <v>92</v>
      </c>
      <c r="B42" s="215"/>
      <c r="C42" s="215"/>
      <c r="D42" s="215"/>
      <c r="E42" s="215"/>
      <c r="F42" s="215"/>
      <c r="G42" s="251"/>
      <c r="H42" s="248"/>
      <c r="I42" s="659"/>
      <c r="J42" s="905"/>
      <c r="K42" s="1508"/>
    </row>
    <row r="43" spans="1:11" ht="11.25" customHeight="1">
      <c r="A43" s="970"/>
      <c r="B43" s="215"/>
      <c r="C43" s="215"/>
      <c r="D43" s="215"/>
      <c r="E43" s="215"/>
      <c r="F43" s="215"/>
      <c r="G43" s="251"/>
      <c r="H43" s="248"/>
      <c r="I43" s="215"/>
      <c r="J43" s="905"/>
      <c r="K43" s="1508"/>
    </row>
    <row r="44" spans="1:11" ht="15.75">
      <c r="A44" s="460" t="s">
        <v>2171</v>
      </c>
      <c r="B44" s="214"/>
      <c r="C44" s="214"/>
      <c r="D44" s="214"/>
      <c r="E44" s="214"/>
      <c r="F44" s="215"/>
      <c r="G44" s="447">
        <f>MINA(5000,I23)</f>
        <v>0</v>
      </c>
      <c r="H44" s="906">
        <v>17</v>
      </c>
      <c r="I44" s="215"/>
      <c r="J44" s="905"/>
      <c r="K44" s="1508"/>
    </row>
    <row r="45" spans="1:11" ht="16.5" thickBot="1">
      <c r="A45" s="222" t="s">
        <v>1094</v>
      </c>
      <c r="B45" s="217"/>
      <c r="C45" s="217"/>
      <c r="D45" s="217"/>
      <c r="E45" s="217"/>
      <c r="F45" s="215"/>
      <c r="G45" s="751">
        <f>I33</f>
        <v>0</v>
      </c>
      <c r="H45" s="906">
        <v>18</v>
      </c>
      <c r="I45" s="215"/>
      <c r="J45" s="905"/>
      <c r="K45" s="1508"/>
    </row>
    <row r="46" spans="1:11" ht="15.75">
      <c r="A46" s="222" t="s">
        <v>552</v>
      </c>
      <c r="B46" s="217"/>
      <c r="C46" s="217"/>
      <c r="D46" s="217"/>
      <c r="E46" s="263" t="s">
        <v>85</v>
      </c>
      <c r="F46" s="215"/>
      <c r="G46" s="447">
        <f>MAXA(0,G44-G45)</f>
        <v>0</v>
      </c>
      <c r="H46" s="906">
        <v>19</v>
      </c>
      <c r="I46" s="215"/>
      <c r="J46" s="905"/>
      <c r="K46" s="1508"/>
    </row>
    <row r="47" spans="1:11" ht="15.75">
      <c r="A47" s="244"/>
      <c r="B47" s="215"/>
      <c r="C47" s="215"/>
      <c r="D47" s="215"/>
      <c r="E47" s="215"/>
      <c r="F47" s="215"/>
      <c r="G47" s="251"/>
      <c r="H47" s="248"/>
      <c r="I47" s="215"/>
      <c r="J47" s="905"/>
      <c r="K47" s="1508"/>
    </row>
    <row r="48" spans="1:11" ht="15.75">
      <c r="A48" s="244" t="s">
        <v>1316</v>
      </c>
      <c r="B48" s="215"/>
      <c r="C48" s="215"/>
      <c r="D48" s="215"/>
      <c r="E48" s="215"/>
      <c r="F48" s="215"/>
      <c r="G48" s="251"/>
      <c r="H48" s="248"/>
      <c r="I48" s="215"/>
      <c r="J48" s="905"/>
      <c r="K48" s="1508"/>
    </row>
    <row r="49" spans="1:11" ht="15.75">
      <c r="A49" s="244" t="s">
        <v>486</v>
      </c>
      <c r="B49" s="215"/>
      <c r="C49" s="215"/>
      <c r="D49" s="215"/>
      <c r="E49" s="215"/>
      <c r="F49" s="215"/>
      <c r="G49" s="251"/>
      <c r="H49" s="248"/>
      <c r="I49" s="215"/>
      <c r="J49" s="905"/>
      <c r="K49" s="1508"/>
    </row>
    <row r="50" spans="1:11" ht="15.75">
      <c r="A50" s="245" t="s">
        <v>2172</v>
      </c>
      <c r="B50" s="215"/>
      <c r="C50" s="215"/>
      <c r="D50" s="215"/>
      <c r="E50" s="215"/>
      <c r="F50" s="215"/>
      <c r="G50" s="251"/>
      <c r="H50" s="248"/>
      <c r="I50" s="215"/>
      <c r="J50" s="905"/>
      <c r="K50" s="1508"/>
    </row>
    <row r="51" spans="1:11" ht="26.25" customHeight="1">
      <c r="A51" s="971" t="s">
        <v>2173</v>
      </c>
      <c r="B51" s="215"/>
      <c r="C51" s="215"/>
      <c r="D51" s="215"/>
      <c r="E51" s="215"/>
      <c r="F51" s="215"/>
      <c r="G51" s="251"/>
      <c r="H51" s="248"/>
      <c r="I51" s="215"/>
      <c r="J51" s="905"/>
      <c r="K51" s="1508"/>
    </row>
    <row r="52" spans="1:11" ht="26.25" customHeight="1">
      <c r="A52" s="971" t="s">
        <v>93</v>
      </c>
      <c r="B52" s="215"/>
      <c r="C52" s="215"/>
      <c r="D52" s="215"/>
      <c r="E52" s="215"/>
      <c r="F52" s="215"/>
      <c r="G52" s="251"/>
      <c r="H52" s="248"/>
      <c r="I52" s="215"/>
      <c r="J52" s="905"/>
      <c r="K52" s="1508"/>
    </row>
    <row r="53" spans="1:11" ht="16.5" thickBot="1">
      <c r="A53" s="460" t="s">
        <v>2113</v>
      </c>
      <c r="B53" s="214"/>
      <c r="C53" s="214"/>
      <c r="D53" s="214"/>
      <c r="E53" s="214"/>
      <c r="F53" s="214"/>
      <c r="G53" s="226" t="s">
        <v>2114</v>
      </c>
      <c r="H53" s="904" t="s">
        <v>45</v>
      </c>
      <c r="I53" s="738">
        <f>G46</f>
        <v>0</v>
      </c>
      <c r="J53" s="905">
        <v>20</v>
      </c>
      <c r="K53" s="1508"/>
    </row>
    <row r="54" spans="1:11" ht="15.75">
      <c r="A54" s="244"/>
      <c r="B54" s="215"/>
      <c r="C54" s="215"/>
      <c r="D54" s="215"/>
      <c r="E54" s="215"/>
      <c r="F54" s="215"/>
      <c r="G54" s="215"/>
      <c r="H54" s="248"/>
      <c r="I54" s="215"/>
      <c r="J54" s="254"/>
      <c r="K54" s="1508"/>
    </row>
    <row r="55" spans="1:11" ht="15.75">
      <c r="A55" s="460" t="s">
        <v>2337</v>
      </c>
      <c r="B55" s="214"/>
      <c r="C55" s="214"/>
      <c r="D55" s="214"/>
      <c r="E55" s="221"/>
      <c r="F55" s="214"/>
      <c r="G55" s="226"/>
      <c r="H55" s="248"/>
      <c r="I55" s="447">
        <f>I40-I53</f>
        <v>0</v>
      </c>
      <c r="J55" s="905">
        <v>21</v>
      </c>
      <c r="K55" s="1508"/>
    </row>
    <row r="56" spans="1:11" ht="32.25" customHeight="1">
      <c r="A56" s="460"/>
      <c r="B56" s="214"/>
      <c r="C56" s="214"/>
      <c r="D56" s="214"/>
      <c r="E56" s="221"/>
      <c r="F56" s="214"/>
      <c r="G56" s="479" t="s">
        <v>668</v>
      </c>
      <c r="H56" s="228"/>
      <c r="I56" s="592"/>
      <c r="J56" s="907"/>
      <c r="K56" s="1508"/>
    </row>
    <row r="57" spans="1:11" ht="15">
      <c r="A57" s="211"/>
      <c r="B57" s="211"/>
      <c r="C57" s="211"/>
      <c r="D57" s="211"/>
      <c r="E57" s="211"/>
      <c r="F57" s="211"/>
      <c r="G57" s="211"/>
      <c r="H57" s="211"/>
      <c r="I57" s="211"/>
      <c r="J57" s="211" t="s">
        <v>998</v>
      </c>
      <c r="K57" s="1508"/>
    </row>
    <row r="58" spans="1:11" ht="15">
      <c r="A58" s="211" t="str">
        <f>"* If you resided in another province or territory on December 31, "&amp;lastyeartext&amp;", enter on line 1 the unused federal"</f>
        <v>* If you resided in another province or territory on December 31, 2006, enter on line 1 the unused federal</v>
      </c>
      <c r="B58" s="210"/>
      <c r="C58" s="210"/>
      <c r="D58" s="210"/>
      <c r="E58" s="210"/>
      <c r="F58" s="210"/>
      <c r="G58" s="210"/>
      <c r="H58" s="210"/>
      <c r="I58" s="210"/>
      <c r="J58" s="210"/>
      <c r="K58" s="1508"/>
    </row>
    <row r="59" spans="1:11" ht="15">
      <c r="A59" s="210" t="str">
        <f>"   tuition and education amount from your "&amp;lastyeartext</f>
        <v>   tuition and education amount from your 2006</v>
      </c>
      <c r="B59" s="828" t="s">
        <v>57</v>
      </c>
      <c r="C59" s="210"/>
      <c r="D59" s="210"/>
      <c r="E59" s="210"/>
      <c r="F59" s="210"/>
      <c r="G59" s="210"/>
      <c r="H59" s="210"/>
      <c r="I59" s="210"/>
      <c r="J59" s="210"/>
      <c r="K59" s="1508"/>
    </row>
    <row r="60" spans="1:11" ht="15">
      <c r="A60" s="210"/>
      <c r="B60" s="210"/>
      <c r="C60" s="210"/>
      <c r="D60" s="210"/>
      <c r="E60" s="210"/>
      <c r="F60" s="210"/>
      <c r="G60" s="210"/>
      <c r="H60" s="210"/>
      <c r="I60" s="210"/>
      <c r="J60" s="210"/>
      <c r="K60" s="1508"/>
    </row>
  </sheetData>
  <sheetProtection password="EC35" sheet="1" objects="1" scenarios="1"/>
  <mergeCells count="2">
    <mergeCell ref="K1:K60"/>
    <mergeCell ref="A21:B21"/>
  </mergeCells>
  <hyperlinks>
    <hyperlink ref="K1:K60" location="'GO TO'!B40" display=" "/>
  </hyperlinks>
  <printOptions horizontalCentered="1"/>
  <pageMargins left="0.11811023622047245" right="0.11811023622047245" top="0.31496062992125984" bottom="0.31496062992125984" header="0.5118110236220472" footer="0.1968503937007874"/>
  <pageSetup fitToHeight="0" fitToWidth="1" horizontalDpi="600" verticalDpi="600" orientation="portrait" scale="73" r:id="rId4"/>
  <headerFooter alignWithMargins="0">
    <oddFooter>&amp;L5010-S11</oddFooter>
  </headerFooter>
  <drawing r:id="rId3"/>
  <legacyDrawing r:id="rId2"/>
</worksheet>
</file>

<file path=xl/worksheets/sheet14.xml><?xml version="1.0" encoding="utf-8"?>
<worksheet xmlns="http://schemas.openxmlformats.org/spreadsheetml/2006/main" xmlns:r="http://schemas.openxmlformats.org/officeDocument/2006/relationships">
  <sheetPr codeName="Sheet11" transitionEvaluation="1">
    <pageSetUpPr fitToPage="1"/>
  </sheetPr>
  <dimension ref="A1:M89"/>
  <sheetViews>
    <sheetView showGridLines="0" zoomScale="75" zoomScaleNormal="75" workbookViewId="0" topLeftCell="A1">
      <selection activeCell="B4" sqref="B4"/>
    </sheetView>
  </sheetViews>
  <sheetFormatPr defaultColWidth="9.77734375" defaultRowHeight="15"/>
  <cols>
    <col min="1" max="1" width="2.99609375" style="608" customWidth="1"/>
    <col min="2" max="2" width="33.77734375" style="608" customWidth="1"/>
    <col min="3" max="3" width="11.77734375" style="608" customWidth="1"/>
    <col min="4" max="4" width="4.77734375" style="608" customWidth="1"/>
    <col min="5" max="5" width="11.77734375" style="608" customWidth="1"/>
    <col min="6" max="6" width="4.77734375" style="608" customWidth="1"/>
    <col min="7" max="7" width="11.77734375" style="608" customWidth="1"/>
    <col min="8" max="8" width="4.77734375" style="608" customWidth="1"/>
    <col min="9" max="9" width="11.77734375" style="608" customWidth="1"/>
    <col min="10" max="10" width="5.3359375" style="608" customWidth="1"/>
    <col min="11" max="11" width="11.77734375" style="608" customWidth="1"/>
    <col min="12" max="12" width="3.77734375" style="608" customWidth="1"/>
    <col min="13" max="16384" width="9.77734375" style="608" customWidth="1"/>
  </cols>
  <sheetData>
    <row r="1" spans="1:13" ht="24.75" customHeight="1">
      <c r="A1" s="649"/>
      <c r="B1" s="135" t="str">
        <f>"T1-"&amp;yeartext</f>
        <v>T1-2007</v>
      </c>
      <c r="C1" s="135"/>
      <c r="D1" s="166"/>
      <c r="E1" s="1264" t="s">
        <v>459</v>
      </c>
      <c r="F1" s="114"/>
      <c r="G1" s="108"/>
      <c r="H1" s="114"/>
      <c r="I1" s="78"/>
      <c r="J1" s="114"/>
      <c r="K1" s="1263" t="s">
        <v>36</v>
      </c>
      <c r="L1" s="114"/>
      <c r="M1" s="1573" t="s">
        <v>1659</v>
      </c>
    </row>
    <row r="2" spans="1:13" ht="45.75" customHeight="1">
      <c r="A2" s="649"/>
      <c r="B2" s="114" t="s">
        <v>2076</v>
      </c>
      <c r="C2" s="78"/>
      <c r="D2" s="114"/>
      <c r="E2" s="108"/>
      <c r="F2" s="114"/>
      <c r="G2" s="108"/>
      <c r="H2" s="114"/>
      <c r="I2" s="78"/>
      <c r="J2" s="114"/>
      <c r="K2" s="108"/>
      <c r="L2" s="114"/>
      <c r="M2" s="1573"/>
    </row>
    <row r="3" spans="1:13" ht="15.75" customHeight="1">
      <c r="A3" s="649"/>
      <c r="B3" s="114" t="s">
        <v>2077</v>
      </c>
      <c r="C3" s="78"/>
      <c r="D3" s="78"/>
      <c r="E3" s="114"/>
      <c r="F3" s="78"/>
      <c r="G3" s="78"/>
      <c r="H3" s="78"/>
      <c r="I3" s="78"/>
      <c r="J3" s="78"/>
      <c r="K3" s="78"/>
      <c r="L3" s="78"/>
      <c r="M3" s="1573"/>
    </row>
    <row r="4" spans="1:13" s="829" customFormat="1" ht="27.75" customHeight="1">
      <c r="A4" s="1318"/>
      <c r="B4" s="1319" t="s">
        <v>729</v>
      </c>
      <c r="C4" s="1319"/>
      <c r="D4" s="1320"/>
      <c r="E4" s="1321"/>
      <c r="F4" s="1320"/>
      <c r="G4" s="1320"/>
      <c r="H4" s="1320"/>
      <c r="I4" s="1320"/>
      <c r="J4" s="1320"/>
      <c r="K4" s="1320"/>
      <c r="L4" s="1320"/>
      <c r="M4" s="1573"/>
    </row>
    <row r="5" spans="1:13" s="829" customFormat="1" ht="27.75" customHeight="1">
      <c r="A5" s="1318"/>
      <c r="B5" s="1322" t="s">
        <v>776</v>
      </c>
      <c r="C5" s="1322"/>
      <c r="D5" s="1320"/>
      <c r="E5" s="1321"/>
      <c r="F5" s="1320"/>
      <c r="G5" s="1320"/>
      <c r="H5" s="1320"/>
      <c r="I5" s="1320"/>
      <c r="J5" s="1320"/>
      <c r="K5" s="1320"/>
      <c r="L5" s="1320"/>
      <c r="M5" s="1573"/>
    </row>
    <row r="6" spans="1:13" ht="7.5" customHeight="1">
      <c r="A6" s="649"/>
      <c r="B6" s="78"/>
      <c r="C6" s="78"/>
      <c r="D6" s="78"/>
      <c r="E6" s="78"/>
      <c r="F6" s="78"/>
      <c r="G6" s="78"/>
      <c r="H6" s="95"/>
      <c r="I6" s="78"/>
      <c r="J6" s="95"/>
      <c r="K6" s="115"/>
      <c r="L6" s="95"/>
      <c r="M6" s="1573"/>
    </row>
    <row r="7" spans="1:13" ht="15.75">
      <c r="A7" s="649"/>
      <c r="B7" s="75" t="s">
        <v>620</v>
      </c>
      <c r="C7" s="75"/>
      <c r="D7" s="75"/>
      <c r="E7" s="75"/>
      <c r="F7" s="75"/>
      <c r="G7" s="75"/>
      <c r="H7" s="96"/>
      <c r="I7" s="96" t="s">
        <v>778</v>
      </c>
      <c r="J7" s="2">
        <v>300</v>
      </c>
      <c r="K7" s="447">
        <f>9600*fract</f>
        <v>9600</v>
      </c>
      <c r="L7" s="106">
        <v>1</v>
      </c>
      <c r="M7" s="1573"/>
    </row>
    <row r="8" spans="1:13" ht="27.75" customHeight="1">
      <c r="A8" s="649"/>
      <c r="B8" s="76" t="str">
        <f>"Age amount (if you were born in "&amp;year65text&amp;" or earlier) (use federal worksheet)"</f>
        <v>Age amount (if you were born in 1942 or earlier) (use federal worksheet)</v>
      </c>
      <c r="C8" s="75"/>
      <c r="D8" s="75"/>
      <c r="E8" s="75"/>
      <c r="F8" s="75"/>
      <c r="G8" s="76"/>
      <c r="H8" s="94"/>
      <c r="I8" s="161" t="s">
        <v>779</v>
      </c>
      <c r="J8" s="2">
        <v>301</v>
      </c>
      <c r="K8" s="384">
        <f>IF(age&gt;64,'FED WRK'!I49,0)</f>
        <v>0</v>
      </c>
      <c r="L8" s="106">
        <v>2</v>
      </c>
      <c r="M8" s="1573"/>
    </row>
    <row r="9" spans="1:13" ht="18">
      <c r="A9" s="649"/>
      <c r="B9" s="82" t="s">
        <v>780</v>
      </c>
      <c r="C9" s="82"/>
      <c r="D9" s="82"/>
      <c r="E9" s="78"/>
      <c r="F9" s="78"/>
      <c r="G9" s="78"/>
      <c r="H9" s="99"/>
      <c r="I9" s="97"/>
      <c r="J9" s="86"/>
      <c r="K9" s="115"/>
      <c r="L9" s="86"/>
      <c r="M9" s="1573"/>
    </row>
    <row r="10" spans="1:13" ht="15.75">
      <c r="A10" s="649"/>
      <c r="B10" s="1323" t="s">
        <v>782</v>
      </c>
      <c r="C10" s="369">
        <f>'T1 GEN-1'!U30</f>
        <v>0</v>
      </c>
      <c r="D10" s="75"/>
      <c r="E10" s="165" t="s">
        <v>781</v>
      </c>
      <c r="F10" s="90"/>
      <c r="G10" s="844"/>
      <c r="H10" s="90"/>
      <c r="I10" s="90"/>
      <c r="J10" s="2">
        <v>303</v>
      </c>
      <c r="K10" s="369">
        <f>IF(QUAL!G10,MAX(0,fract*9600-C10),0)</f>
        <v>0</v>
      </c>
      <c r="L10" s="106">
        <v>3</v>
      </c>
      <c r="M10" s="1573"/>
    </row>
    <row r="11" spans="1:13" ht="18">
      <c r="A11" s="649"/>
      <c r="B11" s="82" t="s">
        <v>34</v>
      </c>
      <c r="C11" s="121"/>
      <c r="D11" s="121"/>
      <c r="E11" s="121"/>
      <c r="F11" s="101"/>
      <c r="G11" s="1261"/>
      <c r="H11" s="101"/>
      <c r="I11" s="101"/>
      <c r="J11" s="106"/>
      <c r="K11" s="86"/>
      <c r="L11" s="86"/>
      <c r="M11" s="1573"/>
    </row>
    <row r="12" spans="1:13" ht="15.75">
      <c r="A12" s="649"/>
      <c r="B12" s="75"/>
      <c r="C12" s="75"/>
      <c r="D12" s="75"/>
      <c r="E12" s="75"/>
      <c r="F12" s="1265" t="s">
        <v>37</v>
      </c>
      <c r="G12" s="369">
        <f>Sch5!E16</f>
        <v>0</v>
      </c>
      <c r="H12" s="101"/>
      <c r="I12" s="1262" t="s">
        <v>35</v>
      </c>
      <c r="J12" s="2">
        <v>305</v>
      </c>
      <c r="K12" s="384">
        <f>IF(QUAL!G13,MAX(0,(fract*9600-G12)),0)</f>
        <v>0</v>
      </c>
      <c r="L12" s="106">
        <v>4</v>
      </c>
      <c r="M12" s="1573"/>
    </row>
    <row r="13" spans="1:13" ht="15.75">
      <c r="A13" s="649"/>
      <c r="B13" s="75" t="s">
        <v>783</v>
      </c>
      <c r="C13" s="75"/>
      <c r="D13" s="75"/>
      <c r="E13" s="90" t="s">
        <v>450</v>
      </c>
      <c r="F13" s="2">
        <v>366</v>
      </c>
      <c r="G13" s="1436">
        <f>numchildren17andless</f>
        <v>0</v>
      </c>
      <c r="H13" s="90"/>
      <c r="I13" s="1330" t="s">
        <v>784</v>
      </c>
      <c r="J13" s="2">
        <v>367</v>
      </c>
      <c r="K13" s="369">
        <f>2000*G13</f>
        <v>0</v>
      </c>
      <c r="L13" s="106">
        <v>5</v>
      </c>
      <c r="M13" s="1573"/>
    </row>
    <row r="14" spans="1:13" ht="18">
      <c r="A14" s="649"/>
      <c r="B14" s="121"/>
      <c r="C14" s="121"/>
      <c r="D14" s="121"/>
      <c r="E14" s="121"/>
      <c r="F14" s="1331"/>
      <c r="G14" s="1261"/>
      <c r="H14" s="101"/>
      <c r="I14" s="1262"/>
      <c r="J14" s="86"/>
      <c r="K14" s="1329"/>
      <c r="L14" s="106"/>
      <c r="M14" s="1573"/>
    </row>
    <row r="15" spans="1:13" ht="18">
      <c r="A15" s="649"/>
      <c r="B15" s="75" t="s">
        <v>785</v>
      </c>
      <c r="C15" s="75"/>
      <c r="D15" s="75"/>
      <c r="E15" s="75"/>
      <c r="F15" s="75"/>
      <c r="G15" s="75"/>
      <c r="H15" s="96"/>
      <c r="I15" s="86"/>
      <c r="J15" s="2">
        <v>306</v>
      </c>
      <c r="K15" s="384">
        <f>IF(QUAL!G16,'FED WRK'!I61,0)</f>
        <v>0</v>
      </c>
      <c r="L15" s="106">
        <v>6</v>
      </c>
      <c r="M15" s="1573"/>
    </row>
    <row r="16" spans="1:13" ht="18">
      <c r="A16" s="649"/>
      <c r="B16" s="82" t="s">
        <v>1729</v>
      </c>
      <c r="C16" s="121"/>
      <c r="D16" s="78"/>
      <c r="E16" s="78"/>
      <c r="F16" s="78"/>
      <c r="G16" s="82"/>
      <c r="H16" s="106"/>
      <c r="I16" s="119"/>
      <c r="J16" s="86"/>
      <c r="K16" s="86"/>
      <c r="L16" s="86"/>
      <c r="M16" s="1573"/>
    </row>
    <row r="17" spans="1:13" ht="15.75">
      <c r="A17" s="649"/>
      <c r="B17" s="75" t="s">
        <v>876</v>
      </c>
      <c r="C17" s="75"/>
      <c r="D17" s="75"/>
      <c r="E17" s="75"/>
      <c r="F17" s="75"/>
      <c r="G17" s="844"/>
      <c r="H17" s="844"/>
      <c r="I17" s="844" t="s">
        <v>786</v>
      </c>
      <c r="J17" s="2">
        <v>308</v>
      </c>
      <c r="K17" s="664">
        <f>MIN('T2204'!I21,'T2204'!I22)</f>
        <v>0</v>
      </c>
      <c r="L17" s="1154" t="s">
        <v>787</v>
      </c>
      <c r="M17" s="1573"/>
    </row>
    <row r="18" spans="1:13" ht="15.75">
      <c r="A18" s="649"/>
      <c r="B18" s="76" t="s">
        <v>1089</v>
      </c>
      <c r="C18" s="76"/>
      <c r="D18" s="76"/>
      <c r="E18" s="76"/>
      <c r="F18" s="76"/>
      <c r="G18" s="843"/>
      <c r="H18" s="843"/>
      <c r="I18" s="78"/>
      <c r="J18" s="2">
        <v>310</v>
      </c>
      <c r="K18" s="384">
        <f>Sch8!I28</f>
        <v>0</v>
      </c>
      <c r="L18" s="1154" t="s">
        <v>788</v>
      </c>
      <c r="M18" s="1573"/>
    </row>
    <row r="19" spans="1:13" ht="15.75">
      <c r="A19" s="649"/>
      <c r="B19" s="76" t="s">
        <v>2089</v>
      </c>
      <c r="C19" s="75"/>
      <c r="D19" s="75"/>
      <c r="E19" s="75"/>
      <c r="F19" s="75"/>
      <c r="G19" s="843"/>
      <c r="H19" s="843"/>
      <c r="I19" s="843" t="s">
        <v>798</v>
      </c>
      <c r="J19" s="2">
        <v>312</v>
      </c>
      <c r="K19" s="384">
        <f>MIN(720,MISC!L55)</f>
        <v>0</v>
      </c>
      <c r="L19" s="1154" t="s">
        <v>789</v>
      </c>
      <c r="M19" s="1573"/>
    </row>
    <row r="20" spans="1:13" ht="15.75">
      <c r="A20" s="649"/>
      <c r="B20" s="76" t="s">
        <v>804</v>
      </c>
      <c r="C20" s="75"/>
      <c r="D20" s="75"/>
      <c r="E20" s="75"/>
      <c r="F20" s="75"/>
      <c r="G20" s="843"/>
      <c r="H20" s="843"/>
      <c r="I20" s="843" t="s">
        <v>228</v>
      </c>
      <c r="J20" s="2">
        <v>363</v>
      </c>
      <c r="K20" s="384">
        <f>MIN(1000,'T1 GEN-2-3-4'!I13+'T1 GEN-2-3-4'!I15)</f>
        <v>0</v>
      </c>
      <c r="L20" s="106">
        <v>10</v>
      </c>
      <c r="M20" s="1573"/>
    </row>
    <row r="21" spans="1:13" ht="15.75">
      <c r="A21" s="649"/>
      <c r="B21" s="76" t="s">
        <v>805</v>
      </c>
      <c r="C21" s="75"/>
      <c r="D21" s="75"/>
      <c r="E21" s="75"/>
      <c r="F21" s="75"/>
      <c r="G21" s="843"/>
      <c r="H21" s="843"/>
      <c r="I21" s="843"/>
      <c r="J21" s="2">
        <v>364</v>
      </c>
      <c r="K21" s="384">
        <f>MISC!L57</f>
        <v>0</v>
      </c>
      <c r="L21" s="106">
        <v>11</v>
      </c>
      <c r="M21" s="1573"/>
    </row>
    <row r="22" spans="1:13" ht="15.75">
      <c r="A22" s="649"/>
      <c r="B22" s="76" t="s">
        <v>790</v>
      </c>
      <c r="C22" s="75"/>
      <c r="D22" s="75"/>
      <c r="E22" s="75"/>
      <c r="F22" s="75"/>
      <c r="G22" s="843"/>
      <c r="H22" s="843"/>
      <c r="I22" s="843"/>
      <c r="J22" s="2">
        <v>365</v>
      </c>
      <c r="K22" s="93"/>
      <c r="L22" s="106">
        <v>12</v>
      </c>
      <c r="M22" s="1573"/>
    </row>
    <row r="23" spans="1:13" ht="15.75">
      <c r="A23" s="649"/>
      <c r="B23" s="76" t="s">
        <v>1392</v>
      </c>
      <c r="C23" s="75"/>
      <c r="D23" s="75"/>
      <c r="E23" s="75"/>
      <c r="F23" s="75"/>
      <c r="G23" s="843"/>
      <c r="H23" s="843"/>
      <c r="I23" s="444"/>
      <c r="J23" s="2">
        <v>313</v>
      </c>
      <c r="K23" s="93"/>
      <c r="L23" s="106">
        <v>13</v>
      </c>
      <c r="M23" s="1573"/>
    </row>
    <row r="24" spans="1:13" ht="15.75">
      <c r="A24" s="649"/>
      <c r="B24" s="76" t="s">
        <v>800</v>
      </c>
      <c r="C24" s="75"/>
      <c r="D24" s="75"/>
      <c r="E24" s="75"/>
      <c r="F24" s="75"/>
      <c r="G24" s="843"/>
      <c r="H24" s="843"/>
      <c r="I24" s="444" t="s">
        <v>403</v>
      </c>
      <c r="J24" s="2">
        <v>314</v>
      </c>
      <c r="K24" s="1453">
        <f>MAX('T1032E'!N136,MIN(2000,'T1032E'!N69))</f>
        <v>0</v>
      </c>
      <c r="L24" s="106">
        <v>14</v>
      </c>
      <c r="M24" s="1573"/>
    </row>
    <row r="25" spans="1:13" ht="15.75">
      <c r="A25" s="649"/>
      <c r="B25" s="76" t="s">
        <v>803</v>
      </c>
      <c r="C25" s="75"/>
      <c r="D25" s="75"/>
      <c r="E25" s="75"/>
      <c r="F25" s="75"/>
      <c r="G25" s="843"/>
      <c r="H25" s="843"/>
      <c r="I25" s="76"/>
      <c r="J25" s="2">
        <v>315</v>
      </c>
      <c r="K25" s="384">
        <f>IF(QUAL!G19,'FED WRK'!I91,0)</f>
        <v>0</v>
      </c>
      <c r="L25" s="106">
        <v>15</v>
      </c>
      <c r="M25" s="1573"/>
    </row>
    <row r="26" spans="1:13" ht="15.75">
      <c r="A26" s="649"/>
      <c r="B26" s="76" t="s">
        <v>2591</v>
      </c>
      <c r="C26" s="75"/>
      <c r="D26" s="75"/>
      <c r="E26" s="75"/>
      <c r="F26" s="75"/>
      <c r="G26" s="843"/>
      <c r="H26" s="843"/>
      <c r="I26" s="76"/>
      <c r="J26" s="66">
        <v>316</v>
      </c>
      <c r="K26" s="384">
        <f>IF(QUAL!G22,'FED WRK'!I105,0)</f>
        <v>0</v>
      </c>
      <c r="L26" s="106">
        <v>16</v>
      </c>
      <c r="M26" s="1573"/>
    </row>
    <row r="27" spans="1:13" ht="18">
      <c r="A27" s="649"/>
      <c r="B27" s="82"/>
      <c r="C27" s="121"/>
      <c r="D27" s="121"/>
      <c r="E27" s="121"/>
      <c r="F27" s="121"/>
      <c r="G27" s="1332"/>
      <c r="H27" s="1332"/>
      <c r="I27" s="82"/>
      <c r="J27" s="86"/>
      <c r="K27" s="82"/>
      <c r="L27" s="106"/>
      <c r="M27" s="1573"/>
    </row>
    <row r="28" spans="1:13" ht="15.75">
      <c r="A28" s="649"/>
      <c r="B28" s="75" t="s">
        <v>799</v>
      </c>
      <c r="C28" s="75"/>
      <c r="D28" s="75"/>
      <c r="E28" s="75"/>
      <c r="F28" s="75"/>
      <c r="G28" s="844"/>
      <c r="H28" s="844"/>
      <c r="I28" s="75"/>
      <c r="J28" s="2">
        <v>318</v>
      </c>
      <c r="K28" s="369">
        <f>IF(QUAL!G25,'FED WRK'!I122,0)</f>
        <v>0</v>
      </c>
      <c r="L28" s="106">
        <v>17</v>
      </c>
      <c r="M28" s="1573"/>
    </row>
    <row r="29" spans="1:13" ht="15.75">
      <c r="A29" s="649"/>
      <c r="B29" s="76" t="s">
        <v>91</v>
      </c>
      <c r="C29" s="75"/>
      <c r="D29" s="75"/>
      <c r="E29" s="75"/>
      <c r="F29" s="75"/>
      <c r="G29" s="843"/>
      <c r="H29" s="843"/>
      <c r="I29" s="76"/>
      <c r="J29" s="2">
        <v>319</v>
      </c>
      <c r="K29" s="93"/>
      <c r="L29" s="106">
        <v>18</v>
      </c>
      <c r="M29" s="1573"/>
    </row>
    <row r="30" spans="1:13" ht="15.75">
      <c r="A30" s="649"/>
      <c r="B30" s="76" t="s">
        <v>802</v>
      </c>
      <c r="C30" s="75"/>
      <c r="D30" s="75"/>
      <c r="E30" s="75"/>
      <c r="F30" s="75"/>
      <c r="G30" s="843"/>
      <c r="H30" s="843"/>
      <c r="I30" s="76"/>
      <c r="J30" s="2">
        <v>323</v>
      </c>
      <c r="K30" s="384">
        <f>Sch11!K39</f>
        <v>0</v>
      </c>
      <c r="L30" s="106">
        <v>19</v>
      </c>
      <c r="M30" s="1573"/>
    </row>
    <row r="31" spans="1:13" ht="15.75">
      <c r="A31" s="649"/>
      <c r="B31" s="76" t="s">
        <v>801</v>
      </c>
      <c r="C31" s="75"/>
      <c r="D31" s="75"/>
      <c r="E31" s="75"/>
      <c r="F31" s="75"/>
      <c r="G31" s="843"/>
      <c r="H31" s="843"/>
      <c r="I31" s="76"/>
      <c r="J31" s="2">
        <v>324</v>
      </c>
      <c r="K31" s="93"/>
      <c r="L31" s="106">
        <v>20</v>
      </c>
      <c r="M31" s="1573"/>
    </row>
    <row r="32" spans="1:13" ht="15.75">
      <c r="A32" s="649"/>
      <c r="B32" s="1600" t="s">
        <v>1074</v>
      </c>
      <c r="C32" s="1600"/>
      <c r="D32" s="1596"/>
      <c r="E32" s="1596"/>
      <c r="F32" s="1596"/>
      <c r="G32" s="1596"/>
      <c r="H32" s="843"/>
      <c r="I32" s="76"/>
      <c r="J32" s="66">
        <v>326</v>
      </c>
      <c r="K32" s="384">
        <f>Sch2!J30</f>
        <v>0</v>
      </c>
      <c r="L32" s="106">
        <v>21</v>
      </c>
      <c r="M32" s="1573"/>
    </row>
    <row r="33" spans="1:13" ht="18">
      <c r="A33" s="649"/>
      <c r="B33" s="82" t="s">
        <v>2566</v>
      </c>
      <c r="C33" s="121"/>
      <c r="D33" s="78"/>
      <c r="E33" s="78"/>
      <c r="F33" s="78"/>
      <c r="G33" s="78"/>
      <c r="H33" s="106"/>
      <c r="I33" s="86"/>
      <c r="J33" s="86"/>
      <c r="K33" s="86"/>
      <c r="L33" s="86"/>
      <c r="M33" s="1573"/>
    </row>
    <row r="34" spans="1:13" ht="18">
      <c r="A34" s="649"/>
      <c r="B34" s="96" t="str">
        <f>"dependent children born in "&amp;year17text&amp;" or later"</f>
        <v>dependent children born in 1990 or later</v>
      </c>
      <c r="C34" s="75"/>
      <c r="D34" s="75"/>
      <c r="E34" s="75"/>
      <c r="F34" s="75"/>
      <c r="G34" s="107"/>
      <c r="H34" s="2">
        <v>330</v>
      </c>
      <c r="I34" s="369">
        <f>MISC!L56</f>
        <v>0</v>
      </c>
      <c r="J34" s="106"/>
      <c r="K34" s="86"/>
      <c r="L34" s="86"/>
      <c r="M34" s="1573"/>
    </row>
    <row r="35" spans="1:13" ht="18.75" thickBot="1">
      <c r="A35" s="649"/>
      <c r="B35" s="76" t="s">
        <v>2592</v>
      </c>
      <c r="C35" s="75"/>
      <c r="D35" s="75"/>
      <c r="E35" s="75"/>
      <c r="F35" s="75"/>
      <c r="G35" s="107"/>
      <c r="H35" s="78"/>
      <c r="I35" s="733">
        <f>MINA(0.03*'T1 GEN-2-3-4'!K89,1926)</f>
        <v>0</v>
      </c>
      <c r="J35" s="106"/>
      <c r="K35" s="86"/>
      <c r="L35" s="86"/>
      <c r="M35" s="1573"/>
    </row>
    <row r="36" spans="1:13" ht="18">
      <c r="A36" s="649"/>
      <c r="B36" s="76"/>
      <c r="C36" s="75"/>
      <c r="D36" s="75"/>
      <c r="E36" s="75"/>
      <c r="F36" s="75"/>
      <c r="G36" s="90" t="s">
        <v>1548</v>
      </c>
      <c r="H36" s="78"/>
      <c r="I36" s="369">
        <f>MAX(0,I34-I35)</f>
        <v>0</v>
      </c>
      <c r="J36" s="156" t="s">
        <v>1075</v>
      </c>
      <c r="K36" s="86"/>
      <c r="L36" s="86"/>
      <c r="M36" s="1573"/>
    </row>
    <row r="37" spans="1:13" ht="30" customHeight="1" thickBot="1">
      <c r="A37" s="649"/>
      <c r="B37" s="1582" t="s">
        <v>1231</v>
      </c>
      <c r="C37" s="1582"/>
      <c r="D37" s="1601"/>
      <c r="E37" s="1601"/>
      <c r="F37" s="75"/>
      <c r="G37" s="107"/>
      <c r="H37" s="2">
        <v>331</v>
      </c>
      <c r="I37" s="735"/>
      <c r="J37" s="156" t="s">
        <v>1076</v>
      </c>
      <c r="K37" s="86"/>
      <c r="L37" s="86"/>
      <c r="M37" s="1573"/>
    </row>
    <row r="38" spans="1:13" ht="16.5" thickBot="1">
      <c r="A38" s="649"/>
      <c r="B38" s="76"/>
      <c r="C38" s="75"/>
      <c r="D38" s="75"/>
      <c r="E38" s="75"/>
      <c r="F38" s="75"/>
      <c r="G38" s="90" t="s">
        <v>1087</v>
      </c>
      <c r="H38" s="78"/>
      <c r="I38" s="369">
        <f>I36+I37</f>
        <v>0</v>
      </c>
      <c r="J38" s="2">
        <v>332</v>
      </c>
      <c r="K38" s="736">
        <f>I38</f>
        <v>0</v>
      </c>
      <c r="L38" s="106">
        <v>22</v>
      </c>
      <c r="M38" s="1573"/>
    </row>
    <row r="39" spans="1:13" ht="18" customHeight="1">
      <c r="A39" s="649"/>
      <c r="B39" s="76"/>
      <c r="C39" s="75"/>
      <c r="D39" s="75"/>
      <c r="E39" s="75"/>
      <c r="F39" s="75"/>
      <c r="G39" s="107"/>
      <c r="H39" s="75"/>
      <c r="I39" s="90" t="s">
        <v>2593</v>
      </c>
      <c r="J39" s="66">
        <v>335</v>
      </c>
      <c r="K39" s="369">
        <f>SUM(K7:K38)</f>
        <v>9600</v>
      </c>
      <c r="L39" s="106">
        <v>23</v>
      </c>
      <c r="M39" s="1573"/>
    </row>
    <row r="40" spans="1:13" ht="24.75" customHeight="1">
      <c r="A40" s="649"/>
      <c r="B40" s="82"/>
      <c r="C40" s="121"/>
      <c r="D40" s="121"/>
      <c r="E40" s="121"/>
      <c r="F40" s="121"/>
      <c r="G40" s="101"/>
      <c r="H40" s="86"/>
      <c r="I40" s="86"/>
      <c r="J40" s="106"/>
      <c r="K40" s="86"/>
      <c r="L40" s="86"/>
      <c r="M40" s="1573"/>
    </row>
    <row r="41" spans="1:13" ht="18" customHeight="1">
      <c r="A41" s="649"/>
      <c r="B41" s="75"/>
      <c r="C41" s="75"/>
      <c r="D41" s="75"/>
      <c r="E41" s="75"/>
      <c r="F41" s="75"/>
      <c r="G41" s="107"/>
      <c r="H41" s="100"/>
      <c r="I41" s="161" t="s">
        <v>2594</v>
      </c>
      <c r="J41" s="2">
        <v>338</v>
      </c>
      <c r="K41" s="369">
        <f>0.15*K39</f>
        <v>1440</v>
      </c>
      <c r="L41" s="106">
        <v>24</v>
      </c>
      <c r="M41" s="1573"/>
    </row>
    <row r="42" spans="1:13" ht="18">
      <c r="A42" s="649"/>
      <c r="B42" s="76" t="s">
        <v>1088</v>
      </c>
      <c r="C42" s="75"/>
      <c r="D42" s="75"/>
      <c r="E42" s="75"/>
      <c r="F42" s="75"/>
      <c r="G42" s="107"/>
      <c r="H42" s="172"/>
      <c r="I42" s="89"/>
      <c r="J42" s="2">
        <v>349</v>
      </c>
      <c r="K42" s="384">
        <f>Sch9!I28</f>
        <v>0</v>
      </c>
      <c r="L42" s="106">
        <v>25</v>
      </c>
      <c r="M42" s="1573"/>
    </row>
    <row r="43" spans="1:13" ht="26.25" customHeight="1">
      <c r="A43" s="649"/>
      <c r="B43" s="76"/>
      <c r="C43" s="76"/>
      <c r="D43" s="76"/>
      <c r="E43" s="76"/>
      <c r="F43" s="76"/>
      <c r="G43" s="76"/>
      <c r="H43" s="172"/>
      <c r="I43" s="163" t="s">
        <v>2595</v>
      </c>
      <c r="J43" s="2">
        <v>350</v>
      </c>
      <c r="K43" s="654">
        <f>K41+K42</f>
        <v>1440</v>
      </c>
      <c r="L43" s="106">
        <v>26</v>
      </c>
      <c r="M43" s="1573"/>
    </row>
    <row r="44" spans="1:13" ht="18">
      <c r="A44" s="649"/>
      <c r="B44" s="78"/>
      <c r="C44" s="78"/>
      <c r="D44" s="78"/>
      <c r="E44" s="78"/>
      <c r="F44" s="78"/>
      <c r="G44" s="78"/>
      <c r="H44" s="86"/>
      <c r="I44" s="86"/>
      <c r="J44" s="86"/>
      <c r="K44" s="88" t="s">
        <v>2138</v>
      </c>
      <c r="L44" s="106"/>
      <c r="M44" s="1573"/>
    </row>
    <row r="45" spans="1:13" ht="18">
      <c r="A45" s="649"/>
      <c r="B45" s="78"/>
      <c r="C45" s="78"/>
      <c r="D45" s="78"/>
      <c r="E45" s="78"/>
      <c r="F45" s="78"/>
      <c r="G45" s="78"/>
      <c r="H45" s="86"/>
      <c r="I45" s="86"/>
      <c r="J45" s="86"/>
      <c r="K45" s="86"/>
      <c r="L45" s="115"/>
      <c r="M45" s="1573"/>
    </row>
    <row r="46" spans="1:13" ht="20.25">
      <c r="A46" s="649"/>
      <c r="B46" s="1236" t="s">
        <v>777</v>
      </c>
      <c r="C46" s="1236"/>
      <c r="D46" s="78"/>
      <c r="E46" s="78"/>
      <c r="F46" s="78"/>
      <c r="G46" s="78"/>
      <c r="H46" s="95"/>
      <c r="I46" s="78"/>
      <c r="J46" s="95"/>
      <c r="K46" s="115"/>
      <c r="L46" s="95"/>
      <c r="M46" s="1573"/>
    </row>
    <row r="47" spans="1:13" ht="20.25">
      <c r="A47" s="649"/>
      <c r="B47" s="1236"/>
      <c r="C47" s="1236"/>
      <c r="D47" s="78"/>
      <c r="E47" s="78"/>
      <c r="F47" s="78"/>
      <c r="G47" s="78"/>
      <c r="H47" s="95"/>
      <c r="I47" s="78"/>
      <c r="J47" s="95"/>
      <c r="K47" s="115"/>
      <c r="L47" s="95"/>
      <c r="M47" s="1573"/>
    </row>
    <row r="48" spans="1:13" ht="15.75">
      <c r="A48" s="649"/>
      <c r="B48" s="164" t="s">
        <v>1424</v>
      </c>
      <c r="C48" s="164"/>
      <c r="D48" s="164"/>
      <c r="E48" s="164"/>
      <c r="F48" s="164"/>
      <c r="G48" s="164"/>
      <c r="H48" s="78"/>
      <c r="I48" s="369">
        <f>'T1 GEN-2-3-4'!K103</f>
        <v>0</v>
      </c>
      <c r="J48" s="155">
        <v>27</v>
      </c>
      <c r="K48" s="78"/>
      <c r="L48" s="95"/>
      <c r="M48" s="1573"/>
    </row>
    <row r="49" spans="1:13" ht="25.5" customHeight="1">
      <c r="A49" s="649"/>
      <c r="B49" s="121"/>
      <c r="C49" s="121"/>
      <c r="D49" s="121"/>
      <c r="E49" s="121"/>
      <c r="F49" s="121"/>
      <c r="G49" s="1334" t="s">
        <v>2601</v>
      </c>
      <c r="H49" s="99"/>
      <c r="I49" s="1334" t="s">
        <v>2601</v>
      </c>
      <c r="J49" s="99"/>
      <c r="K49" s="121"/>
      <c r="L49" s="95"/>
      <c r="M49" s="1573"/>
    </row>
    <row r="50" spans="1:13" ht="15.75">
      <c r="A50" s="649"/>
      <c r="B50" s="121" t="s">
        <v>2609</v>
      </c>
      <c r="C50" s="99"/>
      <c r="D50" s="121"/>
      <c r="E50" s="167"/>
      <c r="F50" s="167"/>
      <c r="G50" s="1334" t="s">
        <v>2604</v>
      </c>
      <c r="H50" s="171"/>
      <c r="I50" s="1334" t="s">
        <v>2606</v>
      </c>
      <c r="J50" s="171"/>
      <c r="K50" s="167"/>
      <c r="L50" s="95"/>
      <c r="M50" s="1573"/>
    </row>
    <row r="51" spans="1:13" ht="15.75">
      <c r="A51" s="649"/>
      <c r="B51" s="121" t="s">
        <v>2610</v>
      </c>
      <c r="C51" s="121"/>
      <c r="D51" s="121"/>
      <c r="E51" s="1334" t="s">
        <v>2596</v>
      </c>
      <c r="F51" s="121"/>
      <c r="G51" s="1334" t="s">
        <v>2602</v>
      </c>
      <c r="H51" s="171"/>
      <c r="I51" s="1334" t="s">
        <v>2602</v>
      </c>
      <c r="J51" s="171"/>
      <c r="K51" s="1334" t="s">
        <v>2601</v>
      </c>
      <c r="L51" s="95"/>
      <c r="M51" s="1573"/>
    </row>
    <row r="52" spans="1:13" ht="15.75">
      <c r="A52" s="649"/>
      <c r="B52" s="121" t="s">
        <v>2611</v>
      </c>
      <c r="C52" s="121"/>
      <c r="D52" s="121"/>
      <c r="E52" s="1336" t="s">
        <v>2603</v>
      </c>
      <c r="F52" s="121"/>
      <c r="G52" s="1335" t="s">
        <v>2605</v>
      </c>
      <c r="H52" s="121"/>
      <c r="I52" s="1335" t="s">
        <v>2607</v>
      </c>
      <c r="J52" s="121"/>
      <c r="K52" s="1335" t="s">
        <v>2608</v>
      </c>
      <c r="L52" s="99"/>
      <c r="M52" s="1573"/>
    </row>
    <row r="53" spans="1:13" ht="15">
      <c r="A53" s="649"/>
      <c r="B53" s="621" t="s">
        <v>2600</v>
      </c>
      <c r="C53" s="621"/>
      <c r="D53" s="121"/>
      <c r="E53" s="369">
        <f>IF(NOT(I48&gt;G54),I48,0)</f>
        <v>0</v>
      </c>
      <c r="F53" s="168"/>
      <c r="G53" s="369">
        <f>IF($I$48&gt;G54,IF(NOT($I$48&gt;I54),$I$48,0),0)</f>
        <v>0</v>
      </c>
      <c r="H53" s="168"/>
      <c r="I53" s="369">
        <f>IF($I$48&gt;I54,IF(NOT($I$48&gt;K54),$I$48,0),0)</f>
        <v>0</v>
      </c>
      <c r="J53" s="168"/>
      <c r="K53" s="369">
        <f>IF(I48&gt;K54,I48,0)</f>
        <v>0</v>
      </c>
      <c r="L53" s="1339" t="s">
        <v>1806</v>
      </c>
      <c r="M53" s="1573"/>
    </row>
    <row r="54" spans="1:13" ht="15.75" thickBot="1">
      <c r="A54" s="649"/>
      <c r="B54" s="618" t="s">
        <v>60</v>
      </c>
      <c r="C54" s="621"/>
      <c r="D54" s="121"/>
      <c r="E54" s="733">
        <v>0</v>
      </c>
      <c r="F54" s="661"/>
      <c r="G54" s="733">
        <v>37178</v>
      </c>
      <c r="H54" s="661"/>
      <c r="I54" s="733">
        <v>74357</v>
      </c>
      <c r="J54" s="661"/>
      <c r="K54" s="733">
        <v>120887</v>
      </c>
      <c r="L54" s="1340" t="s">
        <v>1807</v>
      </c>
      <c r="M54" s="1573"/>
    </row>
    <row r="55" spans="1:13" ht="15">
      <c r="A55" s="649"/>
      <c r="B55" s="638" t="s">
        <v>2597</v>
      </c>
      <c r="C55" s="1333"/>
      <c r="D55" s="121"/>
      <c r="E55" s="369">
        <f>MAXA(0,E53-E54)</f>
        <v>0</v>
      </c>
      <c r="F55" s="168"/>
      <c r="G55" s="384">
        <f>MAXA(0,G53-G54)</f>
        <v>0</v>
      </c>
      <c r="H55" s="168"/>
      <c r="I55" s="384">
        <f>MAXA(0,I53-I54)</f>
        <v>0</v>
      </c>
      <c r="J55" s="168"/>
      <c r="K55" s="384">
        <f>MAXA(0,K53-K54)</f>
        <v>0</v>
      </c>
      <c r="L55" s="1339" t="s">
        <v>1456</v>
      </c>
      <c r="M55" s="1573"/>
    </row>
    <row r="56" spans="1:13" ht="15.75" thickBot="1">
      <c r="A56" s="649"/>
      <c r="B56" s="618" t="s">
        <v>246</v>
      </c>
      <c r="C56" s="621"/>
      <c r="D56" s="121"/>
      <c r="E56" s="1337">
        <v>0.15</v>
      </c>
      <c r="F56" s="168"/>
      <c r="G56" s="734">
        <v>0.22</v>
      </c>
      <c r="H56" s="168"/>
      <c r="I56" s="734">
        <v>0.26</v>
      </c>
      <c r="J56" s="168"/>
      <c r="K56" s="734">
        <v>0.29</v>
      </c>
      <c r="L56" s="1339" t="s">
        <v>1457</v>
      </c>
      <c r="M56" s="1573"/>
    </row>
    <row r="57" spans="1:13" ht="15">
      <c r="A57" s="649"/>
      <c r="B57" s="662" t="s">
        <v>2598</v>
      </c>
      <c r="C57" s="1333"/>
      <c r="D57" s="121"/>
      <c r="E57" s="369">
        <f>E55*E56</f>
        <v>0</v>
      </c>
      <c r="F57" s="168"/>
      <c r="G57" s="384">
        <f>G55*G56</f>
        <v>0</v>
      </c>
      <c r="H57" s="168"/>
      <c r="I57" s="384">
        <f>I55*I56</f>
        <v>0</v>
      </c>
      <c r="J57" s="168"/>
      <c r="K57" s="384">
        <f>K55*K56</f>
        <v>0</v>
      </c>
      <c r="L57" s="1339" t="s">
        <v>1458</v>
      </c>
      <c r="M57" s="1573"/>
    </row>
    <row r="58" spans="1:13" ht="15.75" thickBot="1">
      <c r="A58" s="649"/>
      <c r="B58" s="618" t="s">
        <v>1226</v>
      </c>
      <c r="C58" s="621"/>
      <c r="D58" s="121"/>
      <c r="E58" s="733">
        <v>0</v>
      </c>
      <c r="F58" s="168"/>
      <c r="G58" s="1338">
        <v>5577</v>
      </c>
      <c r="H58" s="168"/>
      <c r="I58" s="1338">
        <v>13756</v>
      </c>
      <c r="J58" s="168"/>
      <c r="K58" s="1338">
        <v>25854</v>
      </c>
      <c r="L58" s="1339" t="s">
        <v>531</v>
      </c>
      <c r="M58" s="1573"/>
    </row>
    <row r="59" spans="1:13" ht="29.25" customHeight="1">
      <c r="A59" s="649"/>
      <c r="B59" s="663"/>
      <c r="C59" s="663" t="s">
        <v>2599</v>
      </c>
      <c r="D59" s="101"/>
      <c r="E59" s="369">
        <f>IF(OR(I48&lt;G54,I48=G54),(E57+E58),0)</f>
        <v>0</v>
      </c>
      <c r="F59" s="168"/>
      <c r="G59" s="384" t="b">
        <f>IF($I$48&gt;G54,IF(NOT($I$48&gt;I54),(G57+G58),0))</f>
        <v>0</v>
      </c>
      <c r="H59" s="168"/>
      <c r="I59" s="384" t="b">
        <f>IF($I$48&gt;I54,IF(NOT($I$48&gt;K54),(I57+I58),0))</f>
        <v>0</v>
      </c>
      <c r="J59" s="168"/>
      <c r="K59" s="384">
        <f>IF(I48&gt;K54,K57+K58,0)</f>
        <v>0</v>
      </c>
      <c r="L59" s="1339" t="s">
        <v>532</v>
      </c>
      <c r="M59" s="1573"/>
    </row>
    <row r="60" spans="1:13" ht="15.75">
      <c r="A60" s="649"/>
      <c r="B60" s="121"/>
      <c r="C60" s="121"/>
      <c r="D60" s="121"/>
      <c r="E60" s="121"/>
      <c r="F60" s="121"/>
      <c r="G60" s="121"/>
      <c r="H60" s="99"/>
      <c r="I60" s="101"/>
      <c r="J60" s="99"/>
      <c r="K60" s="660"/>
      <c r="L60" s="174"/>
      <c r="M60" s="1573"/>
    </row>
    <row r="61" spans="1:13" ht="20.25">
      <c r="A61" s="649"/>
      <c r="B61" s="1236" t="s">
        <v>791</v>
      </c>
      <c r="C61" s="1109"/>
      <c r="D61" s="78"/>
      <c r="E61" s="78"/>
      <c r="F61" s="78"/>
      <c r="G61" s="78"/>
      <c r="H61" s="95"/>
      <c r="I61" s="78"/>
      <c r="J61" s="95"/>
      <c r="K61" s="78"/>
      <c r="L61" s="95"/>
      <c r="M61" s="1573"/>
    </row>
    <row r="62" spans="1:13" ht="15.75">
      <c r="A62" s="649"/>
      <c r="B62" s="78"/>
      <c r="C62" s="78"/>
      <c r="D62" s="78"/>
      <c r="E62" s="78"/>
      <c r="F62" s="78"/>
      <c r="G62" s="78"/>
      <c r="H62" s="95"/>
      <c r="I62" s="78"/>
      <c r="J62" s="95"/>
      <c r="K62" s="78"/>
      <c r="L62" s="95"/>
      <c r="M62" s="1573"/>
    </row>
    <row r="63" spans="1:13" ht="15.75">
      <c r="A63" s="649"/>
      <c r="B63" s="75" t="s">
        <v>792</v>
      </c>
      <c r="C63" s="75"/>
      <c r="D63" s="75"/>
      <c r="E63" s="75"/>
      <c r="F63" s="75"/>
      <c r="G63" s="75"/>
      <c r="H63" s="95"/>
      <c r="I63" s="369">
        <f>MAXA(E59,G59,I59,K59)</f>
        <v>0</v>
      </c>
      <c r="J63" s="106">
        <v>35</v>
      </c>
      <c r="K63" s="78"/>
      <c r="L63" s="95"/>
      <c r="M63" s="1573"/>
    </row>
    <row r="64" spans="1:13" ht="16.5" thickBot="1">
      <c r="A64" s="649"/>
      <c r="B64" s="76" t="s">
        <v>1357</v>
      </c>
      <c r="C64" s="76"/>
      <c r="D64" s="84"/>
      <c r="E64" s="75"/>
      <c r="F64" s="75"/>
      <c r="G64" s="75"/>
      <c r="H64" s="2">
        <v>424</v>
      </c>
      <c r="I64" s="735"/>
      <c r="J64" s="1154" t="s">
        <v>793</v>
      </c>
      <c r="K64" s="78"/>
      <c r="L64" s="95"/>
      <c r="M64" s="1573"/>
    </row>
    <row r="65" spans="1:13" ht="15.75">
      <c r="A65" s="649"/>
      <c r="B65" s="76"/>
      <c r="C65" s="76"/>
      <c r="D65" s="76"/>
      <c r="E65" s="76"/>
      <c r="F65" s="76"/>
      <c r="G65" s="79" t="s">
        <v>2612</v>
      </c>
      <c r="H65" s="1158" t="s">
        <v>1761</v>
      </c>
      <c r="I65" s="369">
        <f>I63+I64</f>
        <v>0</v>
      </c>
      <c r="J65" s="1160" t="s">
        <v>410</v>
      </c>
      <c r="K65" s="369">
        <f>I65</f>
        <v>0</v>
      </c>
      <c r="L65" s="106">
        <v>37</v>
      </c>
      <c r="M65" s="1573"/>
    </row>
    <row r="66" spans="1:13" ht="32.25" customHeight="1">
      <c r="A66" s="649"/>
      <c r="B66" s="76" t="s">
        <v>2622</v>
      </c>
      <c r="C66" s="76"/>
      <c r="D66" s="76"/>
      <c r="E66" s="76"/>
      <c r="F66" s="76"/>
      <c r="G66" s="76"/>
      <c r="H66" s="1157" t="s">
        <v>2476</v>
      </c>
      <c r="I66" s="369">
        <f>K43</f>
        <v>1440</v>
      </c>
      <c r="J66" s="106">
        <v>38</v>
      </c>
      <c r="K66" s="78"/>
      <c r="L66" s="95"/>
      <c r="M66" s="1573"/>
    </row>
    <row r="67" spans="1:13" ht="15.75">
      <c r="A67" s="649"/>
      <c r="B67" s="76" t="s">
        <v>1356</v>
      </c>
      <c r="C67" s="76"/>
      <c r="D67" s="76"/>
      <c r="E67" s="76"/>
      <c r="F67" s="76"/>
      <c r="G67" s="76"/>
      <c r="H67" s="2">
        <v>425</v>
      </c>
      <c r="I67" s="384">
        <f>MISC!L58</f>
        <v>0</v>
      </c>
      <c r="J67" s="1154" t="s">
        <v>794</v>
      </c>
      <c r="K67" s="78"/>
      <c r="L67" s="95"/>
      <c r="M67" s="1573"/>
    </row>
    <row r="68" spans="1:13" ht="15.75">
      <c r="A68" s="649"/>
      <c r="B68" s="76" t="s">
        <v>1232</v>
      </c>
      <c r="C68" s="76"/>
      <c r="D68" s="76"/>
      <c r="E68" s="76"/>
      <c r="F68" s="76"/>
      <c r="G68" s="76"/>
      <c r="H68" s="1159" t="s">
        <v>2477</v>
      </c>
      <c r="I68" s="93"/>
      <c r="J68" s="106">
        <v>40</v>
      </c>
      <c r="K68" s="78"/>
      <c r="L68" s="95"/>
      <c r="M68" s="1573"/>
    </row>
    <row r="69" spans="1:13" ht="16.5" thickBot="1">
      <c r="A69" s="649"/>
      <c r="B69" s="76" t="s">
        <v>1233</v>
      </c>
      <c r="C69" s="76"/>
      <c r="D69" s="76"/>
      <c r="E69" s="76"/>
      <c r="F69" s="76"/>
      <c r="G69" s="76"/>
      <c r="H69" s="2">
        <v>427</v>
      </c>
      <c r="I69" s="735"/>
      <c r="J69" s="1154" t="s">
        <v>795</v>
      </c>
      <c r="K69" s="78"/>
      <c r="L69" s="95"/>
      <c r="M69" s="1573"/>
    </row>
    <row r="70" spans="1:13" ht="16.5" thickBot="1">
      <c r="A70" s="649"/>
      <c r="B70" s="76"/>
      <c r="C70" s="76"/>
      <c r="D70" s="76"/>
      <c r="E70" s="76"/>
      <c r="F70" s="76"/>
      <c r="G70" s="89" t="s">
        <v>2613</v>
      </c>
      <c r="H70" s="95"/>
      <c r="I70" s="369">
        <f>SUM(I66:I69)</f>
        <v>1440</v>
      </c>
      <c r="J70" s="95"/>
      <c r="K70" s="736">
        <f>I70</f>
        <v>1440</v>
      </c>
      <c r="L70" s="106">
        <v>42</v>
      </c>
      <c r="M70" s="1573"/>
    </row>
    <row r="71" spans="1:13" ht="27.75" customHeight="1">
      <c r="A71" s="649"/>
      <c r="B71" s="76"/>
      <c r="C71" s="76"/>
      <c r="D71" s="76"/>
      <c r="E71" s="94"/>
      <c r="F71" s="76"/>
      <c r="G71" s="76"/>
      <c r="H71" s="96"/>
      <c r="I71" s="161" t="s">
        <v>2614</v>
      </c>
      <c r="J71" s="106">
        <v>429</v>
      </c>
      <c r="K71" s="369">
        <f>MAXA(+K65-K70,0)</f>
        <v>0</v>
      </c>
      <c r="L71" s="106">
        <v>43</v>
      </c>
      <c r="M71" s="1573"/>
    </row>
    <row r="72" spans="1:13" ht="16.5" customHeight="1">
      <c r="A72" s="649"/>
      <c r="B72" s="931"/>
      <c r="C72" s="931"/>
      <c r="D72" s="930"/>
      <c r="E72" s="930"/>
      <c r="F72" s="930"/>
      <c r="G72" s="930"/>
      <c r="H72" s="930"/>
      <c r="I72" s="930"/>
      <c r="J72" s="99"/>
      <c r="K72" s="78"/>
      <c r="L72" s="95"/>
      <c r="M72" s="1573"/>
    </row>
    <row r="73" spans="1:13" ht="22.5" customHeight="1" thickBot="1">
      <c r="A73" s="649"/>
      <c r="B73" s="165" t="s">
        <v>2616</v>
      </c>
      <c r="C73" s="932"/>
      <c r="D73" s="75"/>
      <c r="E73" s="90"/>
      <c r="F73" s="75"/>
      <c r="G73" s="75"/>
      <c r="H73" s="96"/>
      <c r="I73" s="161"/>
      <c r="J73" s="1157" t="s">
        <v>1358</v>
      </c>
      <c r="K73" s="736">
        <f>'T2209'!I36</f>
        <v>0</v>
      </c>
      <c r="L73" s="106">
        <v>44</v>
      </c>
      <c r="M73" s="1573"/>
    </row>
    <row r="74" spans="1:13" ht="26.25" customHeight="1">
      <c r="A74" s="649"/>
      <c r="B74" s="75"/>
      <c r="C74" s="75"/>
      <c r="D74" s="75"/>
      <c r="E74" s="90"/>
      <c r="F74" s="75"/>
      <c r="G74" s="75"/>
      <c r="H74" s="96"/>
      <c r="I74" s="161" t="s">
        <v>2615</v>
      </c>
      <c r="J74" s="1157" t="s">
        <v>2571</v>
      </c>
      <c r="K74" s="447">
        <f>MAXA(0,(K71-K73))</f>
        <v>0</v>
      </c>
      <c r="L74" s="106">
        <v>45</v>
      </c>
      <c r="M74" s="1573"/>
    </row>
    <row r="75" spans="1:13" ht="15.75">
      <c r="A75" s="649"/>
      <c r="B75" s="82"/>
      <c r="C75" s="82"/>
      <c r="D75" s="82"/>
      <c r="E75" s="102"/>
      <c r="F75" s="82"/>
      <c r="G75" s="82"/>
      <c r="H75" s="95"/>
      <c r="I75" s="78"/>
      <c r="J75" s="95"/>
      <c r="K75" s="78"/>
      <c r="L75" s="106"/>
      <c r="M75" s="1573"/>
    </row>
    <row r="76" spans="1:13" ht="15.75">
      <c r="A76" s="649"/>
      <c r="B76" s="75" t="s">
        <v>1234</v>
      </c>
      <c r="C76" s="75"/>
      <c r="D76" s="75"/>
      <c r="E76" s="90"/>
      <c r="F76" s="2">
        <v>409</v>
      </c>
      <c r="G76" s="369">
        <f>'FED WRK'!I130</f>
        <v>0</v>
      </c>
      <c r="H76" s="95"/>
      <c r="I76" s="78"/>
      <c r="J76" s="95"/>
      <c r="K76" s="78"/>
      <c r="L76" s="106"/>
      <c r="M76" s="1573"/>
    </row>
    <row r="77" spans="1:13" ht="24.75" customHeight="1">
      <c r="A77" s="649"/>
      <c r="B77" s="75" t="s">
        <v>2617</v>
      </c>
      <c r="C77" s="75"/>
      <c r="D77" s="75"/>
      <c r="E77" s="90"/>
      <c r="F77" s="75"/>
      <c r="G77" s="75"/>
      <c r="H77" s="2">
        <v>410</v>
      </c>
      <c r="I77" s="369">
        <f>'FED WRK'!I132</f>
        <v>0</v>
      </c>
      <c r="J77" s="1154" t="s">
        <v>1359</v>
      </c>
      <c r="K77" s="78"/>
      <c r="L77" s="106"/>
      <c r="M77" s="1573"/>
    </row>
    <row r="78" spans="1:13" ht="15.75">
      <c r="A78" s="649"/>
      <c r="B78" s="75" t="s">
        <v>1235</v>
      </c>
      <c r="C78" s="75"/>
      <c r="D78" s="75"/>
      <c r="E78" s="90"/>
      <c r="F78" s="75"/>
      <c r="G78" s="75"/>
      <c r="H78" s="2">
        <v>412</v>
      </c>
      <c r="I78" s="93"/>
      <c r="J78" s="1154" t="s">
        <v>796</v>
      </c>
      <c r="K78" s="78"/>
      <c r="L78" s="106"/>
      <c r="M78" s="1573"/>
    </row>
    <row r="79" spans="1:13" ht="15.75">
      <c r="A79" s="649"/>
      <c r="B79" s="82" t="s">
        <v>242</v>
      </c>
      <c r="C79" s="82"/>
      <c r="D79" s="82"/>
      <c r="E79" s="102"/>
      <c r="F79" s="82"/>
      <c r="G79" s="82"/>
      <c r="H79" s="95"/>
      <c r="I79" s="78"/>
      <c r="J79" s="95"/>
      <c r="K79" s="78"/>
      <c r="L79" s="106"/>
      <c r="M79" s="1573"/>
    </row>
    <row r="80" spans="1:13" ht="16.5" thickBot="1">
      <c r="A80" s="649"/>
      <c r="B80" s="90"/>
      <c r="C80" s="90" t="s">
        <v>2618</v>
      </c>
      <c r="D80" s="2">
        <v>413</v>
      </c>
      <c r="E80" s="104"/>
      <c r="F80" s="75"/>
      <c r="G80" s="90" t="s">
        <v>1544</v>
      </c>
      <c r="H80" s="2">
        <v>414</v>
      </c>
      <c r="I80" s="738"/>
      <c r="J80" s="1154" t="s">
        <v>797</v>
      </c>
      <c r="K80" s="78"/>
      <c r="L80" s="95"/>
      <c r="M80" s="1573"/>
    </row>
    <row r="81" spans="1:13" ht="16.5" thickBot="1">
      <c r="A81" s="649"/>
      <c r="B81" s="90"/>
      <c r="C81" s="90"/>
      <c r="D81" s="75"/>
      <c r="E81" s="90"/>
      <c r="F81" s="75"/>
      <c r="G81" s="90" t="s">
        <v>2619</v>
      </c>
      <c r="H81" s="173" t="s">
        <v>1908</v>
      </c>
      <c r="I81" s="369">
        <f>SUM(I77:I80)</f>
        <v>0</v>
      </c>
      <c r="J81" s="1160" t="s">
        <v>410</v>
      </c>
      <c r="K81" s="736">
        <f>I81</f>
        <v>0</v>
      </c>
      <c r="L81" s="173" t="s">
        <v>1835</v>
      </c>
      <c r="M81" s="1573"/>
    </row>
    <row r="82" spans="1:13" ht="15.75">
      <c r="A82" s="649"/>
      <c r="B82" s="101"/>
      <c r="C82" s="101"/>
      <c r="D82" s="121"/>
      <c r="E82" s="101"/>
      <c r="F82" s="121"/>
      <c r="G82" s="101"/>
      <c r="H82" s="99"/>
      <c r="I82" s="101" t="s">
        <v>2620</v>
      </c>
      <c r="J82" s="95"/>
      <c r="K82" s="78"/>
      <c r="L82" s="113"/>
      <c r="M82" s="1573"/>
    </row>
    <row r="83" spans="1:13" ht="15.75">
      <c r="A83" s="649"/>
      <c r="B83" s="90"/>
      <c r="C83" s="90"/>
      <c r="D83" s="75"/>
      <c r="E83" s="90"/>
      <c r="F83" s="75"/>
      <c r="G83" s="90"/>
      <c r="H83" s="96"/>
      <c r="I83" s="90" t="s">
        <v>2621</v>
      </c>
      <c r="J83" s="1157" t="s">
        <v>1909</v>
      </c>
      <c r="K83" s="369">
        <f>MAXA(0,(K74-K81))</f>
        <v>0</v>
      </c>
      <c r="L83" s="173" t="s">
        <v>1836</v>
      </c>
      <c r="M83" s="1573"/>
    </row>
    <row r="84" spans="1:13" ht="15.75">
      <c r="A84" s="649"/>
      <c r="B84" s="165" t="s">
        <v>965</v>
      </c>
      <c r="C84" s="165"/>
      <c r="D84" s="75"/>
      <c r="E84" s="90"/>
      <c r="F84" s="75"/>
      <c r="G84" s="90"/>
      <c r="H84" s="96"/>
      <c r="I84" s="161"/>
      <c r="J84" s="1157" t="s">
        <v>1910</v>
      </c>
      <c r="K84" s="93"/>
      <c r="L84" s="173" t="s">
        <v>1837</v>
      </c>
      <c r="M84" s="1573"/>
    </row>
    <row r="85" spans="1:13" ht="15.75">
      <c r="A85" s="649"/>
      <c r="B85" s="102"/>
      <c r="C85" s="102"/>
      <c r="D85" s="82"/>
      <c r="E85" s="102"/>
      <c r="F85" s="82"/>
      <c r="G85" s="170" t="s">
        <v>2623</v>
      </c>
      <c r="H85" s="95"/>
      <c r="I85" s="78"/>
      <c r="J85" s="78"/>
      <c r="K85" s="78"/>
      <c r="L85" s="113"/>
      <c r="M85" s="1573"/>
    </row>
    <row r="86" spans="1:13" ht="15.75">
      <c r="A86" s="649"/>
      <c r="B86" s="90"/>
      <c r="C86" s="90"/>
      <c r="D86" s="75"/>
      <c r="E86" s="90"/>
      <c r="F86" s="75"/>
      <c r="G86" s="90"/>
      <c r="H86" s="96"/>
      <c r="I86" s="90" t="s">
        <v>872</v>
      </c>
      <c r="J86" s="1157" t="s">
        <v>1912</v>
      </c>
      <c r="K86" s="739">
        <f>K83+K84</f>
        <v>0</v>
      </c>
      <c r="L86" s="173" t="s">
        <v>949</v>
      </c>
      <c r="M86" s="1573"/>
    </row>
    <row r="87" spans="1:13" ht="15.75">
      <c r="A87" s="649"/>
      <c r="B87" s="101"/>
      <c r="C87" s="101"/>
      <c r="D87" s="121"/>
      <c r="E87" s="101"/>
      <c r="F87" s="121"/>
      <c r="G87" s="101"/>
      <c r="H87" s="95"/>
      <c r="I87" s="79"/>
      <c r="J87" s="109"/>
      <c r="K87" s="78"/>
      <c r="L87" s="109"/>
      <c r="M87" s="1573"/>
    </row>
    <row r="88" spans="1:13" ht="15.75">
      <c r="A88" s="649"/>
      <c r="B88" s="95"/>
      <c r="C88" s="95"/>
      <c r="D88" s="95"/>
      <c r="E88" s="95"/>
      <c r="F88" s="95"/>
      <c r="G88" s="95"/>
      <c r="H88" s="95"/>
      <c r="I88" s="95"/>
      <c r="J88" s="95"/>
      <c r="K88" s="95" t="s">
        <v>205</v>
      </c>
      <c r="L88" s="95"/>
      <c r="M88" s="1573"/>
    </row>
    <row r="89" spans="1:13" ht="15.75">
      <c r="A89" s="649"/>
      <c r="B89" s="95"/>
      <c r="C89" s="95"/>
      <c r="D89" s="95"/>
      <c r="E89" s="95"/>
      <c r="F89" s="95"/>
      <c r="G89" s="95"/>
      <c r="H89" s="95"/>
      <c r="I89" s="95"/>
      <c r="J89" s="95"/>
      <c r="K89" s="95"/>
      <c r="L89" s="95"/>
      <c r="M89" s="1573"/>
    </row>
  </sheetData>
  <sheetProtection password="EC35" sheet="1" objects="1" scenarios="1"/>
  <mergeCells count="3">
    <mergeCell ref="B32:G32"/>
    <mergeCell ref="B37:E37"/>
    <mergeCell ref="M1:M89"/>
  </mergeCells>
  <hyperlinks>
    <hyperlink ref="M1:M89" location="'GO TO'!B10" display=" "/>
  </hyperlinks>
  <printOptions horizontalCentered="1"/>
  <pageMargins left="0" right="0" top="0" bottom="0" header="0.511811023622047" footer="0.511811023622047"/>
  <pageSetup fitToHeight="0" fitToWidth="1" horizontalDpi="600" verticalDpi="600" orientation="portrait" scale="73" r:id="rId3"/>
  <headerFooter alignWithMargins="0">
    <oddFooter>&amp;L   5000-S1</oddFooter>
  </headerFooter>
  <rowBreaks count="1" manualBreakCount="1">
    <brk id="45" min="1" max="10" man="1"/>
  </rowBreaks>
  <legacyDrawing r:id="rId2"/>
</worksheet>
</file>

<file path=xl/worksheets/sheet15.xml><?xml version="1.0" encoding="utf-8"?>
<worksheet xmlns="http://schemas.openxmlformats.org/spreadsheetml/2006/main" xmlns:r="http://schemas.openxmlformats.org/officeDocument/2006/relationships">
  <sheetPr codeName="Sheet12" transitionEvaluation="1">
    <pageSetUpPr fitToPage="1"/>
  </sheetPr>
  <dimension ref="A1:L35"/>
  <sheetViews>
    <sheetView showGridLines="0" zoomScale="75" zoomScaleNormal="75" workbookViewId="0" topLeftCell="A1">
      <selection activeCell="A3" sqref="A3"/>
    </sheetView>
  </sheetViews>
  <sheetFormatPr defaultColWidth="9.77734375" defaultRowHeight="15"/>
  <cols>
    <col min="1" max="1" width="12.77734375" style="608" customWidth="1"/>
    <col min="2" max="2" width="32.77734375" style="608" customWidth="1"/>
    <col min="3" max="3" width="5.77734375" style="608" customWidth="1"/>
    <col min="4" max="4" width="6.77734375" style="608" customWidth="1"/>
    <col min="5" max="5" width="5.77734375" style="608" customWidth="1"/>
    <col min="6" max="6" width="7.77734375" style="608" customWidth="1"/>
    <col min="7" max="7" width="5.77734375" style="608" customWidth="1"/>
    <col min="8" max="8" width="13.77734375" style="608" customWidth="1"/>
    <col min="9" max="9" width="5.77734375" style="608" customWidth="1"/>
    <col min="10" max="10" width="13.77734375" style="608" customWidth="1"/>
    <col min="11" max="11" width="5.77734375" style="608" customWidth="1"/>
    <col min="12" max="16384" width="9.77734375" style="608" customWidth="1"/>
  </cols>
  <sheetData>
    <row r="1" spans="1:12" ht="20.25">
      <c r="A1" s="74" t="str">
        <f>"T1-"&amp;yeartext</f>
        <v>T1-2007</v>
      </c>
      <c r="B1" s="74"/>
      <c r="C1" s="1343" t="s">
        <v>1998</v>
      </c>
      <c r="D1" s="78"/>
      <c r="E1" s="78"/>
      <c r="F1" s="114"/>
      <c r="G1" s="114"/>
      <c r="H1" s="114"/>
      <c r="I1" s="114"/>
      <c r="J1" s="78"/>
      <c r="K1" s="1344" t="s">
        <v>1929</v>
      </c>
      <c r="L1" s="1602" t="s">
        <v>1659</v>
      </c>
    </row>
    <row r="2" spans="1:12" ht="20.25">
      <c r="A2" s="78"/>
      <c r="B2" s="78"/>
      <c r="C2" s="1343" t="s">
        <v>2628</v>
      </c>
      <c r="D2" s="78"/>
      <c r="E2" s="78"/>
      <c r="F2" s="78"/>
      <c r="G2" s="78"/>
      <c r="H2" s="78"/>
      <c r="I2" s="78"/>
      <c r="J2" s="78"/>
      <c r="K2" s="78"/>
      <c r="L2" s="1602"/>
    </row>
    <row r="3" spans="1:12" ht="15">
      <c r="A3" s="78"/>
      <c r="B3" s="78"/>
      <c r="C3" s="78"/>
      <c r="D3" s="78"/>
      <c r="E3" s="78"/>
      <c r="F3" s="78"/>
      <c r="G3" s="78"/>
      <c r="H3" s="78"/>
      <c r="I3" s="78"/>
      <c r="J3" s="78"/>
      <c r="K3" s="78"/>
      <c r="L3" s="1602"/>
    </row>
    <row r="4" spans="1:12" ht="15">
      <c r="A4" s="78" t="s">
        <v>2629</v>
      </c>
      <c r="B4" s="78"/>
      <c r="C4" s="78"/>
      <c r="D4" s="78"/>
      <c r="E4" s="78"/>
      <c r="F4" s="78"/>
      <c r="G4" s="78"/>
      <c r="H4" s="78"/>
      <c r="I4" s="78"/>
      <c r="J4" s="78"/>
      <c r="K4" s="78"/>
      <c r="L4" s="1602"/>
    </row>
    <row r="5" spans="1:12" ht="15">
      <c r="A5" s="78" t="s">
        <v>2630</v>
      </c>
      <c r="B5" s="78"/>
      <c r="C5" s="78"/>
      <c r="D5" s="78"/>
      <c r="E5" s="78"/>
      <c r="F5" s="78"/>
      <c r="G5" s="78"/>
      <c r="H5" s="78"/>
      <c r="I5" s="78"/>
      <c r="J5" s="78"/>
      <c r="K5" s="78"/>
      <c r="L5" s="1602"/>
    </row>
    <row r="6" spans="1:12" ht="20.25" customHeight="1">
      <c r="A6" s="78" t="s">
        <v>1650</v>
      </c>
      <c r="B6" s="78"/>
      <c r="C6" s="78"/>
      <c r="D6" s="78"/>
      <c r="E6" s="78"/>
      <c r="F6" s="78"/>
      <c r="G6" s="78"/>
      <c r="H6" s="78"/>
      <c r="I6" s="78"/>
      <c r="J6" s="78"/>
      <c r="K6" s="78"/>
      <c r="L6" s="1602"/>
    </row>
    <row r="7" spans="1:12" ht="15.75">
      <c r="A7" s="78" t="s">
        <v>915</v>
      </c>
      <c r="B7" s="78"/>
      <c r="C7" s="78"/>
      <c r="D7" s="78"/>
      <c r="E7" s="78"/>
      <c r="F7" s="78"/>
      <c r="G7" s="78"/>
      <c r="H7" s="78"/>
      <c r="I7" s="78"/>
      <c r="J7" s="78"/>
      <c r="K7" s="78"/>
      <c r="L7" s="1602"/>
    </row>
    <row r="8" spans="1:12" ht="15">
      <c r="A8" s="78"/>
      <c r="B8" s="78"/>
      <c r="C8" s="78"/>
      <c r="D8" s="78"/>
      <c r="E8" s="78"/>
      <c r="F8" s="78"/>
      <c r="G8" s="78"/>
      <c r="H8" s="78"/>
      <c r="I8" s="78"/>
      <c r="J8" s="78"/>
      <c r="K8" s="78"/>
      <c r="L8" s="1602"/>
    </row>
    <row r="9" spans="1:12" ht="15.75">
      <c r="A9" s="95" t="s">
        <v>1229</v>
      </c>
      <c r="B9" s="95"/>
      <c r="C9" s="78"/>
      <c r="D9" s="78"/>
      <c r="E9" s="78"/>
      <c r="F9" s="78"/>
      <c r="G9" s="78"/>
      <c r="H9" s="78"/>
      <c r="I9" s="78"/>
      <c r="J9" s="78"/>
      <c r="K9" s="78"/>
      <c r="L9" s="1602"/>
    </row>
    <row r="10" spans="1:12" ht="15">
      <c r="A10" s="121"/>
      <c r="B10" s="121"/>
      <c r="C10" s="121"/>
      <c r="D10" s="121"/>
      <c r="E10" s="121"/>
      <c r="F10" s="121"/>
      <c r="G10" s="121"/>
      <c r="H10" s="78"/>
      <c r="I10" s="78"/>
      <c r="J10" s="78"/>
      <c r="K10" s="78"/>
      <c r="L10" s="1602"/>
    </row>
    <row r="11" spans="1:12" ht="15.75" customHeight="1">
      <c r="A11" s="99" t="s">
        <v>1228</v>
      </c>
      <c r="B11" s="121" t="str">
        <f>"(if your spouse or common-law partner was age 65 or older in "&amp;yeartext&amp;"):"</f>
        <v>(if your spouse or common-law partner was age 65 or older in 2007):</v>
      </c>
      <c r="C11" s="121"/>
      <c r="D11" s="121"/>
      <c r="E11" s="121"/>
      <c r="F11" s="123"/>
      <c r="G11" s="123"/>
      <c r="H11" s="103"/>
      <c r="I11" s="78"/>
      <c r="J11" s="78"/>
      <c r="K11" s="78"/>
      <c r="L11" s="1602"/>
    </row>
    <row r="12" spans="1:12" ht="15.75">
      <c r="A12" s="75" t="s">
        <v>2640</v>
      </c>
      <c r="B12" s="75"/>
      <c r="C12" s="75"/>
      <c r="D12" s="75"/>
      <c r="E12" s="75"/>
      <c r="F12" s="75"/>
      <c r="G12" s="75"/>
      <c r="H12" s="107"/>
      <c r="I12" s="66">
        <v>353</v>
      </c>
      <c r="J12" s="104"/>
      <c r="K12" s="176">
        <v>1</v>
      </c>
      <c r="L12" s="1602"/>
    </row>
    <row r="13" spans="1:12" ht="15.75">
      <c r="A13" s="99" t="s">
        <v>2632</v>
      </c>
      <c r="B13" s="121"/>
      <c r="C13" s="121"/>
      <c r="D13" s="121"/>
      <c r="E13" s="121"/>
      <c r="F13" s="121"/>
      <c r="G13" s="121"/>
      <c r="H13" s="1262"/>
      <c r="I13" s="78"/>
      <c r="J13" s="78"/>
      <c r="K13" s="176"/>
      <c r="L13" s="1602"/>
    </row>
    <row r="14" spans="1:12" ht="15.75">
      <c r="A14" s="121" t="s">
        <v>2633</v>
      </c>
      <c r="B14" s="121"/>
      <c r="C14" s="121"/>
      <c r="D14" s="121"/>
      <c r="E14" s="121"/>
      <c r="F14" s="121"/>
      <c r="G14" s="121"/>
      <c r="H14" s="107"/>
      <c r="I14" s="66">
        <v>361</v>
      </c>
      <c r="J14" s="104"/>
      <c r="K14" s="176">
        <v>2</v>
      </c>
      <c r="L14" s="1602"/>
    </row>
    <row r="15" spans="1:12" ht="15.75">
      <c r="A15" s="97" t="s">
        <v>1572</v>
      </c>
      <c r="B15" s="97"/>
      <c r="C15" s="82"/>
      <c r="D15" s="82"/>
      <c r="E15" s="82"/>
      <c r="F15" s="82"/>
      <c r="G15" s="82"/>
      <c r="H15" s="78"/>
      <c r="I15" s="78"/>
      <c r="J15" s="78"/>
      <c r="K15" s="117"/>
      <c r="L15" s="1602"/>
    </row>
    <row r="16" spans="1:12" ht="15.75">
      <c r="A16" s="75" t="s">
        <v>592</v>
      </c>
      <c r="B16" s="75"/>
      <c r="C16" s="75"/>
      <c r="D16" s="75"/>
      <c r="E16" s="75"/>
      <c r="F16" s="75"/>
      <c r="G16" s="75"/>
      <c r="H16" s="844" t="s">
        <v>2631</v>
      </c>
      <c r="I16" s="66">
        <v>355</v>
      </c>
      <c r="J16" s="104"/>
      <c r="K16" s="176">
        <v>3</v>
      </c>
      <c r="L16" s="1602"/>
    </row>
    <row r="17" spans="1:12" ht="15.75">
      <c r="A17" s="97" t="s">
        <v>1573</v>
      </c>
      <c r="B17" s="97"/>
      <c r="C17" s="82"/>
      <c r="D17" s="82"/>
      <c r="E17" s="82"/>
      <c r="F17" s="82"/>
      <c r="G17" s="82"/>
      <c r="H17" s="103"/>
      <c r="I17" s="78"/>
      <c r="J17" s="78"/>
      <c r="K17" s="117"/>
      <c r="L17" s="1602"/>
    </row>
    <row r="18" spans="1:12" ht="15.75">
      <c r="A18" s="75" t="s">
        <v>2639</v>
      </c>
      <c r="B18" s="75"/>
      <c r="C18" s="75"/>
      <c r="D18" s="75"/>
      <c r="E18" s="75"/>
      <c r="F18" s="75"/>
      <c r="G18" s="75"/>
      <c r="H18" s="75"/>
      <c r="I18" s="66">
        <v>357</v>
      </c>
      <c r="J18" s="104"/>
      <c r="K18" s="176">
        <v>4</v>
      </c>
      <c r="L18" s="1602"/>
    </row>
    <row r="19" spans="1:12" ht="15.75">
      <c r="A19" s="97" t="s">
        <v>1999</v>
      </c>
      <c r="B19" s="97"/>
      <c r="C19" s="82"/>
      <c r="D19" s="82"/>
      <c r="E19" s="82"/>
      <c r="F19" s="82"/>
      <c r="G19" s="82"/>
      <c r="H19" s="78"/>
      <c r="I19" s="78"/>
      <c r="J19" s="78"/>
      <c r="K19" s="176"/>
      <c r="L19" s="1602"/>
    </row>
    <row r="20" spans="1:12" ht="16.5" thickBot="1">
      <c r="A20" s="75" t="s">
        <v>2638</v>
      </c>
      <c r="B20" s="75"/>
      <c r="C20" s="75"/>
      <c r="D20" s="75"/>
      <c r="E20" s="75"/>
      <c r="F20" s="75"/>
      <c r="G20" s="75"/>
      <c r="H20" s="75"/>
      <c r="I20" s="66">
        <v>360</v>
      </c>
      <c r="J20" s="738"/>
      <c r="K20" s="176">
        <v>5</v>
      </c>
      <c r="L20" s="1602"/>
    </row>
    <row r="21" spans="1:12" ht="15.75">
      <c r="A21" s="82"/>
      <c r="B21" s="82"/>
      <c r="C21" s="82"/>
      <c r="D21" s="82"/>
      <c r="E21" s="82"/>
      <c r="F21" s="82"/>
      <c r="G21" s="82"/>
      <c r="H21" s="78"/>
      <c r="I21" s="78"/>
      <c r="J21" s="78"/>
      <c r="K21" s="176"/>
      <c r="L21" s="1602"/>
    </row>
    <row r="22" spans="1:12" ht="15.75">
      <c r="A22" s="75"/>
      <c r="B22" s="75"/>
      <c r="C22" s="75"/>
      <c r="D22" s="75"/>
      <c r="E22" s="75"/>
      <c r="F22" s="75"/>
      <c r="G22" s="75"/>
      <c r="H22" s="75" t="s">
        <v>2634</v>
      </c>
      <c r="I22" s="78"/>
      <c r="J22" s="369">
        <f>SUM(J12:J20)</f>
        <v>0</v>
      </c>
      <c r="K22" s="176">
        <v>6</v>
      </c>
      <c r="L22" s="1602"/>
    </row>
    <row r="23" spans="1:12" ht="15.75">
      <c r="A23" s="82"/>
      <c r="B23" s="82"/>
      <c r="C23" s="82"/>
      <c r="D23" s="82"/>
      <c r="E23" s="82"/>
      <c r="F23" s="82"/>
      <c r="G23" s="82"/>
      <c r="H23" s="79"/>
      <c r="I23" s="78"/>
      <c r="J23" s="78"/>
      <c r="K23" s="176"/>
      <c r="L23" s="1602"/>
    </row>
    <row r="24" spans="1:12" ht="15.75">
      <c r="A24" s="75" t="s">
        <v>982</v>
      </c>
      <c r="B24" s="75"/>
      <c r="C24" s="75"/>
      <c r="D24" s="75"/>
      <c r="E24" s="75"/>
      <c r="F24" s="75"/>
      <c r="G24" s="121"/>
      <c r="H24" s="104"/>
      <c r="I24" s="176">
        <v>7</v>
      </c>
      <c r="J24" s="78"/>
      <c r="K24" s="176"/>
      <c r="L24" s="1602"/>
    </row>
    <row r="25" spans="1:12" ht="15.75">
      <c r="A25" s="82" t="s">
        <v>2635</v>
      </c>
      <c r="B25" s="82"/>
      <c r="C25" s="82"/>
      <c r="D25" s="82"/>
      <c r="E25" s="82"/>
      <c r="F25" s="82"/>
      <c r="G25" s="121"/>
      <c r="H25" s="79"/>
      <c r="I25" s="80"/>
      <c r="J25" s="78"/>
      <c r="K25" s="176"/>
      <c r="L25" s="1602"/>
    </row>
    <row r="26" spans="1:12" ht="15.75">
      <c r="A26" s="75" t="s">
        <v>2636</v>
      </c>
      <c r="B26" s="75"/>
      <c r="C26" s="75"/>
      <c r="D26" s="75"/>
      <c r="E26" s="75"/>
      <c r="F26" s="75"/>
      <c r="G26" s="121"/>
      <c r="H26" s="104"/>
      <c r="I26" s="176">
        <v>8</v>
      </c>
      <c r="J26" s="78"/>
      <c r="K26" s="176"/>
      <c r="L26" s="1602"/>
    </row>
    <row r="27" spans="1:12" ht="15.75">
      <c r="A27" s="82"/>
      <c r="B27" s="82"/>
      <c r="C27" s="82"/>
      <c r="D27" s="82"/>
      <c r="E27" s="82"/>
      <c r="F27" s="82"/>
      <c r="G27" s="75"/>
      <c r="H27" s="79"/>
      <c r="I27" s="78"/>
      <c r="J27" s="78"/>
      <c r="K27" s="176"/>
      <c r="L27" s="1602"/>
    </row>
    <row r="28" spans="1:12" ht="15.75">
      <c r="A28" s="75"/>
      <c r="B28" s="75"/>
      <c r="C28" s="75"/>
      <c r="D28" s="75"/>
      <c r="E28" s="75"/>
      <c r="F28" s="90" t="s">
        <v>2637</v>
      </c>
      <c r="G28" s="2">
        <v>351</v>
      </c>
      <c r="H28" s="369">
        <f>MAXA(0,(H24-H26))</f>
        <v>0</v>
      </c>
      <c r="I28" s="1162" t="s">
        <v>410</v>
      </c>
      <c r="J28" s="369">
        <f>+H28</f>
        <v>0</v>
      </c>
      <c r="K28" s="176">
        <v>9</v>
      </c>
      <c r="L28" s="1602"/>
    </row>
    <row r="29" spans="1:12" ht="15.75">
      <c r="A29" s="175" t="s">
        <v>177</v>
      </c>
      <c r="B29" s="175"/>
      <c r="C29" s="170"/>
      <c r="D29" s="82"/>
      <c r="E29" s="82"/>
      <c r="F29" s="82"/>
      <c r="G29" s="82"/>
      <c r="H29" s="101" t="s">
        <v>2641</v>
      </c>
      <c r="I29" s="78"/>
      <c r="J29" s="78"/>
      <c r="K29" s="117"/>
      <c r="L29" s="1602"/>
    </row>
    <row r="30" spans="1:12" ht="15.75">
      <c r="A30" s="75"/>
      <c r="B30" s="75"/>
      <c r="C30" s="75"/>
      <c r="D30" s="75"/>
      <c r="E30" s="75"/>
      <c r="F30" s="75"/>
      <c r="G30" s="75"/>
      <c r="H30" s="90" t="s">
        <v>1227</v>
      </c>
      <c r="I30" s="78"/>
      <c r="J30" s="654">
        <f>MAXA(0,J22-J28)</f>
        <v>0</v>
      </c>
      <c r="K30" s="176">
        <v>10</v>
      </c>
      <c r="L30" s="1602"/>
    </row>
    <row r="31" spans="1:12" ht="15.75">
      <c r="A31" s="78"/>
      <c r="B31" s="78"/>
      <c r="C31" s="78"/>
      <c r="D31" s="78"/>
      <c r="E31" s="78"/>
      <c r="F31" s="78"/>
      <c r="G31" s="78"/>
      <c r="H31" s="79"/>
      <c r="I31" s="78"/>
      <c r="J31" s="78"/>
      <c r="K31" s="106"/>
      <c r="L31" s="1602"/>
    </row>
    <row r="32" spans="1:12" ht="15.75">
      <c r="A32" s="78"/>
      <c r="B32" s="78"/>
      <c r="C32" s="78"/>
      <c r="D32" s="78"/>
      <c r="E32" s="78"/>
      <c r="F32" s="78"/>
      <c r="G32" s="78"/>
      <c r="H32" s="79"/>
      <c r="I32" s="78"/>
      <c r="J32" s="78"/>
      <c r="K32" s="106"/>
      <c r="L32" s="1602"/>
    </row>
    <row r="33" spans="1:12" ht="15.75">
      <c r="A33" s="78" t="s">
        <v>1309</v>
      </c>
      <c r="B33" s="78"/>
      <c r="C33" s="78"/>
      <c r="D33" s="78"/>
      <c r="E33" s="78"/>
      <c r="F33" s="78"/>
      <c r="G33" s="78"/>
      <c r="H33" s="79"/>
      <c r="I33" s="78"/>
      <c r="J33" s="78"/>
      <c r="K33" s="95"/>
      <c r="L33" s="1602"/>
    </row>
    <row r="34" spans="2:11" ht="15.75">
      <c r="B34" s="60"/>
      <c r="C34" s="60"/>
      <c r="D34" s="60"/>
      <c r="E34" s="60"/>
      <c r="F34" s="60"/>
      <c r="G34" s="60"/>
      <c r="H34" s="62"/>
      <c r="I34" s="60"/>
      <c r="J34" s="63"/>
      <c r="K34" s="61"/>
    </row>
    <row r="35" spans="1:11" ht="15">
      <c r="A35" s="60"/>
      <c r="B35" s="60"/>
      <c r="C35" s="60"/>
      <c r="D35" s="60"/>
      <c r="E35" s="60"/>
      <c r="F35" s="60"/>
      <c r="G35" s="60"/>
      <c r="H35" s="60"/>
      <c r="I35" s="60"/>
      <c r="J35" s="60"/>
      <c r="K35" s="60" t="s">
        <v>998</v>
      </c>
    </row>
  </sheetData>
  <sheetProtection password="EC35" sheet="1" objects="1" scenarios="1"/>
  <mergeCells count="1">
    <mergeCell ref="L1:L33"/>
  </mergeCells>
  <hyperlinks>
    <hyperlink ref="L1:L33" location="'GO TO'!B11" display=" "/>
  </hyperlinks>
  <printOptions horizontalCentered="1"/>
  <pageMargins left="0.07874015748031496" right="0.07874015748031496" top="0.5118110236220472" bottom="0.5118110236220472" header="0.5118110236220472" footer="0.5118110236220472"/>
  <pageSetup fitToHeight="0" fitToWidth="1" horizontalDpi="600" verticalDpi="600" orientation="portrait" scale="73" r:id="rId1"/>
  <rowBreaks count="1" manualBreakCount="1">
    <brk id="63" max="65535" man="1"/>
  </rowBreaks>
</worksheet>
</file>

<file path=xl/worksheets/sheet16.xml><?xml version="1.0" encoding="utf-8"?>
<worksheet xmlns="http://schemas.openxmlformats.org/spreadsheetml/2006/main" xmlns:r="http://schemas.openxmlformats.org/officeDocument/2006/relationships">
  <sheetPr codeName="Sheet13" transitionEvaluation="1">
    <pageSetUpPr fitToPage="1"/>
  </sheetPr>
  <dimension ref="A1:N82"/>
  <sheetViews>
    <sheetView showGridLines="0" zoomScale="75" zoomScaleNormal="75" workbookViewId="0" topLeftCell="A1">
      <selection activeCell="A2" sqref="A2"/>
    </sheetView>
  </sheetViews>
  <sheetFormatPr defaultColWidth="9.77734375" defaultRowHeight="15"/>
  <cols>
    <col min="1" max="1" width="3.77734375" style="608" customWidth="1"/>
    <col min="2" max="4" width="9.77734375" style="608" customWidth="1"/>
    <col min="5" max="5" width="8.77734375" style="608" customWidth="1"/>
    <col min="6" max="6" width="5.77734375" style="608" customWidth="1"/>
    <col min="7" max="7" width="4.77734375" style="608" customWidth="1"/>
    <col min="8" max="9" width="13.77734375" style="608" customWidth="1"/>
    <col min="10" max="10" width="10.77734375" style="608" customWidth="1"/>
    <col min="11" max="11" width="5.77734375" style="608" customWidth="1"/>
    <col min="12" max="12" width="14.77734375" style="608" customWidth="1"/>
    <col min="13" max="13" width="3.77734375" style="608" customWidth="1"/>
    <col min="14" max="14" width="8.3359375" style="608" customWidth="1"/>
    <col min="15" max="16384" width="9.77734375" style="608" customWidth="1"/>
  </cols>
  <sheetData>
    <row r="1" spans="1:14" ht="23.25">
      <c r="A1" s="135" t="str">
        <f>"T1-"&amp;yeartext</f>
        <v>T1-2007</v>
      </c>
      <c r="B1" s="114"/>
      <c r="C1" s="114"/>
      <c r="D1" s="114"/>
      <c r="E1" s="78"/>
      <c r="F1" s="823"/>
      <c r="G1" s="823"/>
      <c r="H1" s="1365" t="str">
        <f>"Capital Gains (or Losses) in "&amp;yeartext</f>
        <v>Capital Gains (or Losses) in 2007</v>
      </c>
      <c r="I1" s="114"/>
      <c r="J1" s="114"/>
      <c r="K1" s="114"/>
      <c r="L1" s="1264" t="s">
        <v>999</v>
      </c>
      <c r="M1" s="1264"/>
      <c r="N1" s="1573" t="s">
        <v>1659</v>
      </c>
    </row>
    <row r="2" spans="1:14" ht="15">
      <c r="A2" s="78" t="s">
        <v>2573</v>
      </c>
      <c r="B2" s="78"/>
      <c r="C2" s="78"/>
      <c r="D2" s="78"/>
      <c r="E2" s="78"/>
      <c r="F2" s="78"/>
      <c r="G2" s="78"/>
      <c r="H2" s="78"/>
      <c r="I2" s="78"/>
      <c r="J2" s="78"/>
      <c r="K2" s="78"/>
      <c r="L2" s="78"/>
      <c r="M2" s="78"/>
      <c r="N2" s="1573"/>
    </row>
    <row r="3" spans="1:14" ht="15.75">
      <c r="A3" s="78" t="s">
        <v>1214</v>
      </c>
      <c r="B3" s="78"/>
      <c r="C3" s="78"/>
      <c r="D3" s="78"/>
      <c r="E3" s="78"/>
      <c r="F3" s="78"/>
      <c r="G3" s="78"/>
      <c r="H3" s="78"/>
      <c r="I3" s="78"/>
      <c r="J3" s="78"/>
      <c r="K3" s="78"/>
      <c r="L3" s="78"/>
      <c r="M3" s="78"/>
      <c r="N3" s="1573"/>
    </row>
    <row r="4" spans="1:14" ht="15">
      <c r="A4" s="78"/>
      <c r="B4" s="78"/>
      <c r="C4" s="78"/>
      <c r="D4" s="78"/>
      <c r="E4" s="78"/>
      <c r="F4" s="78"/>
      <c r="G4" s="78"/>
      <c r="H4" s="78"/>
      <c r="I4" s="78"/>
      <c r="J4" s="78"/>
      <c r="K4" s="78"/>
      <c r="L4" s="78"/>
      <c r="M4" s="78"/>
      <c r="N4" s="1573"/>
    </row>
    <row r="5" spans="1:14" ht="15.75">
      <c r="A5" s="148"/>
      <c r="B5" s="82"/>
      <c r="C5" s="82"/>
      <c r="D5" s="82"/>
      <c r="E5" s="82"/>
      <c r="F5" s="1640" t="s">
        <v>1000</v>
      </c>
      <c r="G5" s="1641"/>
      <c r="H5" s="183" t="s">
        <v>1001</v>
      </c>
      <c r="I5" s="183" t="s">
        <v>1002</v>
      </c>
      <c r="J5" s="1640" t="s">
        <v>1003</v>
      </c>
      <c r="K5" s="1641"/>
      <c r="L5" s="183" t="s">
        <v>1368</v>
      </c>
      <c r="M5" s="167"/>
      <c r="N5" s="1573"/>
    </row>
    <row r="6" spans="1:14" ht="15.75">
      <c r="A6" s="744" t="s">
        <v>1303</v>
      </c>
      <c r="B6" s="78"/>
      <c r="C6" s="121"/>
      <c r="D6" s="121"/>
      <c r="E6" s="121"/>
      <c r="F6" s="1642" t="s">
        <v>1369</v>
      </c>
      <c r="G6" s="1643"/>
      <c r="H6" s="1170" t="s">
        <v>1370</v>
      </c>
      <c r="I6" s="1170" t="s">
        <v>1032</v>
      </c>
      <c r="J6" s="1642" t="s">
        <v>1371</v>
      </c>
      <c r="K6" s="1643"/>
      <c r="L6" s="1170" t="s">
        <v>2310</v>
      </c>
      <c r="M6" s="1334"/>
      <c r="N6" s="1573"/>
    </row>
    <row r="7" spans="1:14" ht="15">
      <c r="A7" s="120" t="s">
        <v>1030</v>
      </c>
      <c r="B7" s="78"/>
      <c r="C7" s="121"/>
      <c r="D7" s="121"/>
      <c r="E7" s="121"/>
      <c r="F7" s="1642" t="s">
        <v>2311</v>
      </c>
      <c r="G7" s="1643"/>
      <c r="H7" s="1170" t="s">
        <v>2312</v>
      </c>
      <c r="I7" s="1170" t="s">
        <v>1033</v>
      </c>
      <c r="J7" s="1642" t="s">
        <v>1031</v>
      </c>
      <c r="K7" s="1643"/>
      <c r="L7" s="1170" t="s">
        <v>229</v>
      </c>
      <c r="M7" s="1334"/>
      <c r="N7" s="1573"/>
    </row>
    <row r="8" spans="1:14" ht="15">
      <c r="A8" s="1624"/>
      <c r="B8" s="1625"/>
      <c r="C8" s="75"/>
      <c r="D8" s="75"/>
      <c r="E8" s="75"/>
      <c r="F8" s="1644"/>
      <c r="G8" s="1645"/>
      <c r="H8" s="184"/>
      <c r="I8" s="184"/>
      <c r="J8" s="1644"/>
      <c r="K8" s="1645"/>
      <c r="L8" s="1171" t="s">
        <v>1114</v>
      </c>
      <c r="M8" s="1334"/>
      <c r="N8" s="1573"/>
    </row>
    <row r="9" spans="1:14" ht="18" customHeight="1">
      <c r="A9" s="78" t="s">
        <v>1503</v>
      </c>
      <c r="B9" s="78"/>
      <c r="C9" s="78"/>
      <c r="D9" s="78"/>
      <c r="E9" s="78"/>
      <c r="F9" s="1648" t="s">
        <v>390</v>
      </c>
      <c r="G9" s="1648"/>
      <c r="H9" s="1648"/>
      <c r="I9" s="1648"/>
      <c r="J9" s="1648"/>
      <c r="K9" s="1648"/>
      <c r="L9" s="1649"/>
      <c r="M9" s="78"/>
      <c r="N9" s="1573"/>
    </row>
    <row r="10" spans="1:14" ht="15.75">
      <c r="A10" s="1636" t="s">
        <v>1504</v>
      </c>
      <c r="B10" s="1523"/>
      <c r="C10" s="1523"/>
      <c r="D10" s="1523"/>
      <c r="E10" s="1523"/>
      <c r="F10" s="1523"/>
      <c r="G10" s="1523"/>
      <c r="H10" s="1523"/>
      <c r="I10" s="1523"/>
      <c r="J10" s="1523"/>
      <c r="K10" s="1523"/>
      <c r="L10" s="1505"/>
      <c r="M10" s="78"/>
      <c r="N10" s="1573"/>
    </row>
    <row r="11" spans="1:14" ht="33.75" customHeight="1">
      <c r="A11" s="1634" t="s">
        <v>873</v>
      </c>
      <c r="B11" s="1635"/>
      <c r="C11" s="1616" t="str">
        <f>"Name of corp. and class of shares
disposed of before March 19, "&amp;yeartext</f>
        <v>Name of corp. and class of shares
disposed of before March 19, 2007</v>
      </c>
      <c r="D11" s="1617"/>
      <c r="E11" s="1618"/>
      <c r="F11" s="121"/>
      <c r="G11" s="121"/>
      <c r="H11" s="121"/>
      <c r="I11" s="121"/>
      <c r="J11" s="121"/>
      <c r="K11" s="121"/>
      <c r="L11" s="78"/>
      <c r="M11" s="78"/>
      <c r="N11" s="1573"/>
    </row>
    <row r="12" spans="1:14" ht="15.75">
      <c r="A12" s="1626"/>
      <c r="B12" s="1627"/>
      <c r="C12" s="1621"/>
      <c r="D12" s="1622"/>
      <c r="E12" s="1623"/>
      <c r="F12" s="1619"/>
      <c r="G12" s="1620"/>
      <c r="H12" s="1370"/>
      <c r="I12" s="1370"/>
      <c r="J12" s="1370"/>
      <c r="K12" s="1367">
        <v>270</v>
      </c>
      <c r="L12" s="651">
        <f>H12-I12-J12</f>
        <v>0</v>
      </c>
      <c r="M12" s="103" t="s">
        <v>2409</v>
      </c>
      <c r="N12" s="1573"/>
    </row>
    <row r="13" spans="1:14" ht="33.75" customHeight="1">
      <c r="A13" s="1615" t="s">
        <v>873</v>
      </c>
      <c r="B13" s="1589"/>
      <c r="C13" s="1616" t="str">
        <f>"Name of corp. and class of shares
disposed of after March 18, "&amp;yeartext</f>
        <v>Name of corp. and class of shares
disposed of after March 18, 2007</v>
      </c>
      <c r="D13" s="1617"/>
      <c r="E13" s="1618"/>
      <c r="F13" s="121"/>
      <c r="G13" s="121"/>
      <c r="H13" s="178"/>
      <c r="I13" s="178"/>
      <c r="J13" s="178"/>
      <c r="K13" s="121"/>
      <c r="L13" s="78"/>
      <c r="M13" s="78"/>
      <c r="N13" s="1573"/>
    </row>
    <row r="14" spans="1:14" ht="15">
      <c r="A14" s="1626"/>
      <c r="B14" s="1627"/>
      <c r="C14" s="1610"/>
      <c r="D14" s="1647"/>
      <c r="E14" s="1611"/>
      <c r="F14" s="1619"/>
      <c r="G14" s="1620"/>
      <c r="H14" s="179"/>
      <c r="I14" s="179"/>
      <c r="J14" s="1369"/>
      <c r="K14" s="122"/>
      <c r="L14" s="653">
        <f>H14-I14-J14</f>
        <v>0</v>
      </c>
      <c r="M14" s="103" t="s">
        <v>2415</v>
      </c>
      <c r="N14" s="1573"/>
    </row>
    <row r="15" spans="1:14" ht="15.75">
      <c r="A15" s="1316"/>
      <c r="B15" s="82"/>
      <c r="C15" s="82"/>
      <c r="D15" s="82"/>
      <c r="E15" s="102"/>
      <c r="F15" s="102" t="s">
        <v>2444</v>
      </c>
      <c r="G15" s="1368">
        <v>106</v>
      </c>
      <c r="H15" s="651">
        <f>H12+H14</f>
        <v>0</v>
      </c>
      <c r="I15" s="186"/>
      <c r="J15" s="1366" t="s">
        <v>365</v>
      </c>
      <c r="K15" s="1368">
        <v>107</v>
      </c>
      <c r="L15" s="1374">
        <f>L12+L14</f>
        <v>0</v>
      </c>
      <c r="M15" s="1334"/>
      <c r="N15" s="1573"/>
    </row>
    <row r="16" spans="1:14" ht="15.75">
      <c r="A16" s="96" t="s">
        <v>1505</v>
      </c>
      <c r="B16" s="78"/>
      <c r="C16" s="75"/>
      <c r="D16" s="75"/>
      <c r="E16" s="75"/>
      <c r="F16" s="121"/>
      <c r="G16" s="121"/>
      <c r="H16" s="82"/>
      <c r="I16" s="121"/>
      <c r="J16" s="121"/>
      <c r="K16" s="121"/>
      <c r="L16" s="78"/>
      <c r="M16" s="78"/>
      <c r="N16" s="1573"/>
    </row>
    <row r="17" spans="1:14" ht="33" customHeight="1">
      <c r="A17" s="1628" t="str">
        <f>"Address or legal description of property
disposed of before March 19, "&amp;yeartext</f>
        <v>Address or legal description of property
disposed of before March 19, 2007</v>
      </c>
      <c r="B17" s="1629"/>
      <c r="C17" s="1629"/>
      <c r="D17" s="1618"/>
      <c r="E17" s="1372" t="s">
        <v>1258</v>
      </c>
      <c r="F17" s="120"/>
      <c r="G17" s="121"/>
      <c r="H17" s="121"/>
      <c r="I17" s="121"/>
      <c r="J17" s="121"/>
      <c r="K17" s="121"/>
      <c r="L17" s="78"/>
      <c r="M17" s="78"/>
      <c r="N17" s="1573"/>
    </row>
    <row r="18" spans="1:14" ht="15.75">
      <c r="A18" s="1609"/>
      <c r="B18" s="1632"/>
      <c r="C18" s="1632"/>
      <c r="D18" s="1633"/>
      <c r="E18" s="1373"/>
      <c r="F18" s="1619"/>
      <c r="G18" s="1620"/>
      <c r="H18" s="179"/>
      <c r="I18" s="179"/>
      <c r="J18" s="1315"/>
      <c r="K18" s="1367">
        <v>271</v>
      </c>
      <c r="L18" s="651">
        <f>H18-I18-J18</f>
        <v>0</v>
      </c>
      <c r="M18" s="103" t="s">
        <v>1709</v>
      </c>
      <c r="N18" s="1573"/>
    </row>
    <row r="19" spans="1:14" ht="33" customHeight="1">
      <c r="A19" s="1628" t="str">
        <f>"Address or legal description of property
disposed of after March 18, "&amp;yeartext</f>
        <v>Address or legal description of property
disposed of after March 18, 2007</v>
      </c>
      <c r="B19" s="1630"/>
      <c r="C19" s="1630"/>
      <c r="D19" s="1631"/>
      <c r="E19" s="1372" t="s">
        <v>1258</v>
      </c>
      <c r="F19" s="121"/>
      <c r="G19" s="121"/>
      <c r="H19" s="178"/>
      <c r="I19" s="178"/>
      <c r="J19" s="178"/>
      <c r="K19" s="121"/>
      <c r="L19" s="78"/>
      <c r="M19" s="78"/>
      <c r="N19" s="1573"/>
    </row>
    <row r="20" spans="1:14" ht="15">
      <c r="A20" s="1609"/>
      <c r="B20" s="1632"/>
      <c r="C20" s="1632"/>
      <c r="D20" s="1633"/>
      <c r="E20" s="1373"/>
      <c r="F20" s="1609"/>
      <c r="G20" s="1633"/>
      <c r="H20" s="179"/>
      <c r="I20" s="179"/>
      <c r="J20" s="1369"/>
      <c r="K20" s="122"/>
      <c r="L20" s="653">
        <f>H20-I20-J20</f>
        <v>0</v>
      </c>
      <c r="M20" s="103" t="s">
        <v>2420</v>
      </c>
      <c r="N20" s="1573"/>
    </row>
    <row r="21" spans="1:14" ht="15.75">
      <c r="A21" s="1371"/>
      <c r="B21" s="121"/>
      <c r="C21" s="121"/>
      <c r="D21" s="121"/>
      <c r="E21" s="101"/>
      <c r="F21" s="102" t="s">
        <v>2444</v>
      </c>
      <c r="G21" s="1368">
        <v>109</v>
      </c>
      <c r="H21" s="651">
        <f>H18+H20</f>
        <v>0</v>
      </c>
      <c r="I21" s="186"/>
      <c r="J21" s="1366" t="s">
        <v>366</v>
      </c>
      <c r="K21" s="1368">
        <v>110</v>
      </c>
      <c r="L21" s="1374">
        <f>L18+L20</f>
        <v>0</v>
      </c>
      <c r="M21" s="1334"/>
      <c r="N21" s="1573"/>
    </row>
    <row r="22" spans="1:14" ht="60" customHeight="1">
      <c r="A22" s="1628" t="str">
        <f>"Mortgage foreclosures and conditional 
sales repossessions before 
March 19, "&amp;yeartext&amp;"
Address or legal description"</f>
        <v>Mortgage foreclosures and conditional 
sales repossessions before 
March 19, 2007
Address or legal description</v>
      </c>
      <c r="B22" s="1629"/>
      <c r="C22" s="1629"/>
      <c r="D22" s="1618"/>
      <c r="E22" s="1372" t="s">
        <v>1258</v>
      </c>
      <c r="F22" s="121"/>
      <c r="G22" s="121"/>
      <c r="H22" s="1382"/>
      <c r="I22" s="101"/>
      <c r="J22" s="121"/>
      <c r="K22" s="121"/>
      <c r="L22" s="78"/>
      <c r="M22" s="78"/>
      <c r="N22" s="1573"/>
    </row>
    <row r="23" spans="1:14" ht="15.75">
      <c r="A23" s="1609"/>
      <c r="B23" s="1632"/>
      <c r="C23" s="1632"/>
      <c r="D23" s="1633"/>
      <c r="E23" s="1373"/>
      <c r="F23" s="1609"/>
      <c r="G23" s="1639"/>
      <c r="H23" s="179"/>
      <c r="I23" s="179"/>
      <c r="J23" s="1315"/>
      <c r="K23" s="1367">
        <v>272</v>
      </c>
      <c r="L23" s="651">
        <f>H23-I23-J23</f>
        <v>0</v>
      </c>
      <c r="M23" s="103" t="s">
        <v>2426</v>
      </c>
      <c r="N23" s="1573"/>
    </row>
    <row r="24" spans="1:14" ht="60" customHeight="1">
      <c r="A24" s="1628" t="str">
        <f>"Mortgage foreclosures and conditional 
sales repossessions after 
March 18, "&amp;yeartext&amp;"
Address or legal description"</f>
        <v>Mortgage foreclosures and conditional 
sales repossessions after 
March 18, 2007
Address or legal description</v>
      </c>
      <c r="B24" s="1629"/>
      <c r="C24" s="1629"/>
      <c r="D24" s="1618"/>
      <c r="E24" s="1372" t="s">
        <v>1258</v>
      </c>
      <c r="F24" s="121"/>
      <c r="G24" s="121"/>
      <c r="H24" s="178"/>
      <c r="I24" s="178"/>
      <c r="J24" s="178"/>
      <c r="K24" s="121"/>
      <c r="L24" s="78"/>
      <c r="M24" s="78"/>
      <c r="N24" s="1573"/>
    </row>
    <row r="25" spans="1:14" ht="15">
      <c r="A25" s="1609"/>
      <c r="B25" s="1632"/>
      <c r="C25" s="1632"/>
      <c r="D25" s="1633"/>
      <c r="E25" s="1317"/>
      <c r="F25" s="1609"/>
      <c r="G25" s="1639"/>
      <c r="H25" s="179"/>
      <c r="I25" s="179"/>
      <c r="J25" s="1315"/>
      <c r="K25" s="122"/>
      <c r="L25" s="653">
        <f>H25-I25-J25</f>
        <v>0</v>
      </c>
      <c r="M25" s="103" t="s">
        <v>2479</v>
      </c>
      <c r="N25" s="1573"/>
    </row>
    <row r="26" spans="1:14" ht="15.75">
      <c r="A26" s="607"/>
      <c r="B26" s="82"/>
      <c r="C26" s="82"/>
      <c r="D26" s="82"/>
      <c r="E26" s="102"/>
      <c r="F26" s="102" t="s">
        <v>2444</v>
      </c>
      <c r="G26" s="1368">
        <v>123</v>
      </c>
      <c r="H26" s="651">
        <f>H23+H25</f>
        <v>0</v>
      </c>
      <c r="I26" s="186"/>
      <c r="J26" s="1366" t="s">
        <v>367</v>
      </c>
      <c r="K26" s="1368">
        <v>124</v>
      </c>
      <c r="L26" s="1374">
        <f>L23+L25</f>
        <v>0</v>
      </c>
      <c r="M26" s="1334"/>
      <c r="N26" s="1573"/>
    </row>
    <row r="27" spans="1:14" ht="22.5" customHeight="1">
      <c r="A27" s="1314"/>
      <c r="B27" s="1359"/>
      <c r="C27" s="1359"/>
      <c r="D27" s="1359"/>
      <c r="E27" s="1359"/>
      <c r="F27" s="1359"/>
      <c r="G27" s="1359"/>
      <c r="H27" s="1359"/>
      <c r="I27" s="1359"/>
      <c r="J27" s="1384" t="s">
        <v>392</v>
      </c>
      <c r="K27" s="1359"/>
      <c r="L27" s="1374">
        <f>L26+L21+L15</f>
        <v>0</v>
      </c>
      <c r="M27" s="103" t="s">
        <v>2480</v>
      </c>
      <c r="N27" s="1573"/>
    </row>
    <row r="28" spans="1:14" ht="21" customHeight="1">
      <c r="A28" s="1646" t="s">
        <v>368</v>
      </c>
      <c r="B28" s="1523"/>
      <c r="C28" s="1523"/>
      <c r="D28" s="1523"/>
      <c r="E28" s="1523"/>
      <c r="F28" s="1523"/>
      <c r="G28" s="1523"/>
      <c r="H28" s="1523"/>
      <c r="I28" s="1523"/>
      <c r="J28" s="1523"/>
      <c r="K28" s="1523"/>
      <c r="L28" s="1523"/>
      <c r="M28" s="78"/>
      <c r="N28" s="1573"/>
    </row>
    <row r="29" spans="1:14" ht="15.75" customHeight="1">
      <c r="A29" s="607"/>
      <c r="B29" s="931" t="s">
        <v>747</v>
      </c>
      <c r="C29" s="75"/>
      <c r="D29" s="75"/>
      <c r="E29" s="75"/>
      <c r="F29" s="121"/>
      <c r="G29" s="121"/>
      <c r="H29" s="121"/>
      <c r="I29" s="121"/>
      <c r="J29" s="121"/>
      <c r="K29" s="121"/>
      <c r="L29" s="78"/>
      <c r="M29" s="78"/>
      <c r="N29" s="1573"/>
    </row>
    <row r="30" spans="1:14" ht="15">
      <c r="A30" s="1605" t="s">
        <v>873</v>
      </c>
      <c r="B30" s="1606"/>
      <c r="C30" s="181" t="s">
        <v>386</v>
      </c>
      <c r="D30" s="181"/>
      <c r="E30" s="137"/>
      <c r="F30" s="120"/>
      <c r="G30" s="121"/>
      <c r="H30" s="121"/>
      <c r="I30" s="121"/>
      <c r="J30" s="121"/>
      <c r="K30" s="121"/>
      <c r="L30" s="78"/>
      <c r="M30" s="78"/>
      <c r="N30" s="1573"/>
    </row>
    <row r="31" spans="1:14" ht="15">
      <c r="A31" s="1607"/>
      <c r="B31" s="1608"/>
      <c r="C31" s="1612"/>
      <c r="D31" s="1613"/>
      <c r="E31" s="1614"/>
      <c r="F31" s="1609"/>
      <c r="G31" s="1639"/>
      <c r="H31" s="179"/>
      <c r="I31" s="179"/>
      <c r="J31" s="1637"/>
      <c r="K31" s="1638"/>
      <c r="L31" s="651">
        <f>H31-I31-J31</f>
        <v>0</v>
      </c>
      <c r="M31" s="78"/>
      <c r="N31" s="1573"/>
    </row>
    <row r="32" spans="1:14" ht="15.75">
      <c r="A32" s="607"/>
      <c r="B32" s="82"/>
      <c r="C32" s="82"/>
      <c r="D32" s="82"/>
      <c r="E32" s="102"/>
      <c r="F32" s="102" t="s">
        <v>2444</v>
      </c>
      <c r="G32" s="1167">
        <v>131</v>
      </c>
      <c r="H32" s="185">
        <f>H31</f>
        <v>0</v>
      </c>
      <c r="I32" s="186"/>
      <c r="J32" s="102" t="s">
        <v>2310</v>
      </c>
      <c r="K32" s="1168">
        <v>132</v>
      </c>
      <c r="L32" s="1163">
        <f>L31</f>
        <v>0</v>
      </c>
      <c r="M32" s="78"/>
      <c r="N32" s="1573"/>
    </row>
    <row r="33" spans="1:14" ht="15.75">
      <c r="A33" s="96" t="s">
        <v>748</v>
      </c>
      <c r="B33" s="96"/>
      <c r="C33" s="75"/>
      <c r="D33" s="75"/>
      <c r="E33" s="75"/>
      <c r="F33" s="121"/>
      <c r="G33" s="121"/>
      <c r="H33" s="82"/>
      <c r="I33" s="121"/>
      <c r="J33" s="121"/>
      <c r="K33" s="121"/>
      <c r="L33" s="78"/>
      <c r="M33" s="78"/>
      <c r="N33" s="1573"/>
    </row>
    <row r="34" spans="1:14" ht="15">
      <c r="A34" s="180" t="s">
        <v>749</v>
      </c>
      <c r="B34" s="181"/>
      <c r="C34" s="181"/>
      <c r="D34" s="181"/>
      <c r="E34" s="1379" t="s">
        <v>1258</v>
      </c>
      <c r="F34" s="120"/>
      <c r="G34" s="121"/>
      <c r="H34" s="121"/>
      <c r="I34" s="121"/>
      <c r="J34" s="121"/>
      <c r="K34" s="121"/>
      <c r="L34" s="78"/>
      <c r="M34" s="78"/>
      <c r="N34" s="1573"/>
    </row>
    <row r="35" spans="1:14" ht="15">
      <c r="A35" s="1609"/>
      <c r="B35" s="1560"/>
      <c r="C35" s="1560"/>
      <c r="D35" s="1604"/>
      <c r="E35" s="1383"/>
      <c r="F35" s="1609"/>
      <c r="G35" s="1639"/>
      <c r="H35" s="179"/>
      <c r="I35" s="179"/>
      <c r="J35" s="1637"/>
      <c r="K35" s="1638"/>
      <c r="L35" s="651">
        <f>H35-I35-J35</f>
        <v>0</v>
      </c>
      <c r="M35" s="78"/>
      <c r="N35" s="1573"/>
    </row>
    <row r="36" spans="1:14" ht="15.75">
      <c r="A36" s="607"/>
      <c r="B36" s="121"/>
      <c r="C36" s="121"/>
      <c r="D36" s="121"/>
      <c r="E36" s="101"/>
      <c r="F36" s="102" t="s">
        <v>2444</v>
      </c>
      <c r="G36" s="1167">
        <v>136</v>
      </c>
      <c r="H36" s="185">
        <f>H35</f>
        <v>0</v>
      </c>
      <c r="I36" s="186"/>
      <c r="J36" s="102" t="s">
        <v>2310</v>
      </c>
      <c r="K36" s="1168">
        <v>138</v>
      </c>
      <c r="L36" s="1163">
        <f>L35</f>
        <v>0</v>
      </c>
      <c r="M36" s="78"/>
      <c r="N36" s="1573"/>
    </row>
    <row r="37" spans="1:14" ht="15.75">
      <c r="A37" s="96" t="s">
        <v>750</v>
      </c>
      <c r="B37" s="96"/>
      <c r="C37" s="75"/>
      <c r="D37" s="75"/>
      <c r="E37" s="75"/>
      <c r="F37" s="121"/>
      <c r="G37" s="121"/>
      <c r="H37" s="82"/>
      <c r="I37" s="121"/>
      <c r="J37" s="121"/>
      <c r="K37" s="121"/>
      <c r="L37" s="78"/>
      <c r="M37" s="78"/>
      <c r="N37" s="1573"/>
    </row>
    <row r="38" spans="1:14" ht="15">
      <c r="A38" s="1605" t="s">
        <v>1334</v>
      </c>
      <c r="B38" s="1606"/>
      <c r="C38" s="822" t="s">
        <v>1335</v>
      </c>
      <c r="D38" s="1605" t="s">
        <v>385</v>
      </c>
      <c r="E38" s="1589"/>
      <c r="F38" s="120"/>
      <c r="G38" s="121"/>
      <c r="H38" s="121"/>
      <c r="I38" s="121"/>
      <c r="J38" s="121"/>
      <c r="K38" s="121"/>
      <c r="L38" s="78"/>
      <c r="M38" s="78"/>
      <c r="N38" s="1573"/>
    </row>
    <row r="39" spans="1:14" ht="15">
      <c r="A39" s="1610"/>
      <c r="B39" s="1611"/>
      <c r="C39" s="1378"/>
      <c r="D39" s="1610"/>
      <c r="E39" s="1611"/>
      <c r="F39" s="1609"/>
      <c r="G39" s="1639"/>
      <c r="H39" s="179"/>
      <c r="I39" s="179"/>
      <c r="J39" s="1637"/>
      <c r="K39" s="1638"/>
      <c r="L39" s="651">
        <f>H39-I39-J39</f>
        <v>0</v>
      </c>
      <c r="M39" s="78"/>
      <c r="N39" s="1573"/>
    </row>
    <row r="40" spans="1:14" ht="15.75">
      <c r="A40" s="607"/>
      <c r="B40" s="82"/>
      <c r="C40" s="82"/>
      <c r="D40" s="82"/>
      <c r="E40" s="102"/>
      <c r="F40" s="102" t="s">
        <v>2444</v>
      </c>
      <c r="G40" s="1167">
        <v>151</v>
      </c>
      <c r="H40" s="185">
        <f>H39</f>
        <v>0</v>
      </c>
      <c r="I40" s="186"/>
      <c r="J40" s="102" t="s">
        <v>2310</v>
      </c>
      <c r="K40" s="1168">
        <v>153</v>
      </c>
      <c r="L40" s="1163">
        <f>L39</f>
        <v>0</v>
      </c>
      <c r="M40" s="78"/>
      <c r="N40" s="1573"/>
    </row>
    <row r="41" spans="1:14" ht="15.75">
      <c r="A41" s="96" t="s">
        <v>751</v>
      </c>
      <c r="B41" s="96"/>
      <c r="C41" s="75"/>
      <c r="D41" s="75"/>
      <c r="E41" s="75"/>
      <c r="F41" s="121"/>
      <c r="G41" s="121"/>
      <c r="H41" s="82"/>
      <c r="I41" s="121"/>
      <c r="J41" s="121"/>
      <c r="K41" s="121"/>
      <c r="L41" s="78"/>
      <c r="M41" s="78"/>
      <c r="N41" s="1573"/>
    </row>
    <row r="42" spans="1:14" ht="15">
      <c r="A42" s="180" t="s">
        <v>2039</v>
      </c>
      <c r="B42" s="180"/>
      <c r="C42" s="181"/>
      <c r="D42" s="181"/>
      <c r="E42" s="1379" t="s">
        <v>1258</v>
      </c>
      <c r="F42" s="120"/>
      <c r="G42" s="121"/>
      <c r="H42" s="121"/>
      <c r="I42" s="121"/>
      <c r="J42" s="121"/>
      <c r="K42" s="121"/>
      <c r="L42" s="78"/>
      <c r="M42" s="78"/>
      <c r="N42" s="1573"/>
    </row>
    <row r="43" spans="1:14" ht="15">
      <c r="A43" s="1609"/>
      <c r="B43" s="1560"/>
      <c r="C43" s="1560"/>
      <c r="D43" s="1604"/>
      <c r="E43" s="1383"/>
      <c r="F43" s="1609" t="s">
        <v>458</v>
      </c>
      <c r="G43" s="1639"/>
      <c r="H43" s="179"/>
      <c r="I43" s="179"/>
      <c r="J43" s="1637"/>
      <c r="K43" s="1638"/>
      <c r="L43" s="651">
        <f>H43-I43-J43</f>
        <v>0</v>
      </c>
      <c r="M43" s="78"/>
      <c r="N43" s="1573"/>
    </row>
    <row r="44" spans="1:14" ht="15.75">
      <c r="A44" s="607"/>
      <c r="B44" s="121"/>
      <c r="C44" s="121"/>
      <c r="D44" s="121"/>
      <c r="E44" s="101"/>
      <c r="F44" s="102" t="s">
        <v>2444</v>
      </c>
      <c r="G44" s="1167">
        <v>154</v>
      </c>
      <c r="H44" s="185">
        <f>H43</f>
        <v>0</v>
      </c>
      <c r="I44" s="186"/>
      <c r="J44" s="102" t="s">
        <v>2310</v>
      </c>
      <c r="K44" s="1168">
        <v>155</v>
      </c>
      <c r="L44" s="1163">
        <f>L43</f>
        <v>0</v>
      </c>
      <c r="M44" s="78"/>
      <c r="N44" s="1573"/>
    </row>
    <row r="45" spans="1:14" ht="15.75">
      <c r="A45" s="99" t="s">
        <v>752</v>
      </c>
      <c r="B45" s="99"/>
      <c r="C45" s="121"/>
      <c r="D45" s="121"/>
      <c r="E45" s="121"/>
      <c r="F45" s="121"/>
      <c r="G45" s="121"/>
      <c r="H45" s="82"/>
      <c r="I45" s="121"/>
      <c r="J45" s="121"/>
      <c r="K45" s="121"/>
      <c r="L45" s="78"/>
      <c r="M45" s="78"/>
      <c r="N45" s="1573"/>
    </row>
    <row r="46" spans="1:14" ht="15">
      <c r="A46" s="1603"/>
      <c r="B46" s="1560"/>
      <c r="C46" s="1560"/>
      <c r="D46" s="1560"/>
      <c r="E46" s="1604"/>
      <c r="F46" s="1609"/>
      <c r="G46" s="1639"/>
      <c r="H46" s="179"/>
      <c r="I46" s="179"/>
      <c r="J46" s="1637"/>
      <c r="K46" s="1638"/>
      <c r="L46" s="651">
        <f>H46-I46-J46</f>
        <v>0</v>
      </c>
      <c r="M46" s="78"/>
      <c r="N46" s="1573"/>
    </row>
    <row r="47" spans="1:14" ht="15.75">
      <c r="A47" s="607"/>
      <c r="B47" s="121"/>
      <c r="C47" s="121"/>
      <c r="D47" s="121"/>
      <c r="E47" s="101"/>
      <c r="F47" s="82"/>
      <c r="G47" s="82"/>
      <c r="H47" s="82"/>
      <c r="I47" s="102"/>
      <c r="J47" s="102" t="s">
        <v>746</v>
      </c>
      <c r="K47" s="2">
        <v>158</v>
      </c>
      <c r="L47" s="185">
        <f>L46</f>
        <v>0</v>
      </c>
      <c r="M47" s="78"/>
      <c r="N47" s="1573"/>
    </row>
    <row r="48" spans="1:14" ht="15.75">
      <c r="A48" s="99" t="s">
        <v>753</v>
      </c>
      <c r="B48" s="99"/>
      <c r="C48" s="121"/>
      <c r="D48" s="121"/>
      <c r="E48" s="121"/>
      <c r="F48" s="121"/>
      <c r="G48" s="121"/>
      <c r="H48" s="121"/>
      <c r="I48" s="121"/>
      <c r="J48" s="121"/>
      <c r="K48" s="121"/>
      <c r="L48" s="121"/>
      <c r="M48" s="78"/>
      <c r="N48" s="1573"/>
    </row>
    <row r="49" spans="1:14" ht="15">
      <c r="A49" s="1603"/>
      <c r="B49" s="1560"/>
      <c r="C49" s="1560"/>
      <c r="D49" s="1560"/>
      <c r="E49" s="1604"/>
      <c r="F49" s="1609"/>
      <c r="G49" s="1639"/>
      <c r="H49" s="179"/>
      <c r="I49" s="179"/>
      <c r="J49" s="1637"/>
      <c r="K49" s="1638"/>
      <c r="L49" s="651">
        <f>H49-I49-J49</f>
        <v>0</v>
      </c>
      <c r="M49" s="78"/>
      <c r="N49" s="1573"/>
    </row>
    <row r="50" spans="1:14" ht="15.75">
      <c r="A50" s="99" t="s">
        <v>651</v>
      </c>
      <c r="B50" s="99"/>
      <c r="C50" s="121"/>
      <c r="D50" s="121"/>
      <c r="E50" s="101"/>
      <c r="F50" s="82"/>
      <c r="G50" s="82"/>
      <c r="H50" s="82"/>
      <c r="I50" s="102"/>
      <c r="J50" s="102"/>
      <c r="K50" s="102" t="s">
        <v>1506</v>
      </c>
      <c r="L50" s="185"/>
      <c r="M50" s="78"/>
      <c r="N50" s="1573"/>
    </row>
    <row r="51" spans="1:14" ht="15.75">
      <c r="A51" s="121" t="s">
        <v>387</v>
      </c>
      <c r="B51" s="121"/>
      <c r="C51" s="121"/>
      <c r="D51" s="121"/>
      <c r="E51" s="121"/>
      <c r="F51" s="121"/>
      <c r="G51" s="121"/>
      <c r="H51" s="121"/>
      <c r="I51" s="121"/>
      <c r="J51" s="101" t="s">
        <v>745</v>
      </c>
      <c r="K51" s="2">
        <v>159</v>
      </c>
      <c r="L51" s="654">
        <f>L49-L50</f>
        <v>0</v>
      </c>
      <c r="M51" s="78"/>
      <c r="N51" s="1573"/>
    </row>
    <row r="52" spans="1:14" ht="15.75">
      <c r="A52" s="621"/>
      <c r="B52" s="76"/>
      <c r="C52" s="76"/>
      <c r="D52" s="76"/>
      <c r="E52" s="76"/>
      <c r="F52" s="76"/>
      <c r="G52" s="76"/>
      <c r="H52" s="76"/>
      <c r="I52" s="76"/>
      <c r="J52" s="76"/>
      <c r="K52" s="163" t="s">
        <v>391</v>
      </c>
      <c r="L52" s="1175">
        <f>L51+L47+L44+L40+L36+L32</f>
        <v>0</v>
      </c>
      <c r="M52" s="103" t="s">
        <v>2481</v>
      </c>
      <c r="N52" s="1573"/>
    </row>
    <row r="53" spans="1:14" ht="15">
      <c r="A53" s="607"/>
      <c r="B53" s="121"/>
      <c r="C53" s="121"/>
      <c r="D53" s="121"/>
      <c r="E53" s="121"/>
      <c r="F53" s="121"/>
      <c r="G53" s="121"/>
      <c r="H53" s="121"/>
      <c r="I53" s="121"/>
      <c r="J53" s="121"/>
      <c r="K53" s="101"/>
      <c r="L53" s="121"/>
      <c r="M53" s="103"/>
      <c r="N53" s="1573"/>
    </row>
    <row r="54" spans="1:14" ht="15">
      <c r="A54" s="609"/>
      <c r="B54" s="1090"/>
      <c r="C54" s="1090"/>
      <c r="D54" s="1090"/>
      <c r="E54" s="1090"/>
      <c r="F54" s="1090"/>
      <c r="G54" s="1090"/>
      <c r="H54" s="1090"/>
      <c r="I54" s="1090"/>
      <c r="J54" s="1090"/>
      <c r="K54" s="1095"/>
      <c r="L54" s="1090"/>
      <c r="M54" s="1380"/>
      <c r="N54" s="1573"/>
    </row>
    <row r="55" spans="1:14" ht="15.75">
      <c r="A55" s="1385" t="s">
        <v>393</v>
      </c>
      <c r="B55" s="75"/>
      <c r="C55" s="75"/>
      <c r="D55" s="75"/>
      <c r="E55" s="75"/>
      <c r="F55" s="75"/>
      <c r="G55" s="75"/>
      <c r="H55" s="75"/>
      <c r="I55" s="75"/>
      <c r="J55" s="75"/>
      <c r="K55" s="101"/>
      <c r="L55" s="1381">
        <f>L52+L27</f>
        <v>0</v>
      </c>
      <c r="M55" s="103" t="s">
        <v>2483</v>
      </c>
      <c r="N55" s="1573"/>
    </row>
    <row r="56" spans="1:14" ht="15">
      <c r="A56" s="1650" t="s">
        <v>394</v>
      </c>
      <c r="B56" s="1651"/>
      <c r="C56" s="1651"/>
      <c r="D56" s="1651"/>
      <c r="E56" s="1651"/>
      <c r="F56" s="1651"/>
      <c r="G56" s="1651"/>
      <c r="H56" s="1651"/>
      <c r="I56" s="1651"/>
      <c r="J56" s="1651"/>
      <c r="K56" s="101"/>
      <c r="L56" s="121"/>
      <c r="M56" s="103"/>
      <c r="N56" s="1573"/>
    </row>
    <row r="57" spans="1:14" ht="15.75">
      <c r="A57" s="1652"/>
      <c r="B57" s="1652"/>
      <c r="C57" s="1652"/>
      <c r="D57" s="1652"/>
      <c r="E57" s="1652"/>
      <c r="F57" s="1652"/>
      <c r="G57" s="1652"/>
      <c r="H57" s="1652"/>
      <c r="I57" s="1652"/>
      <c r="J57" s="1652"/>
      <c r="K57" s="1375">
        <v>161</v>
      </c>
      <c r="L57" s="1172"/>
      <c r="M57" s="103" t="s">
        <v>2484</v>
      </c>
      <c r="N57" s="1573"/>
    </row>
    <row r="58" spans="1:14" ht="15">
      <c r="A58" s="621"/>
      <c r="B58" s="76"/>
      <c r="C58" s="76"/>
      <c r="D58" s="76"/>
      <c r="E58" s="76"/>
      <c r="F58" s="76"/>
      <c r="G58" s="76"/>
      <c r="H58" s="76"/>
      <c r="I58" s="76"/>
      <c r="J58" s="89" t="s">
        <v>369</v>
      </c>
      <c r="K58" s="101"/>
      <c r="L58" s="1175">
        <f>L55-L57</f>
        <v>0</v>
      </c>
      <c r="M58" s="103" t="s">
        <v>2485</v>
      </c>
      <c r="N58" s="1573"/>
    </row>
    <row r="59" spans="1:14" ht="15">
      <c r="A59" s="617"/>
      <c r="B59" s="121"/>
      <c r="C59" s="121"/>
      <c r="D59" s="121"/>
      <c r="E59" s="121"/>
      <c r="F59" s="121"/>
      <c r="G59" s="121"/>
      <c r="H59" s="121"/>
      <c r="I59" s="121"/>
      <c r="J59" s="121"/>
      <c r="K59" s="101"/>
      <c r="L59" s="121"/>
      <c r="M59" s="78"/>
      <c r="N59" s="1573"/>
    </row>
    <row r="60" spans="1:14" ht="15">
      <c r="A60" s="617" t="s">
        <v>371</v>
      </c>
      <c r="B60" s="121"/>
      <c r="C60" s="121"/>
      <c r="D60" s="121"/>
      <c r="E60" s="121"/>
      <c r="F60" s="121"/>
      <c r="G60" s="121"/>
      <c r="H60" s="121"/>
      <c r="I60" s="121"/>
      <c r="J60" s="121"/>
      <c r="K60" s="101"/>
      <c r="L60" s="121"/>
      <c r="M60" s="78"/>
      <c r="N60" s="1573"/>
    </row>
    <row r="61" spans="1:14" ht="15">
      <c r="A61" s="617" t="str">
        <f>"disposition of eligible capital property made before March 19, "&amp;yeartext</f>
        <v>disposition of eligible capital property made before March 19, 2007</v>
      </c>
      <c r="B61" s="121"/>
      <c r="C61" s="121"/>
      <c r="D61" s="121"/>
      <c r="E61" s="121"/>
      <c r="F61" s="121"/>
      <c r="G61" s="121"/>
      <c r="H61" s="121"/>
      <c r="I61" s="121"/>
      <c r="J61" s="121"/>
      <c r="K61" s="101"/>
      <c r="L61" s="121"/>
      <c r="M61" s="78"/>
      <c r="N61" s="1573"/>
    </row>
    <row r="62" spans="1:14" ht="15.75">
      <c r="A62" s="618" t="s">
        <v>372</v>
      </c>
      <c r="B62" s="75"/>
      <c r="C62" s="75"/>
      <c r="D62" s="75"/>
      <c r="E62" s="75"/>
      <c r="F62" s="75"/>
      <c r="G62" s="75"/>
      <c r="H62" s="75"/>
      <c r="I62" s="98">
        <v>273</v>
      </c>
      <c r="J62" s="104"/>
      <c r="K62" s="123" t="s">
        <v>370</v>
      </c>
      <c r="L62" s="121"/>
      <c r="M62" s="78"/>
      <c r="N62" s="1573"/>
    </row>
    <row r="63" spans="1:14" ht="15">
      <c r="A63" s="617" t="s">
        <v>371</v>
      </c>
      <c r="B63" s="121"/>
      <c r="C63" s="121"/>
      <c r="D63" s="121"/>
      <c r="E63" s="121"/>
      <c r="F63" s="121"/>
      <c r="G63" s="121"/>
      <c r="H63" s="121"/>
      <c r="I63" s="121"/>
      <c r="J63" s="121"/>
      <c r="K63" s="101"/>
      <c r="L63" s="121"/>
      <c r="M63" s="78"/>
      <c r="N63" s="1573"/>
    </row>
    <row r="64" spans="1:14" ht="15">
      <c r="A64" s="617" t="str">
        <f>"disposition of eligible capital property made after March 18, "&amp;yeartext</f>
        <v>disposition of eligible capital property made after March 18, 2007</v>
      </c>
      <c r="B64" s="121"/>
      <c r="C64" s="121"/>
      <c r="D64" s="121"/>
      <c r="E64" s="121"/>
      <c r="F64" s="121"/>
      <c r="G64" s="121"/>
      <c r="H64" s="121"/>
      <c r="I64" s="121"/>
      <c r="J64" s="121"/>
      <c r="K64" s="101"/>
      <c r="L64" s="121"/>
      <c r="M64" s="78"/>
      <c r="N64" s="1573"/>
    </row>
    <row r="65" spans="1:14" ht="15.75">
      <c r="A65" s="618" t="s">
        <v>372</v>
      </c>
      <c r="B65" s="75"/>
      <c r="C65" s="75"/>
      <c r="D65" s="75"/>
      <c r="E65" s="75"/>
      <c r="F65" s="75"/>
      <c r="G65" s="75"/>
      <c r="H65" s="75"/>
      <c r="I65" s="98"/>
      <c r="J65" s="104"/>
      <c r="K65" s="123" t="s">
        <v>373</v>
      </c>
      <c r="L65" s="121"/>
      <c r="M65" s="78"/>
      <c r="N65" s="1573"/>
    </row>
    <row r="66" spans="1:14" ht="15">
      <c r="A66" s="617"/>
      <c r="B66" s="121"/>
      <c r="C66" s="121"/>
      <c r="D66" s="121"/>
      <c r="E66" s="121"/>
      <c r="F66" s="121"/>
      <c r="G66" s="121"/>
      <c r="H66" s="121"/>
      <c r="I66" s="121"/>
      <c r="J66" s="121"/>
      <c r="K66" s="101"/>
      <c r="L66" s="121"/>
      <c r="M66" s="78"/>
      <c r="N66" s="1573"/>
    </row>
    <row r="67" spans="1:14" ht="15">
      <c r="A67" s="121" t="s">
        <v>375</v>
      </c>
      <c r="B67" s="121"/>
      <c r="C67" s="121"/>
      <c r="D67" s="121"/>
      <c r="E67" s="121"/>
      <c r="F67" s="121"/>
      <c r="G67" s="121"/>
      <c r="H67" s="121"/>
      <c r="I67" s="121"/>
      <c r="J67" s="121"/>
      <c r="K67" s="121"/>
      <c r="L67" s="121"/>
      <c r="M67" s="78"/>
      <c r="N67" s="1573"/>
    </row>
    <row r="68" spans="1:14" ht="15.75">
      <c r="A68" s="75" t="s">
        <v>376</v>
      </c>
      <c r="B68" s="1169"/>
      <c r="C68" s="75"/>
      <c r="D68" s="75"/>
      <c r="E68" s="75"/>
      <c r="F68" s="75"/>
      <c r="G68" s="75"/>
      <c r="H68" s="1377" t="s">
        <v>377</v>
      </c>
      <c r="I68" s="1376"/>
      <c r="J68" s="369">
        <f>J62+J65</f>
        <v>0</v>
      </c>
      <c r="K68" s="123" t="s">
        <v>374</v>
      </c>
      <c r="L68" s="121"/>
      <c r="M68" s="78"/>
      <c r="N68" s="1573"/>
    </row>
    <row r="69" spans="1:14" ht="15.75">
      <c r="A69" s="78"/>
      <c r="B69" s="99"/>
      <c r="C69" s="78"/>
      <c r="D69" s="78"/>
      <c r="E69" s="78"/>
      <c r="F69" s="78"/>
      <c r="G69" s="78"/>
      <c r="H69" s="78"/>
      <c r="I69" s="78"/>
      <c r="J69" s="78"/>
      <c r="K69" s="78"/>
      <c r="L69" s="121"/>
      <c r="M69" s="78"/>
      <c r="N69" s="1573"/>
    </row>
    <row r="70" spans="1:14" ht="15.75">
      <c r="A70" s="96" t="s">
        <v>2335</v>
      </c>
      <c r="B70" s="1169"/>
      <c r="C70" s="75"/>
      <c r="D70" s="75"/>
      <c r="E70" s="75"/>
      <c r="F70" s="75"/>
      <c r="G70" s="75"/>
      <c r="H70" s="75"/>
      <c r="I70" s="75"/>
      <c r="J70" s="98"/>
      <c r="K70" s="2">
        <v>174</v>
      </c>
      <c r="L70" s="1173">
        <f>MISC!L69</f>
        <v>0</v>
      </c>
      <c r="M70" s="123" t="s">
        <v>378</v>
      </c>
      <c r="N70" s="1573"/>
    </row>
    <row r="71" spans="1:14" ht="15.75">
      <c r="A71" s="96" t="s">
        <v>2336</v>
      </c>
      <c r="B71" s="1169"/>
      <c r="C71" s="75"/>
      <c r="D71" s="75"/>
      <c r="E71" s="75"/>
      <c r="F71" s="75"/>
      <c r="G71" s="75"/>
      <c r="H71" s="75"/>
      <c r="I71" s="75"/>
      <c r="J71" s="92"/>
      <c r="K71" s="1375">
        <v>176</v>
      </c>
      <c r="L71" s="1173">
        <f>MISC!L70</f>
        <v>0</v>
      </c>
      <c r="M71" s="123" t="s">
        <v>379</v>
      </c>
      <c r="N71" s="1573"/>
    </row>
    <row r="72" spans="1:14" ht="15.75">
      <c r="A72" s="96"/>
      <c r="B72" s="1169"/>
      <c r="C72" s="75"/>
      <c r="D72" s="75"/>
      <c r="E72" s="75"/>
      <c r="F72" s="75"/>
      <c r="G72" s="75"/>
      <c r="H72" s="75"/>
      <c r="I72" s="75"/>
      <c r="J72" s="187" t="s">
        <v>384</v>
      </c>
      <c r="K72" s="78"/>
      <c r="L72" s="1175">
        <f>L70+L71+L58</f>
        <v>0</v>
      </c>
      <c r="M72" s="123" t="s">
        <v>380</v>
      </c>
      <c r="N72" s="1573"/>
    </row>
    <row r="73" spans="1:14" ht="15.75">
      <c r="A73" s="76" t="s">
        <v>2159</v>
      </c>
      <c r="B73" s="1169"/>
      <c r="C73" s="76"/>
      <c r="D73" s="76"/>
      <c r="E73" s="76"/>
      <c r="F73" s="76"/>
      <c r="G73" s="76"/>
      <c r="H73" s="76"/>
      <c r="I73" s="76"/>
      <c r="J73" s="92"/>
      <c r="K73" s="2">
        <v>178</v>
      </c>
      <c r="L73" s="1174"/>
      <c r="M73" s="123" t="s">
        <v>381</v>
      </c>
      <c r="N73" s="1573"/>
    </row>
    <row r="74" spans="1:14" ht="15.75">
      <c r="A74" s="76"/>
      <c r="B74" s="1169"/>
      <c r="C74" s="76"/>
      <c r="D74" s="76"/>
      <c r="E74" s="76"/>
      <c r="F74" s="76"/>
      <c r="G74" s="76"/>
      <c r="H74" s="76"/>
      <c r="I74" s="163"/>
      <c r="J74" s="163" t="s">
        <v>388</v>
      </c>
      <c r="K74" s="1164" t="s">
        <v>741</v>
      </c>
      <c r="L74" s="1175">
        <f>L72-L73</f>
        <v>0</v>
      </c>
      <c r="M74" s="123" t="s">
        <v>382</v>
      </c>
      <c r="N74" s="1573"/>
    </row>
    <row r="75" spans="1:14" ht="15">
      <c r="A75" s="76" t="s">
        <v>2245</v>
      </c>
      <c r="B75" s="1169"/>
      <c r="C75" s="76"/>
      <c r="D75" s="76"/>
      <c r="E75" s="76"/>
      <c r="F75" s="76"/>
      <c r="G75" s="76"/>
      <c r="H75" s="76"/>
      <c r="I75" s="76"/>
      <c r="J75" s="187"/>
      <c r="K75" s="1165" t="s">
        <v>742</v>
      </c>
      <c r="L75" s="1176"/>
      <c r="M75" s="123" t="s">
        <v>383</v>
      </c>
      <c r="N75" s="1573"/>
    </row>
    <row r="76" spans="1:14" ht="15.75">
      <c r="A76" s="76"/>
      <c r="B76" s="1169"/>
      <c r="C76" s="76"/>
      <c r="D76" s="76"/>
      <c r="E76" s="76"/>
      <c r="F76" s="76"/>
      <c r="G76" s="76"/>
      <c r="H76" s="76"/>
      <c r="I76" s="163"/>
      <c r="J76" s="163" t="s">
        <v>389</v>
      </c>
      <c r="K76" s="1164" t="s">
        <v>743</v>
      </c>
      <c r="L76" s="1175">
        <f>L74+L75</f>
        <v>0</v>
      </c>
      <c r="M76" s="123" t="s">
        <v>898</v>
      </c>
      <c r="N76" s="1573"/>
    </row>
    <row r="77" spans="1:14" ht="33" customHeight="1">
      <c r="A77" s="97" t="str">
        <f>"Taxable capital gains (or net capital loss) in "&amp;yeartext&amp;":"</f>
        <v>Taxable capital gains (or net capital loss) in 2007:</v>
      </c>
      <c r="B77" s="99"/>
      <c r="C77" s="82"/>
      <c r="D77" s="82"/>
      <c r="E77" s="82"/>
      <c r="F77" s="82"/>
      <c r="G77" s="82"/>
      <c r="H77" s="82"/>
      <c r="I77" s="170"/>
      <c r="J77" s="82"/>
      <c r="K77" s="123"/>
      <c r="L77" s="78"/>
      <c r="M77" s="78"/>
      <c r="N77" s="1573"/>
    </row>
    <row r="78" spans="1:14" ht="15.75">
      <c r="A78" s="78" t="s">
        <v>194</v>
      </c>
      <c r="B78" s="121"/>
      <c r="C78" s="78"/>
      <c r="D78" s="78"/>
      <c r="E78" s="78"/>
      <c r="F78" s="78"/>
      <c r="G78" s="78"/>
      <c r="H78" s="78"/>
      <c r="I78" s="88"/>
      <c r="J78" s="121"/>
      <c r="K78" s="123"/>
      <c r="L78" s="78"/>
      <c r="M78" s="78"/>
      <c r="N78" s="1573"/>
    </row>
    <row r="79" spans="1:14" ht="15.75">
      <c r="A79" s="143" t="s">
        <v>1215</v>
      </c>
      <c r="B79" s="1169"/>
      <c r="C79" s="143"/>
      <c r="D79" s="143"/>
      <c r="E79" s="143"/>
      <c r="F79" s="143"/>
      <c r="G79" s="143"/>
      <c r="H79" s="143"/>
      <c r="I79" s="146"/>
      <c r="J79" s="188"/>
      <c r="K79" s="1166" t="s">
        <v>744</v>
      </c>
      <c r="L79" s="1163">
        <f>0.5*L76</f>
        <v>0</v>
      </c>
      <c r="M79" s="78"/>
      <c r="N79" s="1573"/>
    </row>
    <row r="80" spans="1:14" ht="15.75">
      <c r="A80" s="78"/>
      <c r="B80" s="99"/>
      <c r="C80" s="78"/>
      <c r="D80" s="78"/>
      <c r="E80" s="78"/>
      <c r="F80" s="78"/>
      <c r="G80" s="78"/>
      <c r="H80" s="78"/>
      <c r="I80" s="88"/>
      <c r="J80" s="78"/>
      <c r="K80" s="78"/>
      <c r="L80" s="78"/>
      <c r="M80" s="78"/>
      <c r="N80" s="1573"/>
    </row>
    <row r="81" spans="1:14" ht="39" customHeight="1">
      <c r="A81" s="78" t="s">
        <v>984</v>
      </c>
      <c r="B81" s="121"/>
      <c r="C81" s="78"/>
      <c r="D81" s="78"/>
      <c r="E81" s="78"/>
      <c r="F81" s="78"/>
      <c r="G81" s="78"/>
      <c r="H81" s="78"/>
      <c r="I81" s="88"/>
      <c r="J81" s="78"/>
      <c r="K81" s="78"/>
      <c r="L81" s="115"/>
      <c r="M81" s="78"/>
      <c r="N81" s="1573"/>
    </row>
    <row r="82" spans="1:14" ht="15">
      <c r="A82" s="607"/>
      <c r="B82" s="78"/>
      <c r="C82" s="78"/>
      <c r="D82" s="78"/>
      <c r="E82" s="78"/>
      <c r="F82" s="78"/>
      <c r="G82" s="78"/>
      <c r="H82" s="78"/>
      <c r="I82" s="78"/>
      <c r="J82" s="78"/>
      <c r="K82" s="78"/>
      <c r="L82" s="78" t="s">
        <v>214</v>
      </c>
      <c r="M82" s="78"/>
      <c r="N82" s="1573"/>
    </row>
  </sheetData>
  <sheetProtection password="EC35" sheet="1" objects="1" scenarios="1"/>
  <mergeCells count="59">
    <mergeCell ref="J39:K39"/>
    <mergeCell ref="F25:G25"/>
    <mergeCell ref="F31:G31"/>
    <mergeCell ref="F23:G23"/>
    <mergeCell ref="F20:G20"/>
    <mergeCell ref="N1:N82"/>
    <mergeCell ref="F9:L9"/>
    <mergeCell ref="J31:K31"/>
    <mergeCell ref="J5:K5"/>
    <mergeCell ref="J6:K6"/>
    <mergeCell ref="J7:K7"/>
    <mergeCell ref="J35:K35"/>
    <mergeCell ref="J8:K8"/>
    <mergeCell ref="A56:J57"/>
    <mergeCell ref="A18:D18"/>
    <mergeCell ref="F39:G39"/>
    <mergeCell ref="A28:L28"/>
    <mergeCell ref="C14:E14"/>
    <mergeCell ref="A20:D20"/>
    <mergeCell ref="A22:D22"/>
    <mergeCell ref="A25:D25"/>
    <mergeCell ref="F35:G35"/>
    <mergeCell ref="F14:G14"/>
    <mergeCell ref="F18:G18"/>
    <mergeCell ref="F5:G5"/>
    <mergeCell ref="F6:G6"/>
    <mergeCell ref="F7:G7"/>
    <mergeCell ref="F8:G8"/>
    <mergeCell ref="J49:K49"/>
    <mergeCell ref="F43:G43"/>
    <mergeCell ref="F46:G46"/>
    <mergeCell ref="F49:G49"/>
    <mergeCell ref="J43:K43"/>
    <mergeCell ref="J46:K46"/>
    <mergeCell ref="A8:B8"/>
    <mergeCell ref="A38:B38"/>
    <mergeCell ref="A14:B14"/>
    <mergeCell ref="A17:D17"/>
    <mergeCell ref="A19:D19"/>
    <mergeCell ref="A23:D23"/>
    <mergeCell ref="A24:D24"/>
    <mergeCell ref="A11:B11"/>
    <mergeCell ref="A10:L10"/>
    <mergeCell ref="A12:B12"/>
    <mergeCell ref="A13:B13"/>
    <mergeCell ref="C11:E11"/>
    <mergeCell ref="C13:E13"/>
    <mergeCell ref="F12:G12"/>
    <mergeCell ref="C12:E12"/>
    <mergeCell ref="A46:E46"/>
    <mergeCell ref="A49:E49"/>
    <mergeCell ref="A30:B30"/>
    <mergeCell ref="A31:B31"/>
    <mergeCell ref="A43:D43"/>
    <mergeCell ref="D38:E38"/>
    <mergeCell ref="D39:E39"/>
    <mergeCell ref="C31:E31"/>
    <mergeCell ref="A39:B39"/>
    <mergeCell ref="A35:D35"/>
  </mergeCells>
  <hyperlinks>
    <hyperlink ref="N1:N82" location="'GO TO'!B12" display=" "/>
  </hyperlinks>
  <printOptions horizontalCentered="1"/>
  <pageMargins left="0.261811024" right="0.261811024" top="0.3" bottom="0.261811024" header="0.511811023622047" footer="0.511811023622047"/>
  <pageSetup fitToHeight="0" fitToWidth="1" horizontalDpi="600" verticalDpi="600" orientation="portrait" scale="74" r:id="rId3"/>
  <rowBreaks count="1" manualBreakCount="1">
    <brk id="53" max="12" man="1"/>
  </rowBreaks>
  <legacyDrawing r:id="rId2"/>
</worksheet>
</file>

<file path=xl/worksheets/sheet17.xml><?xml version="1.0" encoding="utf-8"?>
<worksheet xmlns="http://schemas.openxmlformats.org/spreadsheetml/2006/main" xmlns:r="http://schemas.openxmlformats.org/officeDocument/2006/relationships">
  <sheetPr codeName="Sheet14" transitionEvaluation="1">
    <pageSetUpPr fitToPage="1"/>
  </sheetPr>
  <dimension ref="A1:G31"/>
  <sheetViews>
    <sheetView showGridLines="0" zoomScale="75" zoomScaleNormal="75" workbookViewId="0" topLeftCell="A1">
      <selection activeCell="A2" sqref="A2"/>
    </sheetView>
  </sheetViews>
  <sheetFormatPr defaultColWidth="9.77734375" defaultRowHeight="15"/>
  <cols>
    <col min="1" max="1" width="6.10546875" style="608" customWidth="1"/>
    <col min="2" max="2" width="23.3359375" style="608" customWidth="1"/>
    <col min="3" max="3" width="57.88671875" style="608" customWidth="1"/>
    <col min="4" max="4" width="5.21484375" style="608" customWidth="1"/>
    <col min="5" max="5" width="12.77734375" style="608" customWidth="1"/>
    <col min="6" max="6" width="3.4453125" style="608" customWidth="1"/>
    <col min="7" max="16384" width="9.77734375" style="608" customWidth="1"/>
  </cols>
  <sheetData>
    <row r="1" spans="1:7" ht="20.25">
      <c r="A1" s="74" t="str">
        <f>"T1-"&amp;yeartext</f>
        <v>T1-2007</v>
      </c>
      <c r="B1" s="86"/>
      <c r="C1" s="1236" t="s">
        <v>635</v>
      </c>
      <c r="D1" s="86"/>
      <c r="E1" s="1344" t="s">
        <v>636</v>
      </c>
      <c r="F1" s="78"/>
      <c r="G1" s="1573" t="s">
        <v>1659</v>
      </c>
    </row>
    <row r="2" spans="1:7" ht="15">
      <c r="A2" s="607"/>
      <c r="B2" s="78"/>
      <c r="C2" s="78"/>
      <c r="D2" s="78"/>
      <c r="E2" s="78"/>
      <c r="F2" s="78"/>
      <c r="G2" s="1573"/>
    </row>
    <row r="3" spans="1:7" ht="15">
      <c r="A3" s="78" t="s">
        <v>637</v>
      </c>
      <c r="B3" s="78"/>
      <c r="C3" s="78"/>
      <c r="D3" s="78"/>
      <c r="E3" s="78"/>
      <c r="F3" s="78"/>
      <c r="G3" s="1573"/>
    </row>
    <row r="4" spans="1:7" ht="15">
      <c r="A4" s="78" t="s">
        <v>178</v>
      </c>
      <c r="B4" s="78"/>
      <c r="C4" s="78"/>
      <c r="D4" s="78"/>
      <c r="E4" s="78"/>
      <c r="F4" s="78"/>
      <c r="G4" s="1573"/>
    </row>
    <row r="5" spans="1:7" ht="15">
      <c r="A5" s="607"/>
      <c r="B5" s="78"/>
      <c r="C5" s="78"/>
      <c r="D5" s="78"/>
      <c r="E5" s="78"/>
      <c r="F5" s="78"/>
      <c r="G5" s="1573"/>
    </row>
    <row r="6" spans="1:7" ht="15.75">
      <c r="A6" s="665" t="s">
        <v>1374</v>
      </c>
      <c r="B6" s="95" t="s">
        <v>1353</v>
      </c>
      <c r="C6" s="78"/>
      <c r="D6" s="78"/>
      <c r="E6" s="121"/>
      <c r="F6" s="78"/>
      <c r="G6" s="1573"/>
    </row>
    <row r="7" spans="1:7" ht="15.75">
      <c r="A7" s="665"/>
      <c r="B7" s="78" t="s">
        <v>1354</v>
      </c>
      <c r="C7" s="78"/>
      <c r="D7" s="78"/>
      <c r="E7" s="369"/>
      <c r="F7" s="173" t="s">
        <v>661</v>
      </c>
      <c r="G7" s="1573"/>
    </row>
    <row r="8" spans="1:7" ht="15.75">
      <c r="A8" s="665"/>
      <c r="B8" s="1653" t="s">
        <v>2342</v>
      </c>
      <c r="C8" s="1653"/>
      <c r="D8" s="79"/>
      <c r="E8" s="384">
        <f>'Sch4-2'!E28</f>
        <v>0</v>
      </c>
      <c r="F8" s="173" t="s">
        <v>698</v>
      </c>
      <c r="G8" s="1573"/>
    </row>
    <row r="9" spans="1:7" ht="16.5" thickBot="1">
      <c r="A9" s="665"/>
      <c r="B9" s="1653"/>
      <c r="C9" s="1653"/>
      <c r="D9" s="79"/>
      <c r="E9" s="733"/>
      <c r="F9" s="173" t="s">
        <v>699</v>
      </c>
      <c r="G9" s="1573"/>
    </row>
    <row r="10" spans="1:7" ht="15.75">
      <c r="A10" s="665"/>
      <c r="B10" s="144"/>
      <c r="C10" s="151" t="s">
        <v>2166</v>
      </c>
      <c r="D10" s="190">
        <v>180</v>
      </c>
      <c r="E10" s="651">
        <f>SUM(E7:E9)</f>
        <v>0</v>
      </c>
      <c r="F10" s="173" t="s">
        <v>700</v>
      </c>
      <c r="G10" s="1573"/>
    </row>
    <row r="11" spans="1:7" ht="15.75">
      <c r="A11" s="666"/>
      <c r="B11" s="78" t="s">
        <v>1355</v>
      </c>
      <c r="C11" s="78"/>
      <c r="D11" s="79"/>
      <c r="E11" s="369"/>
      <c r="F11" s="173" t="s">
        <v>701</v>
      </c>
      <c r="G11" s="1573"/>
    </row>
    <row r="12" spans="1:7" ht="15.75">
      <c r="A12" s="666"/>
      <c r="B12" s="1653" t="s">
        <v>2342</v>
      </c>
      <c r="C12" s="1653"/>
      <c r="D12" s="79"/>
      <c r="E12" s="384">
        <f>'Sch4-2'!E50</f>
        <v>0</v>
      </c>
      <c r="F12" s="173" t="s">
        <v>702</v>
      </c>
      <c r="G12" s="1573"/>
    </row>
    <row r="13" spans="1:7" ht="15.75">
      <c r="A13" s="666"/>
      <c r="B13" s="1653"/>
      <c r="C13" s="1653"/>
      <c r="D13" s="79"/>
      <c r="E13" s="384"/>
      <c r="F13" s="173" t="s">
        <v>64</v>
      </c>
      <c r="G13" s="1573"/>
    </row>
    <row r="14" spans="1:7" ht="15">
      <c r="A14" s="666"/>
      <c r="B14" s="144"/>
      <c r="C14" s="151" t="s">
        <v>2167</v>
      </c>
      <c r="D14" s="190">
        <v>120</v>
      </c>
      <c r="E14" s="654">
        <f>SUM(E10:E13)</f>
        <v>0</v>
      </c>
      <c r="F14" s="78"/>
      <c r="G14" s="1573"/>
    </row>
    <row r="15" spans="1:7" ht="22.5" customHeight="1">
      <c r="A15" s="665" t="s">
        <v>1375</v>
      </c>
      <c r="B15" s="95" t="s">
        <v>1091</v>
      </c>
      <c r="C15" s="78"/>
      <c r="D15" s="79"/>
      <c r="E15" s="78"/>
      <c r="F15" s="78"/>
      <c r="G15" s="1573"/>
    </row>
    <row r="16" spans="1:7" ht="15">
      <c r="A16" s="666"/>
      <c r="B16" s="78" t="s">
        <v>1727</v>
      </c>
      <c r="C16" s="383"/>
      <c r="D16" s="79"/>
      <c r="E16" s="369"/>
      <c r="F16" s="78"/>
      <c r="G16" s="1573"/>
    </row>
    <row r="17" spans="1:7" ht="15">
      <c r="A17" s="666"/>
      <c r="B17" s="1653" t="s">
        <v>2342</v>
      </c>
      <c r="C17" s="1653"/>
      <c r="D17" s="79"/>
      <c r="E17" s="384">
        <f>'Sch4-2'!E67</f>
        <v>0</v>
      </c>
      <c r="F17" s="78"/>
      <c r="G17" s="1573"/>
    </row>
    <row r="18" spans="1:7" ht="15">
      <c r="A18" s="666"/>
      <c r="B18" s="1653"/>
      <c r="C18" s="1653"/>
      <c r="D18" s="79"/>
      <c r="E18" s="369"/>
      <c r="F18" s="78"/>
      <c r="G18" s="1573"/>
    </row>
    <row r="19" spans="1:7" ht="15">
      <c r="A19" s="666"/>
      <c r="B19" s="76" t="s">
        <v>638</v>
      </c>
      <c r="C19" s="383"/>
      <c r="D19" s="79"/>
      <c r="E19" s="369"/>
      <c r="F19" s="78"/>
      <c r="G19" s="1573"/>
    </row>
    <row r="20" spans="1:7" ht="15">
      <c r="A20" s="666"/>
      <c r="B20" s="75"/>
      <c r="C20" s="90" t="s">
        <v>1990</v>
      </c>
      <c r="D20" s="190">
        <v>121</v>
      </c>
      <c r="E20" s="654">
        <f>SUM(E16:E19)</f>
        <v>0</v>
      </c>
      <c r="F20" s="78"/>
      <c r="G20" s="1573"/>
    </row>
    <row r="21" spans="1:7" ht="22.5" customHeight="1">
      <c r="A21" s="665" t="s">
        <v>1376</v>
      </c>
      <c r="B21" s="95" t="s">
        <v>1525</v>
      </c>
      <c r="C21" s="78"/>
      <c r="D21" s="79"/>
      <c r="E21" s="78"/>
      <c r="F21" s="78"/>
      <c r="G21" s="1573"/>
    </row>
    <row r="22" spans="1:7" ht="15">
      <c r="A22" s="666"/>
      <c r="B22" s="1653" t="s">
        <v>2342</v>
      </c>
      <c r="C22" s="1653"/>
      <c r="D22" s="79"/>
      <c r="E22" s="384">
        <f>'Sch4-2'!E76</f>
        <v>0</v>
      </c>
      <c r="F22" s="78"/>
      <c r="G22" s="1573"/>
    </row>
    <row r="23" spans="1:7" ht="15">
      <c r="A23" s="666"/>
      <c r="B23" s="1653"/>
      <c r="C23" s="1653"/>
      <c r="D23" s="79"/>
      <c r="E23" s="369"/>
      <c r="F23" s="78"/>
      <c r="G23" s="1573"/>
    </row>
    <row r="24" spans="1:7" ht="15">
      <c r="A24" s="666"/>
      <c r="B24" s="144"/>
      <c r="C24" s="90" t="s">
        <v>1991</v>
      </c>
      <c r="D24" s="190">
        <v>122</v>
      </c>
      <c r="E24" s="654">
        <f>SUM(E22:E23)</f>
        <v>0</v>
      </c>
      <c r="F24" s="78"/>
      <c r="G24" s="1573"/>
    </row>
    <row r="25" spans="1:7" ht="21.75" customHeight="1">
      <c r="A25" s="665" t="s">
        <v>241</v>
      </c>
      <c r="B25" s="95" t="s">
        <v>1508</v>
      </c>
      <c r="C25" s="78"/>
      <c r="D25" s="79"/>
      <c r="E25" s="78"/>
      <c r="F25" s="78"/>
      <c r="G25" s="1573"/>
    </row>
    <row r="26" spans="1:7" ht="15">
      <c r="A26" s="666"/>
      <c r="B26" s="75" t="s">
        <v>1291</v>
      </c>
      <c r="C26" s="385" t="s">
        <v>2342</v>
      </c>
      <c r="D26" s="79"/>
      <c r="E26" s="369">
        <f>'Sch4-2'!E78+'Sch4-2'!E79</f>
        <v>0</v>
      </c>
      <c r="F26" s="78"/>
      <c r="G26" s="1573"/>
    </row>
    <row r="27" spans="1:7" ht="15">
      <c r="A27" s="666"/>
      <c r="B27" s="76" t="s">
        <v>1292</v>
      </c>
      <c r="C27" s="380" t="s">
        <v>2342</v>
      </c>
      <c r="D27" s="79"/>
      <c r="E27" s="369">
        <f>'Sch4-2'!E80+'Sch4-2'!E81</f>
        <v>0</v>
      </c>
      <c r="F27" s="78"/>
      <c r="G27" s="1573"/>
    </row>
    <row r="28" spans="1:7" ht="15">
      <c r="A28" s="666"/>
      <c r="B28" s="76"/>
      <c r="C28" s="90" t="s">
        <v>1992</v>
      </c>
      <c r="D28" s="190">
        <v>221</v>
      </c>
      <c r="E28" s="654">
        <f>SUM(E26:E27)</f>
        <v>0</v>
      </c>
      <c r="F28" s="78"/>
      <c r="G28" s="1573"/>
    </row>
    <row r="29" spans="1:7" ht="15">
      <c r="A29" s="666"/>
      <c r="B29" s="78"/>
      <c r="C29" s="78"/>
      <c r="D29" s="78"/>
      <c r="E29" s="78"/>
      <c r="F29" s="78"/>
      <c r="G29" s="1573"/>
    </row>
    <row r="30" spans="1:7" ht="15">
      <c r="A30" s="666"/>
      <c r="B30" s="78" t="s">
        <v>1083</v>
      </c>
      <c r="C30" s="79"/>
      <c r="D30" s="79"/>
      <c r="E30" s="79"/>
      <c r="F30" s="78" t="s">
        <v>127</v>
      </c>
      <c r="G30" s="1573"/>
    </row>
    <row r="31" spans="1:7" ht="15">
      <c r="A31" s="666"/>
      <c r="B31" s="78"/>
      <c r="C31" s="78"/>
      <c r="D31" s="78"/>
      <c r="E31" s="78" t="s">
        <v>205</v>
      </c>
      <c r="F31" s="78"/>
      <c r="G31" s="1573"/>
    </row>
  </sheetData>
  <sheetProtection password="EC35" sheet="1" objects="1" scenarios="1"/>
  <mergeCells count="9">
    <mergeCell ref="G1:G31"/>
    <mergeCell ref="B22:C22"/>
    <mergeCell ref="B23:C23"/>
    <mergeCell ref="B12:C12"/>
    <mergeCell ref="B13:C13"/>
    <mergeCell ref="B17:C17"/>
    <mergeCell ref="B18:C18"/>
    <mergeCell ref="B8:C8"/>
    <mergeCell ref="B9:C9"/>
  </mergeCells>
  <hyperlinks>
    <hyperlink ref="G1:G31" location="'GO TO'!B13" display=" "/>
  </hyperlinks>
  <printOptions horizontalCentered="1"/>
  <pageMargins left="0.31496062992125984" right="0.31496062992125984" top="0.31496062992125984" bottom="0.31496062992125984" header="0.5118110236220472" footer="0.5118110236220472"/>
  <pageSetup fitToHeight="0" fitToWidth="1" horizontalDpi="600" verticalDpi="600" orientation="portrait" scale="77" r:id="rId3"/>
  <rowBreaks count="1" manualBreakCount="1">
    <brk id="63" max="65535" man="1"/>
  </rowBreaks>
  <legacyDrawing r:id="rId2"/>
</worksheet>
</file>

<file path=xl/worksheets/sheet18.xml><?xml version="1.0" encoding="utf-8"?>
<worksheet xmlns="http://schemas.openxmlformats.org/spreadsheetml/2006/main" xmlns:r="http://schemas.openxmlformats.org/officeDocument/2006/relationships">
  <sheetPr codeName="Sheet141" transitionEvaluation="1">
    <pageSetUpPr fitToPage="1"/>
  </sheetPr>
  <dimension ref="A1:G84"/>
  <sheetViews>
    <sheetView showGridLines="0" zoomScale="75" zoomScaleNormal="75" workbookViewId="0" topLeftCell="A1">
      <selection activeCell="A2" sqref="A2"/>
    </sheetView>
  </sheetViews>
  <sheetFormatPr defaultColWidth="9.77734375" defaultRowHeight="15"/>
  <cols>
    <col min="1" max="1" width="6.10546875" style="608" customWidth="1"/>
    <col min="2" max="2" width="23.3359375" style="608" customWidth="1"/>
    <col min="3" max="3" width="57.88671875" style="608" customWidth="1"/>
    <col min="4" max="4" width="5.21484375" style="608" customWidth="1"/>
    <col min="5" max="5" width="12.77734375" style="608" customWidth="1"/>
    <col min="6" max="6" width="3.4453125" style="608" customWidth="1"/>
    <col min="7" max="16384" width="9.77734375" style="608" customWidth="1"/>
  </cols>
  <sheetData>
    <row r="1" spans="1:7" ht="20.25">
      <c r="A1" s="74" t="str">
        <f>"T1-"&amp;yeartext</f>
        <v>T1-2007</v>
      </c>
      <c r="B1" s="86"/>
      <c r="C1" s="1343" t="s">
        <v>1996</v>
      </c>
      <c r="D1" s="86"/>
      <c r="E1" s="189"/>
      <c r="F1" s="78"/>
      <c r="G1" s="1573" t="s">
        <v>1659</v>
      </c>
    </row>
    <row r="2" spans="1:7" ht="15">
      <c r="A2" s="607"/>
      <c r="B2" s="78"/>
      <c r="C2" s="78"/>
      <c r="D2" s="78"/>
      <c r="E2" s="78"/>
      <c r="F2" s="78"/>
      <c r="G2" s="1573"/>
    </row>
    <row r="3" spans="1:7" ht="15">
      <c r="A3" s="78" t="s">
        <v>637</v>
      </c>
      <c r="B3" s="78"/>
      <c r="C3" s="78"/>
      <c r="D3" s="78"/>
      <c r="E3" s="78"/>
      <c r="F3" s="78"/>
      <c r="G3" s="1573"/>
    </row>
    <row r="4" spans="1:7" ht="15">
      <c r="A4" s="78" t="s">
        <v>178</v>
      </c>
      <c r="B4" s="78"/>
      <c r="C4" s="78"/>
      <c r="D4" s="78"/>
      <c r="E4" s="78"/>
      <c r="F4" s="78"/>
      <c r="G4" s="1573"/>
    </row>
    <row r="5" spans="1:7" ht="15">
      <c r="A5" s="607"/>
      <c r="B5" s="78"/>
      <c r="C5" s="78"/>
      <c r="D5" s="78"/>
      <c r="E5" s="78"/>
      <c r="F5" s="78"/>
      <c r="G5" s="1573"/>
    </row>
    <row r="6" spans="1:7" ht="15.75">
      <c r="A6" s="665" t="s">
        <v>1374</v>
      </c>
      <c r="B6" s="95" t="s">
        <v>1353</v>
      </c>
      <c r="C6" s="78"/>
      <c r="D6" s="78"/>
      <c r="E6" s="79"/>
      <c r="F6" s="78"/>
      <c r="G6" s="1573"/>
    </row>
    <row r="7" spans="1:7" ht="15.75">
      <c r="A7" s="665"/>
      <c r="B7" s="78" t="s">
        <v>1354</v>
      </c>
      <c r="C7" s="78"/>
      <c r="D7" s="78"/>
      <c r="E7" s="79" t="s">
        <v>1802</v>
      </c>
      <c r="F7" s="78"/>
      <c r="G7" s="1573"/>
    </row>
    <row r="8" spans="1:7" ht="15">
      <c r="A8" s="667">
        <v>1</v>
      </c>
      <c r="B8" s="1657">
        <f>IF(('T4PS'!E23)&gt;0,'T4PS'!E17,"")</f>
      </c>
      <c r="C8" s="1657"/>
      <c r="D8" s="79"/>
      <c r="E8" s="381">
        <f>IF('T4PS'!E23&gt;0,'T4PS'!E23,"")</f>
      </c>
      <c r="F8" s="78"/>
      <c r="G8" s="1573"/>
    </row>
    <row r="9" spans="1:7" ht="15">
      <c r="A9" s="667">
        <f>A8+1</f>
        <v>2</v>
      </c>
      <c r="B9" s="1658">
        <f>IF('T4PS'!F23&gt;0,'T4PS'!F17,"")</f>
      </c>
      <c r="C9" s="1658"/>
      <c r="D9" s="79"/>
      <c r="E9" s="382">
        <f>IF('T4PS'!F23&gt;0,'T4PS'!F23,"")</f>
      </c>
      <c r="F9" s="78"/>
      <c r="G9" s="1573"/>
    </row>
    <row r="10" spans="1:7" ht="15">
      <c r="A10" s="667">
        <f aca="true" t="shared" si="0" ref="A10:A27">A9+1</f>
        <v>3</v>
      </c>
      <c r="B10" s="1658">
        <f>IF('T4PS'!G23&gt;0,'T4PS'!G17,"")</f>
      </c>
      <c r="C10" s="1658"/>
      <c r="D10" s="79"/>
      <c r="E10" s="382">
        <f>IF('T4PS'!G23&gt;0,'T4PS'!G23,"")</f>
      </c>
      <c r="F10" s="78"/>
      <c r="G10" s="1573"/>
    </row>
    <row r="11" spans="1:7" ht="15">
      <c r="A11" s="667">
        <f t="shared" si="0"/>
        <v>4</v>
      </c>
      <c r="B11" s="1658">
        <f>IF('T4PS'!H23&gt;0,'T4PS'!H17,"")</f>
      </c>
      <c r="C11" s="1658"/>
      <c r="D11" s="79"/>
      <c r="E11" s="382">
        <f>IF('T4PS'!H23&gt;0,'T4PS'!H23,"")</f>
      </c>
      <c r="F11" s="78"/>
      <c r="G11" s="1573"/>
    </row>
    <row r="12" spans="1:7" ht="15">
      <c r="A12" s="667">
        <f t="shared" si="0"/>
        <v>5</v>
      </c>
      <c r="B12" s="1658">
        <f>IF('T4PS'!I23&gt;0,'T4PS'!I17,"")</f>
      </c>
      <c r="C12" s="1658"/>
      <c r="D12" s="79"/>
      <c r="E12" s="382">
        <f>IF('T4PS'!I23&gt;0,'T4PS'!I23,"")</f>
      </c>
      <c r="F12" s="78"/>
      <c r="G12" s="1573"/>
    </row>
    <row r="13" spans="1:7" ht="15">
      <c r="A13" s="667">
        <f t="shared" si="0"/>
        <v>6</v>
      </c>
      <c r="B13" s="1654"/>
      <c r="C13" s="1654"/>
      <c r="D13" s="79"/>
      <c r="E13" s="93"/>
      <c r="F13" s="78"/>
      <c r="G13" s="1573"/>
    </row>
    <row r="14" spans="1:7" ht="15">
      <c r="A14" s="667">
        <f t="shared" si="0"/>
        <v>7</v>
      </c>
      <c r="B14" s="1654"/>
      <c r="C14" s="1654"/>
      <c r="D14" s="79"/>
      <c r="E14" s="93"/>
      <c r="F14" s="78"/>
      <c r="G14" s="1573"/>
    </row>
    <row r="15" spans="1:7" ht="15">
      <c r="A15" s="667">
        <f t="shared" si="0"/>
        <v>8</v>
      </c>
      <c r="B15" s="1654"/>
      <c r="C15" s="1654"/>
      <c r="D15" s="79"/>
      <c r="E15" s="93"/>
      <c r="F15" s="78"/>
      <c r="G15" s="1573"/>
    </row>
    <row r="16" spans="1:7" ht="15">
      <c r="A16" s="667">
        <f t="shared" si="0"/>
        <v>9</v>
      </c>
      <c r="B16" s="1654"/>
      <c r="C16" s="1654"/>
      <c r="D16" s="79"/>
      <c r="E16" s="93"/>
      <c r="F16" s="78"/>
      <c r="G16" s="1573"/>
    </row>
    <row r="17" spans="1:7" ht="15">
      <c r="A17" s="667">
        <f t="shared" si="0"/>
        <v>10</v>
      </c>
      <c r="B17" s="1654"/>
      <c r="C17" s="1654"/>
      <c r="D17" s="79"/>
      <c r="E17" s="93"/>
      <c r="F17" s="78"/>
      <c r="G17" s="1573"/>
    </row>
    <row r="18" spans="1:7" ht="15">
      <c r="A18" s="667">
        <f t="shared" si="0"/>
        <v>11</v>
      </c>
      <c r="B18" s="1654"/>
      <c r="C18" s="1654"/>
      <c r="D18" s="79"/>
      <c r="E18" s="93"/>
      <c r="F18" s="78"/>
      <c r="G18" s="1573"/>
    </row>
    <row r="19" spans="1:7" ht="15">
      <c r="A19" s="667">
        <f t="shared" si="0"/>
        <v>12</v>
      </c>
      <c r="B19" s="1654"/>
      <c r="C19" s="1654"/>
      <c r="D19" s="79"/>
      <c r="E19" s="93"/>
      <c r="F19" s="78"/>
      <c r="G19" s="1573"/>
    </row>
    <row r="20" spans="1:7" ht="15">
      <c r="A20" s="667">
        <f t="shared" si="0"/>
        <v>13</v>
      </c>
      <c r="B20" s="1654"/>
      <c r="C20" s="1654"/>
      <c r="D20" s="79"/>
      <c r="E20" s="93"/>
      <c r="F20" s="78"/>
      <c r="G20" s="1573"/>
    </row>
    <row r="21" spans="1:7" ht="15">
      <c r="A21" s="667">
        <f t="shared" si="0"/>
        <v>14</v>
      </c>
      <c r="B21" s="1654"/>
      <c r="C21" s="1654"/>
      <c r="D21" s="79"/>
      <c r="E21" s="93"/>
      <c r="F21" s="78"/>
      <c r="G21" s="1573"/>
    </row>
    <row r="22" spans="1:7" ht="15">
      <c r="A22" s="667">
        <f t="shared" si="0"/>
        <v>15</v>
      </c>
      <c r="B22" s="1654"/>
      <c r="C22" s="1654"/>
      <c r="D22" s="79"/>
      <c r="E22" s="93"/>
      <c r="F22" s="78"/>
      <c r="G22" s="1573"/>
    </row>
    <row r="23" spans="1:7" ht="15">
      <c r="A23" s="667">
        <f t="shared" si="0"/>
        <v>16</v>
      </c>
      <c r="B23" s="1654"/>
      <c r="C23" s="1654"/>
      <c r="D23" s="79"/>
      <c r="E23" s="93"/>
      <c r="F23" s="78"/>
      <c r="G23" s="1573"/>
    </row>
    <row r="24" spans="1:7" ht="15">
      <c r="A24" s="667">
        <f t="shared" si="0"/>
        <v>17</v>
      </c>
      <c r="B24" s="1654"/>
      <c r="C24" s="1654"/>
      <c r="D24" s="79"/>
      <c r="E24" s="93"/>
      <c r="F24" s="78"/>
      <c r="G24" s="1573"/>
    </row>
    <row r="25" spans="1:7" ht="15">
      <c r="A25" s="667">
        <f t="shared" si="0"/>
        <v>18</v>
      </c>
      <c r="B25" s="1654"/>
      <c r="C25" s="1654"/>
      <c r="D25" s="79"/>
      <c r="E25" s="93"/>
      <c r="F25" s="78"/>
      <c r="G25" s="1573"/>
    </row>
    <row r="26" spans="1:7" ht="15">
      <c r="A26" s="667">
        <f t="shared" si="0"/>
        <v>19</v>
      </c>
      <c r="B26" s="1654"/>
      <c r="C26" s="1654"/>
      <c r="D26" s="79"/>
      <c r="E26" s="93"/>
      <c r="F26" s="78"/>
      <c r="G26" s="1573"/>
    </row>
    <row r="27" spans="1:7" ht="15">
      <c r="A27" s="667">
        <f t="shared" si="0"/>
        <v>20</v>
      </c>
      <c r="B27" s="1654"/>
      <c r="C27" s="1654"/>
      <c r="D27" s="79"/>
      <c r="E27" s="93"/>
      <c r="F27" s="78"/>
      <c r="G27" s="1573"/>
    </row>
    <row r="28" spans="1:7" ht="15">
      <c r="A28" s="667"/>
      <c r="B28" s="486"/>
      <c r="C28" s="1161" t="s">
        <v>2168</v>
      </c>
      <c r="D28" s="190">
        <v>180</v>
      </c>
      <c r="E28" s="384">
        <f>SUM(E8:E27)</f>
        <v>0</v>
      </c>
      <c r="F28" s="78"/>
      <c r="G28" s="1573"/>
    </row>
    <row r="29" spans="1:7" ht="15.75">
      <c r="A29" s="665"/>
      <c r="B29" s="78" t="s">
        <v>1355</v>
      </c>
      <c r="C29" s="78"/>
      <c r="D29" s="78"/>
      <c r="E29" s="79"/>
      <c r="F29" s="78"/>
      <c r="G29" s="1573"/>
    </row>
    <row r="30" spans="1:7" ht="15">
      <c r="A30" s="667">
        <v>21</v>
      </c>
      <c r="B30" s="1657">
        <f>IF(('T4PS'!E30)&gt;0,'T4PS'!E17,"")</f>
      </c>
      <c r="C30" s="1657"/>
      <c r="D30" s="79"/>
      <c r="E30" s="381">
        <f>IF('T4PS'!E30&gt;0,'T4PS'!E30,"")</f>
      </c>
      <c r="F30" s="78"/>
      <c r="G30" s="1573"/>
    </row>
    <row r="31" spans="1:7" ht="15">
      <c r="A31" s="667">
        <f>A30+1</f>
        <v>22</v>
      </c>
      <c r="B31" s="1658">
        <f>IF('T4PS'!F30&gt;0,'T4PS'!F17,"")</f>
      </c>
      <c r="C31" s="1658"/>
      <c r="D31" s="79"/>
      <c r="E31" s="382">
        <f>IF('T4PS'!F30&gt;0,'T4PS'!F30,"")</f>
      </c>
      <c r="F31" s="78"/>
      <c r="G31" s="1573"/>
    </row>
    <row r="32" spans="1:7" ht="15">
      <c r="A32" s="667">
        <f aca="true" t="shared" si="1" ref="A32:A49">A31+1</f>
        <v>23</v>
      </c>
      <c r="B32" s="1658">
        <f>IF('T4PS'!G30&gt;0,'T4PS'!G17,"")</f>
      </c>
      <c r="C32" s="1658"/>
      <c r="D32" s="79"/>
      <c r="E32" s="382">
        <f>IF('T4PS'!G30&gt;0,'T4PS'!G30,"")</f>
      </c>
      <c r="F32" s="78"/>
      <c r="G32" s="1573"/>
    </row>
    <row r="33" spans="1:7" ht="15">
      <c r="A33" s="667">
        <f t="shared" si="1"/>
        <v>24</v>
      </c>
      <c r="B33" s="1658">
        <f>IF('T4PS'!H30&gt;0,'T4PS'!H17,"")</f>
      </c>
      <c r="C33" s="1658"/>
      <c r="D33" s="79"/>
      <c r="E33" s="382">
        <f>IF('T4PS'!H30&gt;0,'T4PS'!H30,"")</f>
      </c>
      <c r="F33" s="78"/>
      <c r="G33" s="1573"/>
    </row>
    <row r="34" spans="1:7" ht="15">
      <c r="A34" s="667">
        <f t="shared" si="1"/>
        <v>25</v>
      </c>
      <c r="B34" s="1658">
        <f>IF('T4PS'!I30&gt;0,'T4PS'!I17,"")</f>
      </c>
      <c r="C34" s="1658"/>
      <c r="D34" s="79"/>
      <c r="E34" s="382">
        <f>IF('T4PS'!I30&gt;0,'T4PS'!I30,"")</f>
      </c>
      <c r="F34" s="78"/>
      <c r="G34" s="1573"/>
    </row>
    <row r="35" spans="1:7" ht="15">
      <c r="A35" s="667">
        <f t="shared" si="1"/>
        <v>26</v>
      </c>
      <c r="B35" s="1654"/>
      <c r="C35" s="1654"/>
      <c r="D35" s="79"/>
      <c r="E35" s="93"/>
      <c r="F35" s="78"/>
      <c r="G35" s="1573"/>
    </row>
    <row r="36" spans="1:7" ht="15">
      <c r="A36" s="667">
        <f t="shared" si="1"/>
        <v>27</v>
      </c>
      <c r="B36" s="1654"/>
      <c r="C36" s="1654"/>
      <c r="D36" s="79"/>
      <c r="E36" s="93"/>
      <c r="F36" s="78"/>
      <c r="G36" s="1573"/>
    </row>
    <row r="37" spans="1:7" ht="15">
      <c r="A37" s="667">
        <f t="shared" si="1"/>
        <v>28</v>
      </c>
      <c r="B37" s="1654"/>
      <c r="C37" s="1654"/>
      <c r="D37" s="79"/>
      <c r="E37" s="93"/>
      <c r="F37" s="78"/>
      <c r="G37" s="1573"/>
    </row>
    <row r="38" spans="1:7" ht="15">
      <c r="A38" s="667">
        <f t="shared" si="1"/>
        <v>29</v>
      </c>
      <c r="B38" s="1654"/>
      <c r="C38" s="1654"/>
      <c r="D38" s="79"/>
      <c r="E38" s="93"/>
      <c r="F38" s="78"/>
      <c r="G38" s="1573"/>
    </row>
    <row r="39" spans="1:7" ht="15">
      <c r="A39" s="667">
        <f t="shared" si="1"/>
        <v>30</v>
      </c>
      <c r="B39" s="1654"/>
      <c r="C39" s="1654"/>
      <c r="D39" s="79"/>
      <c r="E39" s="93"/>
      <c r="F39" s="78"/>
      <c r="G39" s="1573"/>
    </row>
    <row r="40" spans="1:7" ht="15">
      <c r="A40" s="667">
        <f t="shared" si="1"/>
        <v>31</v>
      </c>
      <c r="B40" s="1654"/>
      <c r="C40" s="1654"/>
      <c r="D40" s="79"/>
      <c r="E40" s="93"/>
      <c r="F40" s="78"/>
      <c r="G40" s="1573"/>
    </row>
    <row r="41" spans="1:7" ht="15">
      <c r="A41" s="667">
        <f t="shared" si="1"/>
        <v>32</v>
      </c>
      <c r="B41" s="1654"/>
      <c r="C41" s="1654"/>
      <c r="D41" s="79"/>
      <c r="E41" s="93"/>
      <c r="F41" s="78"/>
      <c r="G41" s="1573"/>
    </row>
    <row r="42" spans="1:7" ht="15">
      <c r="A42" s="667">
        <f t="shared" si="1"/>
        <v>33</v>
      </c>
      <c r="B42" s="1654"/>
      <c r="C42" s="1654"/>
      <c r="D42" s="79"/>
      <c r="E42" s="93"/>
      <c r="F42" s="78"/>
      <c r="G42" s="1573"/>
    </row>
    <row r="43" spans="1:7" ht="15">
      <c r="A43" s="667">
        <f t="shared" si="1"/>
        <v>34</v>
      </c>
      <c r="B43" s="1654"/>
      <c r="C43" s="1654"/>
      <c r="D43" s="79"/>
      <c r="E43" s="93"/>
      <c r="F43" s="78"/>
      <c r="G43" s="1573"/>
    </row>
    <row r="44" spans="1:7" ht="15">
      <c r="A44" s="667">
        <f t="shared" si="1"/>
        <v>35</v>
      </c>
      <c r="B44" s="1654"/>
      <c r="C44" s="1654"/>
      <c r="D44" s="79"/>
      <c r="E44" s="93"/>
      <c r="F44" s="78"/>
      <c r="G44" s="1573"/>
    </row>
    <row r="45" spans="1:7" ht="15">
      <c r="A45" s="667">
        <f t="shared" si="1"/>
        <v>36</v>
      </c>
      <c r="B45" s="1654"/>
      <c r="C45" s="1654"/>
      <c r="D45" s="79"/>
      <c r="E45" s="93"/>
      <c r="F45" s="78"/>
      <c r="G45" s="1573"/>
    </row>
    <row r="46" spans="1:7" ht="15">
      <c r="A46" s="667">
        <f t="shared" si="1"/>
        <v>37</v>
      </c>
      <c r="B46" s="1654"/>
      <c r="C46" s="1654"/>
      <c r="D46" s="79"/>
      <c r="E46" s="93"/>
      <c r="F46" s="78"/>
      <c r="G46" s="1573"/>
    </row>
    <row r="47" spans="1:7" ht="15">
      <c r="A47" s="667">
        <f t="shared" si="1"/>
        <v>38</v>
      </c>
      <c r="B47" s="1654"/>
      <c r="C47" s="1654"/>
      <c r="D47" s="79"/>
      <c r="E47" s="93"/>
      <c r="F47" s="78"/>
      <c r="G47" s="1573"/>
    </row>
    <row r="48" spans="1:7" ht="15">
      <c r="A48" s="667">
        <f t="shared" si="1"/>
        <v>39</v>
      </c>
      <c r="B48" s="1654"/>
      <c r="C48" s="1654"/>
      <c r="D48" s="79"/>
      <c r="E48" s="93"/>
      <c r="F48" s="78"/>
      <c r="G48" s="1573"/>
    </row>
    <row r="49" spans="1:7" ht="15">
      <c r="A49" s="667">
        <f t="shared" si="1"/>
        <v>40</v>
      </c>
      <c r="B49" s="1654"/>
      <c r="C49" s="1654"/>
      <c r="D49" s="79"/>
      <c r="E49" s="93"/>
      <c r="F49" s="78"/>
      <c r="G49" s="1573"/>
    </row>
    <row r="50" spans="1:7" ht="15">
      <c r="A50" s="667"/>
      <c r="B50" s="486"/>
      <c r="C50" s="1161" t="s">
        <v>2165</v>
      </c>
      <c r="D50" s="79"/>
      <c r="E50" s="384">
        <f>SUM(E30:E49)</f>
        <v>0</v>
      </c>
      <c r="F50" s="78"/>
      <c r="G50" s="1573"/>
    </row>
    <row r="51" spans="1:7" ht="15">
      <c r="A51" s="667"/>
      <c r="B51" s="486"/>
      <c r="C51" s="1161" t="s">
        <v>1989</v>
      </c>
      <c r="D51" s="190">
        <v>120</v>
      </c>
      <c r="E51" s="384">
        <f>E28+E50</f>
        <v>0</v>
      </c>
      <c r="F51" s="78"/>
      <c r="G51" s="1573"/>
    </row>
    <row r="52" spans="1:7" ht="15">
      <c r="A52" s="667"/>
      <c r="B52" s="78" t="s">
        <v>2233</v>
      </c>
      <c r="C52" s="486"/>
      <c r="D52" s="190"/>
      <c r="E52" s="78"/>
      <c r="F52" s="78"/>
      <c r="G52" s="1573"/>
    </row>
    <row r="53" spans="1:7" ht="15">
      <c r="A53" s="667"/>
      <c r="B53" s="486"/>
      <c r="C53" s="486"/>
      <c r="D53" s="190"/>
      <c r="E53" s="78"/>
      <c r="F53" s="78"/>
      <c r="G53" s="1573"/>
    </row>
    <row r="54" spans="1:7" ht="20.25">
      <c r="A54" s="667"/>
      <c r="B54" s="486"/>
      <c r="C54" s="204" t="s">
        <v>1997</v>
      </c>
      <c r="D54" s="86"/>
      <c r="E54" s="204"/>
      <c r="F54" s="78"/>
      <c r="G54" s="1573"/>
    </row>
    <row r="55" spans="1:7" ht="15">
      <c r="A55" s="667"/>
      <c r="B55" s="486"/>
      <c r="C55" s="486"/>
      <c r="D55" s="190"/>
      <c r="E55" s="78"/>
      <c r="F55" s="78"/>
      <c r="G55" s="1573"/>
    </row>
    <row r="56" spans="1:7" ht="22.5" customHeight="1">
      <c r="A56" s="665" t="s">
        <v>1375</v>
      </c>
      <c r="B56" s="95" t="s">
        <v>1091</v>
      </c>
      <c r="C56" s="78"/>
      <c r="D56" s="79"/>
      <c r="E56" s="78"/>
      <c r="F56" s="78"/>
      <c r="G56" s="1573"/>
    </row>
    <row r="57" spans="1:7" ht="15">
      <c r="A57" s="666"/>
      <c r="B57" s="78" t="s">
        <v>1727</v>
      </c>
      <c r="C57" s="485"/>
      <c r="D57" s="79"/>
      <c r="E57" s="104"/>
      <c r="F57" s="78"/>
      <c r="G57" s="1573"/>
    </row>
    <row r="58" spans="1:7" ht="15">
      <c r="A58" s="666"/>
      <c r="B58" s="1655"/>
      <c r="C58" s="1655"/>
      <c r="D58" s="79"/>
      <c r="E58" s="93"/>
      <c r="F58" s="78"/>
      <c r="G58" s="1573"/>
    </row>
    <row r="59" spans="1:7" ht="15">
      <c r="A59" s="666"/>
      <c r="B59" s="1655"/>
      <c r="C59" s="1655"/>
      <c r="D59" s="79"/>
      <c r="E59" s="93"/>
      <c r="F59" s="78"/>
      <c r="G59" s="1573"/>
    </row>
    <row r="60" spans="1:7" ht="15">
      <c r="A60" s="666"/>
      <c r="B60" s="1655"/>
      <c r="C60" s="1655"/>
      <c r="D60" s="79"/>
      <c r="E60" s="93"/>
      <c r="F60" s="78"/>
      <c r="G60" s="1573"/>
    </row>
    <row r="61" spans="1:7" ht="15">
      <c r="A61" s="666"/>
      <c r="B61" s="1655"/>
      <c r="C61" s="1655"/>
      <c r="D61" s="79"/>
      <c r="E61" s="93"/>
      <c r="F61" s="78"/>
      <c r="G61" s="1573"/>
    </row>
    <row r="62" spans="1:7" ht="15">
      <c r="A62" s="666"/>
      <c r="B62" s="1655"/>
      <c r="C62" s="1655"/>
      <c r="D62" s="79"/>
      <c r="E62" s="93"/>
      <c r="F62" s="78"/>
      <c r="G62" s="1573"/>
    </row>
    <row r="63" spans="1:7" ht="15">
      <c r="A63" s="666"/>
      <c r="B63" s="76" t="s">
        <v>638</v>
      </c>
      <c r="C63" s="485"/>
      <c r="D63" s="79"/>
      <c r="E63" s="93"/>
      <c r="F63" s="78"/>
      <c r="G63" s="1573"/>
    </row>
    <row r="64" spans="1:7" ht="15">
      <c r="A64" s="666"/>
      <c r="B64" s="1656"/>
      <c r="C64" s="1656"/>
      <c r="D64" s="79"/>
      <c r="E64" s="93"/>
      <c r="F64" s="78"/>
      <c r="G64" s="1573"/>
    </row>
    <row r="65" spans="1:7" ht="15">
      <c r="A65" s="666"/>
      <c r="B65" s="1656"/>
      <c r="C65" s="1656"/>
      <c r="D65" s="79"/>
      <c r="E65" s="93"/>
      <c r="F65" s="78"/>
      <c r="G65" s="1573"/>
    </row>
    <row r="66" spans="1:7" ht="15">
      <c r="A66" s="666"/>
      <c r="B66" s="1656"/>
      <c r="C66" s="1656"/>
      <c r="D66" s="79"/>
      <c r="E66" s="93"/>
      <c r="F66" s="78"/>
      <c r="G66" s="1573"/>
    </row>
    <row r="67" spans="1:7" ht="15">
      <c r="A67" s="666"/>
      <c r="B67" s="75"/>
      <c r="C67" s="90" t="s">
        <v>1993</v>
      </c>
      <c r="D67" s="190">
        <v>121</v>
      </c>
      <c r="E67" s="384">
        <f>SUM(E57:E66)</f>
        <v>0</v>
      </c>
      <c r="F67" s="78"/>
      <c r="G67" s="1573"/>
    </row>
    <row r="68" spans="1:7" ht="22.5" customHeight="1">
      <c r="A68" s="665" t="s">
        <v>1376</v>
      </c>
      <c r="B68" s="95" t="s">
        <v>1525</v>
      </c>
      <c r="C68" s="78"/>
      <c r="D68" s="79"/>
      <c r="E68" s="78"/>
      <c r="F68" s="78"/>
      <c r="G68" s="1573"/>
    </row>
    <row r="69" spans="1:7" ht="15">
      <c r="A69" s="666"/>
      <c r="B69" s="1655"/>
      <c r="C69" s="1655"/>
      <c r="D69" s="79"/>
      <c r="E69" s="104"/>
      <c r="F69" s="78"/>
      <c r="G69" s="1573"/>
    </row>
    <row r="70" spans="1:7" ht="15">
      <c r="A70" s="666"/>
      <c r="B70" s="1655"/>
      <c r="C70" s="1655"/>
      <c r="D70" s="79"/>
      <c r="E70" s="104"/>
      <c r="F70" s="78"/>
      <c r="G70" s="1573"/>
    </row>
    <row r="71" spans="1:7" ht="15">
      <c r="A71" s="666"/>
      <c r="B71" s="1655"/>
      <c r="C71" s="1655"/>
      <c r="D71" s="79"/>
      <c r="E71" s="104"/>
      <c r="F71" s="78"/>
      <c r="G71" s="1573"/>
    </row>
    <row r="72" spans="1:7" ht="15">
      <c r="A72" s="666"/>
      <c r="B72" s="1655"/>
      <c r="C72" s="1655"/>
      <c r="D72" s="79"/>
      <c r="E72" s="104"/>
      <c r="F72" s="78"/>
      <c r="G72" s="1573"/>
    </row>
    <row r="73" spans="1:7" ht="15">
      <c r="A73" s="666"/>
      <c r="B73" s="1655"/>
      <c r="C73" s="1655"/>
      <c r="D73" s="79"/>
      <c r="E73" s="104"/>
      <c r="F73" s="78"/>
      <c r="G73" s="1573"/>
    </row>
    <row r="74" spans="1:7" ht="15">
      <c r="A74" s="666"/>
      <c r="B74" s="1655"/>
      <c r="C74" s="1655"/>
      <c r="D74" s="79"/>
      <c r="E74" s="104"/>
      <c r="F74" s="78"/>
      <c r="G74" s="1573"/>
    </row>
    <row r="75" spans="1:7" ht="15">
      <c r="A75" s="666"/>
      <c r="B75" s="1655"/>
      <c r="C75" s="1655"/>
      <c r="D75" s="79"/>
      <c r="E75" s="93"/>
      <c r="F75" s="78"/>
      <c r="G75" s="1573"/>
    </row>
    <row r="76" spans="1:7" ht="15">
      <c r="A76" s="666"/>
      <c r="B76" s="144"/>
      <c r="C76" s="151" t="s">
        <v>1994</v>
      </c>
      <c r="D76" s="190">
        <v>122</v>
      </c>
      <c r="E76" s="384">
        <f>SUM(E69:E75)</f>
        <v>0</v>
      </c>
      <c r="F76" s="78"/>
      <c r="G76" s="1573"/>
    </row>
    <row r="77" spans="1:7" ht="21.75" customHeight="1">
      <c r="A77" s="665" t="s">
        <v>241</v>
      </c>
      <c r="B77" s="95" t="s">
        <v>1508</v>
      </c>
      <c r="C77" s="78"/>
      <c r="D77" s="79"/>
      <c r="E77" s="78"/>
      <c r="F77" s="78"/>
      <c r="G77" s="1573"/>
    </row>
    <row r="78" spans="1:7" ht="15.75" customHeight="1">
      <c r="A78" s="666"/>
      <c r="B78" s="75" t="s">
        <v>1291</v>
      </c>
      <c r="C78" s="485"/>
      <c r="D78" s="79"/>
      <c r="E78" s="104"/>
      <c r="F78" s="78"/>
      <c r="G78" s="1573"/>
    </row>
    <row r="79" spans="1:7" ht="15.75" customHeight="1">
      <c r="A79" s="666"/>
      <c r="B79" s="75" t="s">
        <v>1291</v>
      </c>
      <c r="C79" s="485"/>
      <c r="D79" s="79"/>
      <c r="E79" s="104"/>
      <c r="F79" s="78"/>
      <c r="G79" s="1573"/>
    </row>
    <row r="80" spans="1:7" ht="15.75" customHeight="1">
      <c r="A80" s="666"/>
      <c r="B80" s="76" t="s">
        <v>1292</v>
      </c>
      <c r="C80" s="485"/>
      <c r="D80" s="79"/>
      <c r="E80" s="104"/>
      <c r="F80" s="78"/>
      <c r="G80" s="1573"/>
    </row>
    <row r="81" spans="1:7" ht="15">
      <c r="A81" s="666"/>
      <c r="B81" s="76" t="s">
        <v>1292</v>
      </c>
      <c r="C81" s="485"/>
      <c r="D81" s="79"/>
      <c r="E81" s="93"/>
      <c r="F81" s="78"/>
      <c r="G81" s="1573"/>
    </row>
    <row r="82" spans="1:7" ht="15">
      <c r="A82" s="666"/>
      <c r="B82" s="82"/>
      <c r="C82" s="152" t="s">
        <v>1995</v>
      </c>
      <c r="D82" s="190">
        <v>221</v>
      </c>
      <c r="E82" s="384">
        <f>SUM(E78:E81)</f>
        <v>0</v>
      </c>
      <c r="F82" s="78"/>
      <c r="G82" s="1573"/>
    </row>
    <row r="83" spans="1:7" ht="15">
      <c r="A83" s="666"/>
      <c r="B83" s="78" t="s">
        <v>2233</v>
      </c>
      <c r="C83" s="79"/>
      <c r="D83" s="79"/>
      <c r="E83" s="79"/>
      <c r="F83" s="78" t="s">
        <v>127</v>
      </c>
      <c r="G83" s="1573"/>
    </row>
    <row r="84" spans="1:7" ht="15">
      <c r="A84" s="666"/>
      <c r="B84" s="78"/>
      <c r="C84" s="78"/>
      <c r="D84" s="78"/>
      <c r="E84" s="78" t="s">
        <v>205</v>
      </c>
      <c r="F84" s="78"/>
      <c r="G84" s="1573"/>
    </row>
  </sheetData>
  <sheetProtection password="EC35" sheet="1" objects="1" scenarios="1"/>
  <mergeCells count="56">
    <mergeCell ref="G1:G84"/>
    <mergeCell ref="B17:C17"/>
    <mergeCell ref="B18:C18"/>
    <mergeCell ref="B65:C65"/>
    <mergeCell ref="B66:C66"/>
    <mergeCell ref="B19:C19"/>
    <mergeCell ref="B20:C20"/>
    <mergeCell ref="B32:C32"/>
    <mergeCell ref="B33:C33"/>
    <mergeCell ref="B34:C34"/>
    <mergeCell ref="B21:C21"/>
    <mergeCell ref="B22:C22"/>
    <mergeCell ref="B23:C23"/>
    <mergeCell ref="B24:C24"/>
    <mergeCell ref="B25:C25"/>
    <mergeCell ref="B26:C26"/>
    <mergeCell ref="B27:C27"/>
    <mergeCell ref="B31:C31"/>
    <mergeCell ref="B61:C61"/>
    <mergeCell ref="B12:C12"/>
    <mergeCell ref="B13:C13"/>
    <mergeCell ref="B14:C14"/>
    <mergeCell ref="B15:C15"/>
    <mergeCell ref="B16:C16"/>
    <mergeCell ref="B59:C59"/>
    <mergeCell ref="B60:C60"/>
    <mergeCell ref="B58:C58"/>
    <mergeCell ref="B30:C30"/>
    <mergeCell ref="B8:C8"/>
    <mergeCell ref="B9:C9"/>
    <mergeCell ref="B10:C10"/>
    <mergeCell ref="B11:C11"/>
    <mergeCell ref="B75:C75"/>
    <mergeCell ref="B69:C69"/>
    <mergeCell ref="B70:C70"/>
    <mergeCell ref="B71:C71"/>
    <mergeCell ref="B72:C72"/>
    <mergeCell ref="B62:C62"/>
    <mergeCell ref="B64:C64"/>
    <mergeCell ref="B73:C73"/>
    <mergeCell ref="B74:C74"/>
    <mergeCell ref="B35:C35"/>
    <mergeCell ref="B36:C36"/>
    <mergeCell ref="B37:C37"/>
    <mergeCell ref="B38:C38"/>
    <mergeCell ref="B39:C39"/>
    <mergeCell ref="B40:C40"/>
    <mergeCell ref="B41:C41"/>
    <mergeCell ref="B42:C42"/>
    <mergeCell ref="B47:C47"/>
    <mergeCell ref="B48:C48"/>
    <mergeCell ref="B49:C49"/>
    <mergeCell ref="B43:C43"/>
    <mergeCell ref="B44:C44"/>
    <mergeCell ref="B45:C45"/>
    <mergeCell ref="B46:C46"/>
  </mergeCells>
  <hyperlinks>
    <hyperlink ref="G1:G84" location="'GO TO'!B14" display=" "/>
  </hyperlinks>
  <printOptions horizontalCentered="1"/>
  <pageMargins left="0.31496062992125984" right="0.31496062992125984" top="0.31496062992125984" bottom="0.31496062992125984" header="0.5118110236220472" footer="0.5118110236220472"/>
  <pageSetup fitToHeight="0" fitToWidth="1" horizontalDpi="600" verticalDpi="600" orientation="portrait" scale="77" r:id="rId1"/>
  <rowBreaks count="1" manualBreakCount="1">
    <brk id="52" max="255" man="1"/>
  </rowBreaks>
</worksheet>
</file>

<file path=xl/worksheets/sheet19.xml><?xml version="1.0" encoding="utf-8"?>
<worksheet xmlns="http://schemas.openxmlformats.org/spreadsheetml/2006/main" xmlns:r="http://schemas.openxmlformats.org/officeDocument/2006/relationships">
  <sheetPr codeName="Sheet15" transitionEvaluation="1">
    <pageSetUpPr fitToPage="1"/>
  </sheetPr>
  <dimension ref="A1:I38"/>
  <sheetViews>
    <sheetView showGridLines="0" zoomScale="67" zoomScaleNormal="67" workbookViewId="0" topLeftCell="A1">
      <selection activeCell="A3" sqref="A3"/>
    </sheetView>
  </sheetViews>
  <sheetFormatPr defaultColWidth="9.77734375" defaultRowHeight="15"/>
  <cols>
    <col min="1" max="1" width="10.77734375" style="608" customWidth="1"/>
    <col min="2" max="2" width="25.77734375" style="608" customWidth="1"/>
    <col min="3" max="3" width="14.77734375" style="608" customWidth="1"/>
    <col min="4" max="4" width="12.77734375" style="608" customWidth="1"/>
    <col min="5" max="5" width="10.10546875" style="608" customWidth="1"/>
    <col min="6" max="6" width="15.99609375" style="608" customWidth="1"/>
    <col min="7" max="7" width="9.88671875" style="608" customWidth="1"/>
    <col min="8" max="8" width="11.10546875" style="608" customWidth="1"/>
    <col min="9" max="9" width="10.10546875" style="608" customWidth="1"/>
    <col min="10" max="10" width="11.77734375" style="608" customWidth="1"/>
    <col min="11" max="16384" width="9.77734375" style="608" customWidth="1"/>
  </cols>
  <sheetData>
    <row r="1" spans="1:9" ht="23.25">
      <c r="A1" s="135" t="str">
        <f>"T1-"&amp;yeartext</f>
        <v>T1-2007</v>
      </c>
      <c r="B1" s="166"/>
      <c r="C1" s="1341" t="s">
        <v>1084</v>
      </c>
      <c r="D1" s="166"/>
      <c r="E1" s="166"/>
      <c r="F1" s="166"/>
      <c r="G1" s="166"/>
      <c r="H1" s="1264" t="s">
        <v>2065</v>
      </c>
      <c r="I1" s="1573" t="s">
        <v>1659</v>
      </c>
    </row>
    <row r="2" spans="1:9" ht="5.25" customHeight="1">
      <c r="A2" s="78"/>
      <c r="B2" s="78"/>
      <c r="C2" s="78"/>
      <c r="D2" s="78"/>
      <c r="E2" s="78"/>
      <c r="F2" s="78"/>
      <c r="G2" s="78"/>
      <c r="H2" s="78"/>
      <c r="I2" s="1573"/>
    </row>
    <row r="3" spans="1:9" ht="15">
      <c r="A3" s="78"/>
      <c r="B3" s="78"/>
      <c r="C3" s="78"/>
      <c r="D3" s="78"/>
      <c r="E3" s="78"/>
      <c r="F3" s="78"/>
      <c r="G3" s="78"/>
      <c r="H3" s="78"/>
      <c r="I3" s="1573"/>
    </row>
    <row r="4" spans="1:9" ht="15">
      <c r="A4" s="78" t="s">
        <v>1366</v>
      </c>
      <c r="B4" s="78"/>
      <c r="C4" s="78"/>
      <c r="D4" s="78"/>
      <c r="E4" s="78"/>
      <c r="F4" s="78"/>
      <c r="G4" s="78"/>
      <c r="H4" s="78"/>
      <c r="I4" s="1573"/>
    </row>
    <row r="5" spans="1:9" ht="15">
      <c r="A5" s="78" t="s">
        <v>264</v>
      </c>
      <c r="B5" s="78"/>
      <c r="C5" s="78"/>
      <c r="D5" s="78"/>
      <c r="E5" s="78"/>
      <c r="F5" s="78"/>
      <c r="G5" s="78"/>
      <c r="H5" s="78"/>
      <c r="I5" s="1573"/>
    </row>
    <row r="6" spans="1:9" ht="5.25" customHeight="1">
      <c r="A6" s="78"/>
      <c r="B6" s="78"/>
      <c r="C6" s="78"/>
      <c r="D6" s="78"/>
      <c r="E6" s="78"/>
      <c r="F6" s="78"/>
      <c r="G6" s="78"/>
      <c r="H6" s="78"/>
      <c r="I6" s="1573"/>
    </row>
    <row r="7" spans="1:9" ht="15.75">
      <c r="A7" s="95" t="s">
        <v>1758</v>
      </c>
      <c r="B7" s="78"/>
      <c r="C7" s="78"/>
      <c r="D7" s="78"/>
      <c r="E7" s="78"/>
      <c r="F7" s="78"/>
      <c r="G7" s="78"/>
      <c r="H7" s="78"/>
      <c r="I7" s="1573"/>
    </row>
    <row r="8" spans="1:9" ht="15.75">
      <c r="A8" s="191" t="s">
        <v>1757</v>
      </c>
      <c r="B8" s="78"/>
      <c r="C8" s="78"/>
      <c r="D8" s="78"/>
      <c r="E8" s="78"/>
      <c r="F8" s="78"/>
      <c r="G8" s="78"/>
      <c r="H8" s="78"/>
      <c r="I8" s="1573"/>
    </row>
    <row r="9" spans="1:9" ht="50.25" customHeight="1">
      <c r="A9" s="192" t="s">
        <v>658</v>
      </c>
      <c r="B9" s="95" t="s">
        <v>882</v>
      </c>
      <c r="C9" s="78"/>
      <c r="D9" s="849" t="s">
        <v>265</v>
      </c>
      <c r="E9" s="78"/>
      <c r="F9" s="78"/>
      <c r="G9" s="78"/>
      <c r="H9" s="78"/>
      <c r="I9" s="1573"/>
    </row>
    <row r="10" spans="1:9" ht="15">
      <c r="A10" s="278" t="str">
        <f>"If your martial status changed in "&amp;yeartext&amp;", give the date of the change:"</f>
        <v>If your martial status changed in 2007, give the date of the change:</v>
      </c>
      <c r="B10" s="78"/>
      <c r="C10" s="78"/>
      <c r="D10" s="848"/>
      <c r="E10" s="78"/>
      <c r="F10" s="78"/>
      <c r="G10" s="78"/>
      <c r="H10" s="78"/>
      <c r="I10" s="1573"/>
    </row>
    <row r="11" spans="1:9" ht="15">
      <c r="A11" s="191" t="s">
        <v>1546</v>
      </c>
      <c r="B11" s="78"/>
      <c r="C11" s="78"/>
      <c r="D11" s="78"/>
      <c r="E11" s="78"/>
      <c r="F11" s="78"/>
      <c r="G11" s="78"/>
      <c r="H11" s="78"/>
      <c r="I11" s="1573"/>
    </row>
    <row r="12" spans="1:9" ht="15">
      <c r="A12" s="191"/>
      <c r="B12" s="78"/>
      <c r="C12" s="78"/>
      <c r="D12" s="78"/>
      <c r="E12" s="78"/>
      <c r="F12" s="78"/>
      <c r="G12" s="78"/>
      <c r="H12" s="78"/>
      <c r="I12" s="1573"/>
    </row>
    <row r="13" spans="1:9" ht="15">
      <c r="A13" s="741" t="s">
        <v>1337</v>
      </c>
      <c r="B13" s="194"/>
      <c r="C13" s="196" t="s">
        <v>1338</v>
      </c>
      <c r="D13" s="196" t="s">
        <v>1339</v>
      </c>
      <c r="E13" s="196" t="s">
        <v>173</v>
      </c>
      <c r="F13" s="1659" t="s">
        <v>1435</v>
      </c>
      <c r="G13" s="1660"/>
      <c r="H13" s="182" t="s">
        <v>1802</v>
      </c>
      <c r="I13" s="1573"/>
    </row>
    <row r="14" spans="1:9" ht="15">
      <c r="A14" s="741" t="s">
        <v>1341</v>
      </c>
      <c r="B14" s="194"/>
      <c r="C14" s="197" t="s">
        <v>1342</v>
      </c>
      <c r="D14" s="197" t="s">
        <v>1343</v>
      </c>
      <c r="E14" s="197" t="str">
        <f>"in "&amp;yeartext</f>
        <v>in 2007</v>
      </c>
      <c r="F14" s="1661"/>
      <c r="G14" s="1662"/>
      <c r="H14" s="202" t="s">
        <v>171</v>
      </c>
      <c r="I14" s="1573"/>
    </row>
    <row r="15" spans="1:9" ht="15">
      <c r="A15" s="193" t="s">
        <v>1344</v>
      </c>
      <c r="B15" s="740"/>
      <c r="C15" s="742" t="s">
        <v>1336</v>
      </c>
      <c r="D15" s="198"/>
      <c r="E15" s="198"/>
      <c r="F15" s="1663"/>
      <c r="G15" s="1664"/>
      <c r="H15" s="140"/>
      <c r="I15" s="1573"/>
    </row>
    <row r="16" spans="1:9" ht="24.75" customHeight="1">
      <c r="A16" s="1610"/>
      <c r="B16" s="1611"/>
      <c r="C16" s="64"/>
      <c r="D16" s="199"/>
      <c r="E16" s="201"/>
      <c r="F16" s="1665"/>
      <c r="G16" s="1666"/>
      <c r="H16" s="1266">
        <f>Sch1!K12</f>
        <v>0</v>
      </c>
      <c r="I16" s="1573"/>
    </row>
    <row r="17" spans="1:9" ht="15">
      <c r="A17" s="191"/>
      <c r="B17" s="78"/>
      <c r="C17" s="78"/>
      <c r="D17" s="78"/>
      <c r="E17" s="78"/>
      <c r="F17" s="78"/>
      <c r="G17" s="78"/>
      <c r="H17" s="78"/>
      <c r="I17" s="1573"/>
    </row>
    <row r="18" spans="1:9" ht="15">
      <c r="A18" s="191"/>
      <c r="B18" s="78"/>
      <c r="C18" s="78"/>
      <c r="D18" s="78"/>
      <c r="E18" s="78"/>
      <c r="F18" s="78"/>
      <c r="G18" s="78"/>
      <c r="H18" s="78"/>
      <c r="I18" s="1573"/>
    </row>
    <row r="19" spans="1:9" ht="18">
      <c r="A19" s="192" t="s">
        <v>1433</v>
      </c>
      <c r="B19" s="78"/>
      <c r="C19" s="78"/>
      <c r="D19" s="78"/>
      <c r="E19" s="78"/>
      <c r="F19" s="78"/>
      <c r="G19" s="78"/>
      <c r="H19" s="78"/>
      <c r="I19" s="1573"/>
    </row>
    <row r="20" spans="1:9" ht="15">
      <c r="A20" s="191"/>
      <c r="B20" s="78"/>
      <c r="C20" s="78"/>
      <c r="D20" s="78"/>
      <c r="E20" s="78"/>
      <c r="F20" s="78"/>
      <c r="G20" s="78"/>
      <c r="H20" s="78"/>
      <c r="I20" s="1573"/>
    </row>
    <row r="21" spans="1:9" ht="15">
      <c r="A21" s="741" t="s">
        <v>1337</v>
      </c>
      <c r="B21" s="194"/>
      <c r="C21" s="196" t="s">
        <v>1369</v>
      </c>
      <c r="D21" s="196" t="s">
        <v>1339</v>
      </c>
      <c r="E21" s="196" t="s">
        <v>173</v>
      </c>
      <c r="F21" s="845" t="s">
        <v>1340</v>
      </c>
      <c r="G21" s="182" t="s">
        <v>1529</v>
      </c>
      <c r="H21" s="182" t="s">
        <v>1802</v>
      </c>
      <c r="I21" s="1573"/>
    </row>
    <row r="22" spans="1:9" ht="15">
      <c r="A22" s="741" t="s">
        <v>1341</v>
      </c>
      <c r="B22" s="195"/>
      <c r="C22" s="197" t="s">
        <v>1434</v>
      </c>
      <c r="D22" s="197" t="s">
        <v>1343</v>
      </c>
      <c r="E22" s="197" t="str">
        <f>"in "&amp;yeartext</f>
        <v>in 2007</v>
      </c>
      <c r="F22" s="197" t="s">
        <v>2246</v>
      </c>
      <c r="G22" s="202" t="s">
        <v>774</v>
      </c>
      <c r="H22" s="202" t="s">
        <v>171</v>
      </c>
      <c r="I22" s="1573"/>
    </row>
    <row r="23" spans="1:9" ht="15">
      <c r="A23" s="193" t="s">
        <v>1344</v>
      </c>
      <c r="B23" s="740"/>
      <c r="C23" s="742"/>
      <c r="D23" s="198"/>
      <c r="E23" s="198"/>
      <c r="F23" s="198"/>
      <c r="G23" s="140"/>
      <c r="H23" s="140"/>
      <c r="I23" s="1573"/>
    </row>
    <row r="24" spans="1:9" ht="24.75" customHeight="1">
      <c r="A24" s="1610"/>
      <c r="B24" s="1611"/>
      <c r="C24" s="847"/>
      <c r="D24" s="200"/>
      <c r="E24" s="201"/>
      <c r="F24" s="179"/>
      <c r="G24" s="850"/>
      <c r="H24" s="846"/>
      <c r="I24" s="1573"/>
    </row>
    <row r="25" spans="1:9" ht="15">
      <c r="A25" s="191"/>
      <c r="B25" s="78"/>
      <c r="C25" s="78"/>
      <c r="D25" s="78"/>
      <c r="E25" s="78"/>
      <c r="F25" s="78"/>
      <c r="G25" s="850"/>
      <c r="H25" s="846"/>
      <c r="I25" s="1573"/>
    </row>
    <row r="26" spans="1:9" ht="15">
      <c r="A26" s="191"/>
      <c r="B26" s="78"/>
      <c r="C26" s="78"/>
      <c r="D26" s="78"/>
      <c r="E26" s="78"/>
      <c r="F26" s="78"/>
      <c r="G26" s="850"/>
      <c r="H26" s="846"/>
      <c r="I26" s="1573"/>
    </row>
    <row r="27" spans="1:9" ht="18">
      <c r="A27" s="192"/>
      <c r="B27" s="78"/>
      <c r="C27" s="78"/>
      <c r="D27" s="78"/>
      <c r="E27" s="78"/>
      <c r="F27" s="78"/>
      <c r="G27" s="78"/>
      <c r="H27" s="78"/>
      <c r="I27" s="1573"/>
    </row>
    <row r="28" spans="1:9" ht="15">
      <c r="A28" s="741" t="s">
        <v>1337</v>
      </c>
      <c r="B28" s="194"/>
      <c r="C28" s="196" t="s">
        <v>1369</v>
      </c>
      <c r="D28" s="196" t="s">
        <v>1339</v>
      </c>
      <c r="E28" s="196" t="s">
        <v>173</v>
      </c>
      <c r="F28" s="845" t="s">
        <v>1340</v>
      </c>
      <c r="G28" s="182" t="s">
        <v>1529</v>
      </c>
      <c r="H28" s="182" t="s">
        <v>1802</v>
      </c>
      <c r="I28" s="1573"/>
    </row>
    <row r="29" spans="1:9" ht="15">
      <c r="A29" s="741" t="s">
        <v>1341</v>
      </c>
      <c r="B29" s="195"/>
      <c r="C29" s="197" t="s">
        <v>1434</v>
      </c>
      <c r="D29" s="197" t="s">
        <v>1343</v>
      </c>
      <c r="E29" s="197" t="str">
        <f>"in "&amp;yeartext</f>
        <v>in 2007</v>
      </c>
      <c r="F29" s="197" t="s">
        <v>2246</v>
      </c>
      <c r="G29" s="202" t="s">
        <v>774</v>
      </c>
      <c r="H29" s="202" t="s">
        <v>171</v>
      </c>
      <c r="I29" s="1573"/>
    </row>
    <row r="30" spans="1:9" ht="15">
      <c r="A30" s="193" t="s">
        <v>1344</v>
      </c>
      <c r="B30" s="740"/>
      <c r="C30" s="742"/>
      <c r="D30" s="198"/>
      <c r="E30" s="198"/>
      <c r="F30" s="198"/>
      <c r="G30" s="140"/>
      <c r="H30" s="140"/>
      <c r="I30" s="1573"/>
    </row>
    <row r="31" spans="1:9" ht="24.75" customHeight="1">
      <c r="A31" s="1610"/>
      <c r="B31" s="1611"/>
      <c r="C31" s="847"/>
      <c r="D31" s="200"/>
      <c r="E31" s="201"/>
      <c r="F31" s="179"/>
      <c r="G31" s="850"/>
      <c r="H31" s="846"/>
      <c r="I31" s="1573"/>
    </row>
    <row r="32" spans="1:9" ht="15">
      <c r="A32" s="191"/>
      <c r="B32" s="78"/>
      <c r="C32" s="78"/>
      <c r="D32" s="78"/>
      <c r="E32" s="78"/>
      <c r="F32" s="78"/>
      <c r="G32" s="850"/>
      <c r="H32" s="846"/>
      <c r="I32" s="1573"/>
    </row>
    <row r="33" spans="1:9" ht="15">
      <c r="A33" s="191"/>
      <c r="B33" s="78"/>
      <c r="C33" s="78"/>
      <c r="D33" s="78"/>
      <c r="E33" s="78"/>
      <c r="F33" s="78"/>
      <c r="G33" s="850"/>
      <c r="H33" s="846"/>
      <c r="I33" s="1573"/>
    </row>
    <row r="34" spans="1:9" ht="15">
      <c r="A34" s="191"/>
      <c r="B34" s="78"/>
      <c r="C34" s="78"/>
      <c r="D34" s="78"/>
      <c r="E34" s="78"/>
      <c r="F34" s="78"/>
      <c r="G34" s="78"/>
      <c r="H34" s="78"/>
      <c r="I34" s="1573"/>
    </row>
    <row r="35" spans="1:9" ht="15">
      <c r="A35" s="78"/>
      <c r="B35" s="78"/>
      <c r="C35" s="78"/>
      <c r="D35" s="78"/>
      <c r="E35" s="78"/>
      <c r="F35" s="78"/>
      <c r="G35" s="78"/>
      <c r="H35" s="78"/>
      <c r="I35" s="1573"/>
    </row>
    <row r="36" spans="1:9" ht="15">
      <c r="A36" s="78"/>
      <c r="B36" s="78"/>
      <c r="C36" s="78"/>
      <c r="D36" s="78"/>
      <c r="E36" s="78"/>
      <c r="F36" s="78"/>
      <c r="G36" s="78"/>
      <c r="H36" s="78"/>
      <c r="I36" s="1573"/>
    </row>
    <row r="37" spans="1:9" ht="15">
      <c r="A37" s="78" t="s">
        <v>1345</v>
      </c>
      <c r="B37" s="78"/>
      <c r="C37" s="78"/>
      <c r="D37" s="78"/>
      <c r="E37" s="78"/>
      <c r="F37" s="78"/>
      <c r="G37" s="78"/>
      <c r="H37" s="78"/>
      <c r="I37" s="1573"/>
    </row>
    <row r="38" spans="1:9" ht="15">
      <c r="A38" s="78"/>
      <c r="B38" s="78"/>
      <c r="C38" s="78"/>
      <c r="D38" s="78"/>
      <c r="E38" s="78"/>
      <c r="F38" s="78"/>
      <c r="G38" s="78"/>
      <c r="H38" s="78"/>
      <c r="I38" s="1573"/>
    </row>
  </sheetData>
  <sheetProtection password="EC35" sheet="1" objects="1" scenarios="1"/>
  <mergeCells count="6">
    <mergeCell ref="I1:I38"/>
    <mergeCell ref="A16:B16"/>
    <mergeCell ref="A24:B24"/>
    <mergeCell ref="A31:B31"/>
    <mergeCell ref="F13:G15"/>
    <mergeCell ref="F16:G16"/>
  </mergeCells>
  <hyperlinks>
    <hyperlink ref="I1:I38" location="'GO TO'!B15" display=" "/>
  </hyperlinks>
  <printOptions horizontalCentered="1"/>
  <pageMargins left="0.15748031496062992" right="0.15748031496062992" top="0.5118110236220472" bottom="0.5118110236220472" header="0.5118110236220472" footer="0.5118110236220472"/>
  <pageSetup fitToHeight="0" fitToWidth="1" horizontalDpi="600" verticalDpi="600" orientation="portrait" scale="76" r:id="rId1"/>
</worksheet>
</file>

<file path=xl/worksheets/sheet2.xml><?xml version="1.0" encoding="utf-8"?>
<worksheet xmlns="http://schemas.openxmlformats.org/spreadsheetml/2006/main" xmlns:r="http://schemas.openxmlformats.org/officeDocument/2006/relationships">
  <sheetPr codeName="Sheet22"/>
  <dimension ref="A1:E82"/>
  <sheetViews>
    <sheetView zoomScale="85" zoomScaleNormal="85" workbookViewId="0" topLeftCell="A1">
      <pane ySplit="1" topLeftCell="BM2" activePane="bottomLeft" state="frozen"/>
      <selection pane="topLeft" activeCell="E13" sqref="E13"/>
      <selection pane="bottomLeft" activeCell="A2" sqref="A2"/>
    </sheetView>
  </sheetViews>
  <sheetFormatPr defaultColWidth="8.88671875" defaultRowHeight="15"/>
  <cols>
    <col min="1" max="1" width="55.3359375" style="1012" customWidth="1"/>
    <col min="2" max="2" width="13.77734375" style="1010" customWidth="1"/>
    <col min="3" max="3" width="10.99609375" style="1011" customWidth="1"/>
    <col min="4" max="4" width="2.4453125" style="0" customWidth="1"/>
    <col min="5" max="5" width="8.4453125" style="0" customWidth="1"/>
  </cols>
  <sheetData>
    <row r="1" spans="1:5" ht="39" customHeight="1">
      <c r="A1" s="1301" t="str">
        <f>"What's new by Canada Revenue Agency for "&amp;yeartext&amp;"?"</f>
        <v>What's new by Canada Revenue Agency for 2007?</v>
      </c>
      <c r="B1" s="1506" t="s">
        <v>530</v>
      </c>
      <c r="C1" s="1507"/>
      <c r="E1" s="1508" t="s">
        <v>998</v>
      </c>
    </row>
    <row r="2" spans="1:5" ht="15">
      <c r="A2" s="1014"/>
      <c r="B2" s="1015"/>
      <c r="C2" s="128"/>
      <c r="E2" s="1508"/>
    </row>
    <row r="3" spans="1:5" ht="30">
      <c r="A3" s="1016" t="s">
        <v>1172</v>
      </c>
      <c r="B3" s="1268"/>
      <c r="C3" s="1267"/>
      <c r="E3" s="1508"/>
    </row>
    <row r="4" spans="1:5" ht="45">
      <c r="A4" s="1016" t="s">
        <v>1173</v>
      </c>
      <c r="B4" s="1268"/>
      <c r="C4" s="1267"/>
      <c r="E4" s="1508"/>
    </row>
    <row r="5" spans="1:5" ht="15" customHeight="1">
      <c r="A5" s="1016" t="s">
        <v>1174</v>
      </c>
      <c r="B5" s="1268"/>
      <c r="C5" s="1267"/>
      <c r="E5" s="1508"/>
    </row>
    <row r="6" spans="1:5" ht="15" customHeight="1">
      <c r="A6" s="1016"/>
      <c r="B6" s="1268"/>
      <c r="C6" s="1267"/>
      <c r="E6" s="1508"/>
    </row>
    <row r="7" spans="1:5" ht="15" customHeight="1">
      <c r="A7" s="1016" t="s">
        <v>331</v>
      </c>
      <c r="B7" s="1501" t="s">
        <v>1201</v>
      </c>
      <c r="C7" s="1500"/>
      <c r="E7" s="1508"/>
    </row>
    <row r="8" spans="1:5" ht="15" customHeight="1">
      <c r="A8" s="1016" t="s">
        <v>332</v>
      </c>
      <c r="B8" s="1268"/>
      <c r="C8" s="1267"/>
      <c r="E8" s="1508"/>
    </row>
    <row r="9" spans="1:5" ht="15" customHeight="1">
      <c r="A9" s="1016" t="s">
        <v>333</v>
      </c>
      <c r="B9" s="1268"/>
      <c r="C9" s="1267"/>
      <c r="E9" s="1508"/>
    </row>
    <row r="10" spans="1:5" ht="15">
      <c r="A10" s="1016" t="s">
        <v>334</v>
      </c>
      <c r="B10" s="1268"/>
      <c r="C10" s="1267"/>
      <c r="E10" s="1508"/>
    </row>
    <row r="11" spans="1:5" ht="15">
      <c r="A11" s="1016" t="s">
        <v>335</v>
      </c>
      <c r="B11" s="1015"/>
      <c r="C11" s="128"/>
      <c r="E11" s="1508"/>
    </row>
    <row r="12" spans="1:5" ht="15">
      <c r="A12" s="1014" t="s">
        <v>336</v>
      </c>
      <c r="B12" s="1498"/>
      <c r="C12" s="1503"/>
      <c r="E12" s="1508"/>
    </row>
    <row r="13" spans="1:5" ht="15">
      <c r="A13" s="1014" t="s">
        <v>337</v>
      </c>
      <c r="B13" s="1015"/>
      <c r="C13" s="128"/>
      <c r="E13" s="1508"/>
    </row>
    <row r="14" spans="1:5" ht="15">
      <c r="A14" s="1013"/>
      <c r="B14" s="1015"/>
      <c r="C14" s="128"/>
      <c r="E14" s="1508"/>
    </row>
    <row r="15" spans="1:5" ht="15">
      <c r="A15" s="1014" t="s">
        <v>338</v>
      </c>
      <c r="B15" s="1498" t="s">
        <v>1200</v>
      </c>
      <c r="C15" s="1502"/>
      <c r="E15" s="1508"/>
    </row>
    <row r="16" spans="1:5" ht="15">
      <c r="A16" s="1014" t="s">
        <v>339</v>
      </c>
      <c r="B16" s="1015"/>
      <c r="C16" s="128"/>
      <c r="E16" s="1508"/>
    </row>
    <row r="17" spans="1:5" ht="15">
      <c r="A17" s="1014" t="s">
        <v>340</v>
      </c>
      <c r="B17" s="1015"/>
      <c r="C17" s="128"/>
      <c r="E17" s="1508"/>
    </row>
    <row r="18" spans="1:5" ht="28.5" customHeight="1">
      <c r="A18" s="1014" t="s">
        <v>341</v>
      </c>
      <c r="B18" s="1498" t="s">
        <v>1195</v>
      </c>
      <c r="C18" s="1499"/>
      <c r="E18" s="1508"/>
    </row>
    <row r="19" spans="1:5" ht="15">
      <c r="A19" s="1014" t="s">
        <v>342</v>
      </c>
      <c r="B19" s="1498" t="s">
        <v>1196</v>
      </c>
      <c r="C19" s="1499"/>
      <c r="E19" s="1508"/>
    </row>
    <row r="20" spans="1:5" ht="15">
      <c r="A20" s="1014" t="s">
        <v>343</v>
      </c>
      <c r="B20" s="1498" t="s">
        <v>1197</v>
      </c>
      <c r="C20" s="1499"/>
      <c r="E20" s="1508"/>
    </row>
    <row r="21" spans="1:5" ht="15">
      <c r="A21" s="1014" t="s">
        <v>344</v>
      </c>
      <c r="B21" s="1498" t="s">
        <v>1198</v>
      </c>
      <c r="C21" s="1500"/>
      <c r="E21" s="1508"/>
    </row>
    <row r="22" spans="1:5" ht="15">
      <c r="A22" s="1014" t="s">
        <v>345</v>
      </c>
      <c r="B22" s="1302"/>
      <c r="C22" s="1303"/>
      <c r="E22" s="1508"/>
    </row>
    <row r="23" spans="1:5" ht="26.25" customHeight="1">
      <c r="A23" s="1014" t="s">
        <v>346</v>
      </c>
      <c r="B23" s="1498" t="s">
        <v>515</v>
      </c>
      <c r="C23" s="1500"/>
      <c r="E23" s="1508"/>
    </row>
    <row r="24" spans="1:5" ht="21.75" customHeight="1">
      <c r="A24" s="1014" t="s">
        <v>347</v>
      </c>
      <c r="B24" s="1498" t="s">
        <v>516</v>
      </c>
      <c r="C24" s="1502"/>
      <c r="E24" s="1508"/>
    </row>
    <row r="25" spans="1:5" ht="15">
      <c r="A25" s="1014" t="s">
        <v>348</v>
      </c>
      <c r="B25" s="1015"/>
      <c r="C25" s="128"/>
      <c r="E25" s="1508"/>
    </row>
    <row r="26" spans="1:5" ht="28.5" customHeight="1">
      <c r="A26" s="1014" t="s">
        <v>349</v>
      </c>
      <c r="B26" s="1498" t="s">
        <v>516</v>
      </c>
      <c r="C26" s="1502"/>
      <c r="E26" s="1508"/>
    </row>
    <row r="27" spans="1:5" ht="15">
      <c r="A27" s="1014" t="s">
        <v>350</v>
      </c>
      <c r="B27" s="1015"/>
      <c r="C27" s="128"/>
      <c r="E27" s="1508"/>
    </row>
    <row r="28" spans="1:5" ht="28.5" customHeight="1">
      <c r="A28" s="1014" t="s">
        <v>351</v>
      </c>
      <c r="B28" s="1498" t="s">
        <v>1199</v>
      </c>
      <c r="C28" s="1500"/>
      <c r="E28" s="1508"/>
    </row>
    <row r="29" spans="1:5" ht="15">
      <c r="A29" s="1014" t="s">
        <v>2385</v>
      </c>
      <c r="B29" s="1504"/>
      <c r="C29" s="1505"/>
      <c r="E29" s="1508"/>
    </row>
    <row r="30" spans="1:5" ht="25.5" customHeight="1">
      <c r="A30" s="1014" t="s">
        <v>352</v>
      </c>
      <c r="B30" s="1498" t="s">
        <v>1202</v>
      </c>
      <c r="C30" s="1500"/>
      <c r="E30" s="1508"/>
    </row>
    <row r="31" spans="1:5" ht="15">
      <c r="A31" s="1014" t="s">
        <v>353</v>
      </c>
      <c r="B31" s="1498"/>
      <c r="C31" s="1502"/>
      <c r="E31" s="1508"/>
    </row>
    <row r="32" spans="1:5" ht="15">
      <c r="A32" s="1014" t="s">
        <v>354</v>
      </c>
      <c r="B32" s="1015"/>
      <c r="C32" s="128"/>
      <c r="E32" s="1508"/>
    </row>
    <row r="33" spans="1:5" ht="15">
      <c r="A33" s="1014" t="s">
        <v>355</v>
      </c>
      <c r="B33" s="1015"/>
      <c r="C33" s="128"/>
      <c r="E33" s="1508"/>
    </row>
    <row r="34" spans="1:5" ht="15">
      <c r="A34" s="1014" t="s">
        <v>356</v>
      </c>
      <c r="B34" s="1015"/>
      <c r="C34" s="128"/>
      <c r="E34" s="1508"/>
    </row>
    <row r="35" spans="1:5" ht="27" customHeight="1">
      <c r="A35" s="1014" t="s">
        <v>357</v>
      </c>
      <c r="B35" s="1498" t="s">
        <v>1184</v>
      </c>
      <c r="C35" s="1502"/>
      <c r="E35" s="1508"/>
    </row>
    <row r="36" spans="1:5" ht="15">
      <c r="A36" s="1014" t="s">
        <v>358</v>
      </c>
      <c r="B36" s="1015"/>
      <c r="C36" s="128"/>
      <c r="E36" s="1508"/>
    </row>
    <row r="37" spans="1:5" ht="15">
      <c r="A37" s="1014"/>
      <c r="B37" s="1015"/>
      <c r="C37" s="128"/>
      <c r="E37" s="1508"/>
    </row>
    <row r="38" spans="1:5" ht="15">
      <c r="A38" s="1014" t="s">
        <v>1204</v>
      </c>
      <c r="B38" s="1498" t="s">
        <v>1205</v>
      </c>
      <c r="C38" s="1500"/>
      <c r="E38" s="1508"/>
    </row>
    <row r="39" spans="1:5" ht="25.5" customHeight="1">
      <c r="A39" s="1014" t="s">
        <v>359</v>
      </c>
      <c r="B39" s="1498" t="s">
        <v>1185</v>
      </c>
      <c r="C39" s="1500"/>
      <c r="E39" s="1508"/>
    </row>
    <row r="40" spans="1:5" ht="15">
      <c r="A40" s="1014" t="s">
        <v>360</v>
      </c>
      <c r="B40" s="1015"/>
      <c r="C40" s="128"/>
      <c r="E40" s="1508"/>
    </row>
    <row r="41" spans="1:5" ht="15">
      <c r="A41" s="1014"/>
      <c r="B41" s="1015"/>
      <c r="C41" s="128"/>
      <c r="E41" s="1508"/>
    </row>
    <row r="42" spans="1:5" ht="15">
      <c r="A42" s="1014" t="s">
        <v>361</v>
      </c>
      <c r="B42" s="1498" t="s">
        <v>517</v>
      </c>
      <c r="C42" s="1502"/>
      <c r="E42" s="1508"/>
    </row>
    <row r="43" spans="1:5" ht="15">
      <c r="A43" s="1014" t="s">
        <v>1461</v>
      </c>
      <c r="B43" s="1498"/>
      <c r="C43" s="1502"/>
      <c r="E43" s="1508"/>
    </row>
    <row r="44" spans="1:5" ht="25.5" customHeight="1">
      <c r="A44" s="1014" t="s">
        <v>362</v>
      </c>
      <c r="B44" s="1498" t="s">
        <v>1186</v>
      </c>
      <c r="C44" s="1500"/>
      <c r="E44" s="1508"/>
    </row>
    <row r="45" spans="1:5" ht="15">
      <c r="A45" s="1014" t="s">
        <v>1461</v>
      </c>
      <c r="B45" s="1015"/>
      <c r="C45" s="128"/>
      <c r="E45" s="1508"/>
    </row>
    <row r="46" spans="1:5" ht="25.5" customHeight="1">
      <c r="A46" s="1014" t="s">
        <v>363</v>
      </c>
      <c r="B46" s="1498" t="s">
        <v>518</v>
      </c>
      <c r="C46" s="1502"/>
      <c r="E46" s="1508"/>
    </row>
    <row r="47" spans="1:5" ht="24.75" customHeight="1">
      <c r="A47" s="1014" t="s">
        <v>2289</v>
      </c>
      <c r="B47" s="1498" t="s">
        <v>1187</v>
      </c>
      <c r="C47" s="1500"/>
      <c r="E47" s="1508"/>
    </row>
    <row r="48" spans="1:5" ht="15">
      <c r="A48" s="1014" t="s">
        <v>1461</v>
      </c>
      <c r="B48" s="1015"/>
      <c r="C48" s="128"/>
      <c r="E48" s="1508"/>
    </row>
    <row r="49" spans="1:5" ht="15">
      <c r="A49" s="1014"/>
      <c r="B49" s="1015"/>
      <c r="C49" s="128"/>
      <c r="E49" s="1508"/>
    </row>
    <row r="50" spans="1:5" ht="30">
      <c r="A50" s="1016" t="s">
        <v>1175</v>
      </c>
      <c r="B50" s="1498" t="s">
        <v>1188</v>
      </c>
      <c r="C50" s="1500"/>
      <c r="E50" s="1508"/>
    </row>
    <row r="51" spans="1:5" ht="39" customHeight="1">
      <c r="A51" s="1016" t="s">
        <v>1177</v>
      </c>
      <c r="B51" s="1498" t="s">
        <v>1189</v>
      </c>
      <c r="C51" s="1500"/>
      <c r="E51" s="1508"/>
    </row>
    <row r="52" spans="1:5" ht="15">
      <c r="A52" s="1014" t="s">
        <v>1176</v>
      </c>
      <c r="B52" s="1015"/>
      <c r="C52" s="128"/>
      <c r="E52" s="1508"/>
    </row>
    <row r="53" spans="1:5" ht="39.75" customHeight="1">
      <c r="A53" s="1016" t="s">
        <v>1178</v>
      </c>
      <c r="B53" s="1498" t="s">
        <v>1190</v>
      </c>
      <c r="C53" s="1502"/>
      <c r="E53" s="1508"/>
    </row>
    <row r="54" spans="1:5" ht="15">
      <c r="A54" s="1014" t="s">
        <v>1176</v>
      </c>
      <c r="B54" s="1015"/>
      <c r="C54" s="128"/>
      <c r="E54" s="1508"/>
    </row>
    <row r="55" spans="1:5" ht="30" customHeight="1">
      <c r="A55" s="1014" t="s">
        <v>2290</v>
      </c>
      <c r="B55" s="1498" t="s">
        <v>1191</v>
      </c>
      <c r="C55" s="1502"/>
      <c r="E55" s="1508"/>
    </row>
    <row r="56" spans="1:5" ht="15">
      <c r="A56" s="1014" t="s">
        <v>2291</v>
      </c>
      <c r="B56" s="1015"/>
      <c r="C56" s="128"/>
      <c r="E56" s="1508"/>
    </row>
    <row r="57" spans="1:5" ht="15">
      <c r="A57" s="1014" t="s">
        <v>2292</v>
      </c>
      <c r="B57" s="1498"/>
      <c r="C57" s="1502"/>
      <c r="E57" s="1508"/>
    </row>
    <row r="58" spans="1:5" ht="15">
      <c r="A58" s="1014" t="s">
        <v>2293</v>
      </c>
      <c r="B58" s="1015"/>
      <c r="C58" s="128"/>
      <c r="E58" s="1508"/>
    </row>
    <row r="59" spans="1:5" ht="15">
      <c r="A59" s="1014" t="s">
        <v>2294</v>
      </c>
      <c r="B59" s="1015"/>
      <c r="C59" s="128"/>
      <c r="E59" s="1508"/>
    </row>
    <row r="60" spans="1:5" ht="15">
      <c r="A60" s="1014" t="s">
        <v>2295</v>
      </c>
      <c r="B60" s="1498" t="s">
        <v>1203</v>
      </c>
      <c r="C60" s="1500"/>
      <c r="E60" s="1508"/>
    </row>
    <row r="61" spans="1:5" ht="29.25" customHeight="1">
      <c r="A61" s="1014" t="s">
        <v>2296</v>
      </c>
      <c r="B61" s="1498" t="s">
        <v>519</v>
      </c>
      <c r="C61" s="1502"/>
      <c r="E61" s="1508"/>
    </row>
    <row r="62" spans="1:5" ht="15">
      <c r="A62" s="1014" t="s">
        <v>1461</v>
      </c>
      <c r="B62" s="1015"/>
      <c r="C62" s="128"/>
      <c r="E62" s="1508"/>
    </row>
    <row r="63" spans="1:5" ht="31.5" customHeight="1">
      <c r="A63" s="1014" t="s">
        <v>2297</v>
      </c>
      <c r="B63" s="1498" t="s">
        <v>520</v>
      </c>
      <c r="C63" s="1500"/>
      <c r="E63" s="1508"/>
    </row>
    <row r="64" spans="1:5" ht="27" customHeight="1">
      <c r="A64" s="1014" t="s">
        <v>2298</v>
      </c>
      <c r="B64" s="1498" t="s">
        <v>1192</v>
      </c>
      <c r="C64" s="1502"/>
      <c r="E64" s="1508"/>
    </row>
    <row r="65" spans="1:5" ht="15">
      <c r="A65" s="1014" t="s">
        <v>2299</v>
      </c>
      <c r="B65" s="1015"/>
      <c r="C65" s="128"/>
      <c r="E65" s="1508"/>
    </row>
    <row r="66" spans="1:5" ht="15">
      <c r="A66" s="1014" t="s">
        <v>2300</v>
      </c>
      <c r="B66" s="1015"/>
      <c r="C66" s="128"/>
      <c r="E66" s="1508"/>
    </row>
    <row r="67" spans="1:5" ht="15">
      <c r="A67" s="1014" t="s">
        <v>1461</v>
      </c>
      <c r="B67" s="1015"/>
      <c r="C67" s="128"/>
      <c r="E67" s="1508"/>
    </row>
    <row r="68" spans="1:5" ht="26.25" customHeight="1">
      <c r="A68" s="1014" t="s">
        <v>2301</v>
      </c>
      <c r="B68" s="1498" t="s">
        <v>521</v>
      </c>
      <c r="C68" s="1502"/>
      <c r="E68" s="1508"/>
    </row>
    <row r="69" spans="1:5" ht="26.25" customHeight="1">
      <c r="A69" s="1014" t="s">
        <v>2302</v>
      </c>
      <c r="B69" s="1498" t="s">
        <v>1193</v>
      </c>
      <c r="C69" s="1500"/>
      <c r="E69" s="1508"/>
    </row>
    <row r="70" spans="1:5" ht="15">
      <c r="A70" s="1014" t="s">
        <v>2303</v>
      </c>
      <c r="B70" s="1015"/>
      <c r="C70" s="128"/>
      <c r="E70" s="1508"/>
    </row>
    <row r="71" spans="1:5" ht="15">
      <c r="A71" s="1014" t="s">
        <v>2304</v>
      </c>
      <c r="B71" s="1498"/>
      <c r="C71" s="1502"/>
      <c r="E71" s="1508"/>
    </row>
    <row r="72" spans="1:5" ht="15">
      <c r="A72" s="1014" t="s">
        <v>2305</v>
      </c>
      <c r="B72" s="1015"/>
      <c r="C72" s="128"/>
      <c r="E72" s="1508"/>
    </row>
    <row r="73" spans="1:5" ht="15">
      <c r="A73" s="1014" t="s">
        <v>2385</v>
      </c>
      <c r="B73" s="1498"/>
      <c r="C73" s="1502"/>
      <c r="E73" s="1508"/>
    </row>
    <row r="74" spans="1:5" ht="15">
      <c r="A74" s="1014"/>
      <c r="B74" s="1015"/>
      <c r="C74" s="128"/>
      <c r="E74" s="1508"/>
    </row>
    <row r="75" spans="1:5" ht="15">
      <c r="A75" s="1014" t="s">
        <v>1179</v>
      </c>
      <c r="B75" s="1498" t="s">
        <v>1194</v>
      </c>
      <c r="C75" s="1500"/>
      <c r="E75" s="1508"/>
    </row>
    <row r="76" spans="1:5" ht="15">
      <c r="A76" s="1014" t="s">
        <v>1180</v>
      </c>
      <c r="B76" s="1498"/>
      <c r="C76" s="1502"/>
      <c r="E76" s="1508"/>
    </row>
    <row r="77" spans="1:5" ht="15">
      <c r="A77" s="1014"/>
      <c r="B77" s="1015"/>
      <c r="C77" s="128"/>
      <c r="E77" s="1508"/>
    </row>
    <row r="78" spans="1:5" ht="15">
      <c r="A78" s="1014" t="s">
        <v>1181</v>
      </c>
      <c r="B78" s="1498" t="s">
        <v>2230</v>
      </c>
      <c r="C78" s="1500"/>
      <c r="E78" s="1508"/>
    </row>
    <row r="79" spans="1:5" ht="15">
      <c r="A79" s="1014" t="s">
        <v>1182</v>
      </c>
      <c r="B79" s="1015"/>
      <c r="C79" s="128"/>
      <c r="E79" s="1508"/>
    </row>
    <row r="80" spans="1:5" ht="15">
      <c r="A80" s="1014" t="s">
        <v>1183</v>
      </c>
      <c r="B80" s="1015"/>
      <c r="C80" s="128"/>
      <c r="E80" s="1508"/>
    </row>
    <row r="81" spans="1:5" ht="15">
      <c r="A81" s="1014"/>
      <c r="B81" s="1015"/>
      <c r="C81" s="128"/>
      <c r="E81" s="1508"/>
    </row>
    <row r="82" spans="1:5" ht="15">
      <c r="A82" s="1014"/>
      <c r="B82" s="1015"/>
      <c r="C82" s="128"/>
      <c r="E82" s="1508"/>
    </row>
  </sheetData>
  <sheetProtection password="EC35" sheet="1" objects="1" scenarios="1"/>
  <mergeCells count="40">
    <mergeCell ref="E1:E82"/>
    <mergeCell ref="B68:C68"/>
    <mergeCell ref="B71:C71"/>
    <mergeCell ref="B73:C73"/>
    <mergeCell ref="B76:C76"/>
    <mergeCell ref="B55:C55"/>
    <mergeCell ref="B64:C64"/>
    <mergeCell ref="B42:C42"/>
    <mergeCell ref="B43:C43"/>
    <mergeCell ref="B46:C46"/>
    <mergeCell ref="B53:C53"/>
    <mergeCell ref="B47:C47"/>
    <mergeCell ref="B50:C50"/>
    <mergeCell ref="B51:C51"/>
    <mergeCell ref="B1:C1"/>
    <mergeCell ref="B44:C44"/>
    <mergeCell ref="B26:C26"/>
    <mergeCell ref="B28:C28"/>
    <mergeCell ref="B39:C39"/>
    <mergeCell ref="B18:C18"/>
    <mergeCell ref="B19:C19"/>
    <mergeCell ref="B24:C24"/>
    <mergeCell ref="B23:C23"/>
    <mergeCell ref="B31:C31"/>
    <mergeCell ref="B69:C69"/>
    <mergeCell ref="B75:C75"/>
    <mergeCell ref="B78:C78"/>
    <mergeCell ref="B29:C29"/>
    <mergeCell ref="B63:C63"/>
    <mergeCell ref="B60:C60"/>
    <mergeCell ref="B38:C38"/>
    <mergeCell ref="B35:C35"/>
    <mergeCell ref="B57:C57"/>
    <mergeCell ref="B61:C61"/>
    <mergeCell ref="B20:C20"/>
    <mergeCell ref="B21:C21"/>
    <mergeCell ref="B7:C7"/>
    <mergeCell ref="B30:C30"/>
    <mergeCell ref="B15:C15"/>
    <mergeCell ref="B12:C12"/>
  </mergeCells>
  <hyperlinks>
    <hyperlink ref="B35:C35" r:id="rId1" display="Line 213"/>
    <hyperlink ref="B53:C53" r:id="rId2" display="Line 305"/>
    <hyperlink ref="B61:C61" r:id="rId3" display="Line 363"/>
    <hyperlink ref="B64:C64" r:id="rId4" display="Line 365"/>
    <hyperlink ref="E1:E82" location="'GO TO'!G25" display="  "/>
    <hyperlink ref="B7:C7" r:id="rId5" display="Elections Canada"/>
    <hyperlink ref="B15:C15" r:id="rId6" display="Installment Payments"/>
    <hyperlink ref="B18:C18" r:id="rId7" display="Line 115"/>
    <hyperlink ref="B19:C19" r:id="rId8" display="Line 116"/>
    <hyperlink ref="B20:C20" r:id="rId9" display="Line 129"/>
    <hyperlink ref="B21:C21" r:id="rId10" display="Line 210"/>
    <hyperlink ref="B23:C23" r:id="rId11" display="Line 127"/>
    <hyperlink ref="B24:C24" r:id="rId12" display="Line 130"/>
    <hyperlink ref="B26:C26" r:id="rId13" display="Line 130"/>
    <hyperlink ref="B28:C28" r:id="rId14" display="Lines 135 to 143"/>
    <hyperlink ref="B30:C30" r:id="rId15" display="Guide T4040"/>
    <hyperlink ref="B39:C39" r:id="rId16" display="Line 224"/>
    <hyperlink ref="B42:C42" r:id="rId17" display="Line 229"/>
    <hyperlink ref="B44:C44" r:id="rId18" display="Line 249"/>
    <hyperlink ref="B46:C46" r:id="rId19" display="Line 254"/>
    <hyperlink ref="B47:C47" r:id="rId20" display="Line 255"/>
    <hyperlink ref="B50:C50" r:id="rId21" display="Line 300"/>
    <hyperlink ref="B51:C51" r:id="rId22" display="Line 303"/>
    <hyperlink ref="B55:C55" r:id="rId23" display="Line 367"/>
    <hyperlink ref="B60:C60" r:id="rId24" display="Line 326"/>
    <hyperlink ref="B63:C63" r:id="rId25" display="Line 364"/>
    <hyperlink ref="B69:C69" r:id="rId26" display="Line 453"/>
    <hyperlink ref="B75:C75" r:id="rId27" display="Schedule 1"/>
    <hyperlink ref="B38:C38" r:id="rId28" display="Line 214"/>
    <hyperlink ref="B78:C78" r:id="rId29" display="T778"/>
    <hyperlink ref="B68:C68" r:id="rId30" display="Line 412"/>
  </hyperlinks>
  <printOptions/>
  <pageMargins left="0.75" right="0.75" top="1" bottom="1" header="0.5" footer="0.5"/>
  <pageSetup horizontalDpi="600" verticalDpi="600" orientation="portrait" r:id="rId31"/>
</worksheet>
</file>

<file path=xl/worksheets/sheet20.xml><?xml version="1.0" encoding="utf-8"?>
<worksheet xmlns="http://schemas.openxmlformats.org/spreadsheetml/2006/main" xmlns:r="http://schemas.openxmlformats.org/officeDocument/2006/relationships">
  <sheetPr codeName="Sheet23">
    <pageSetUpPr fitToPage="1"/>
  </sheetPr>
  <dimension ref="A1:P122"/>
  <sheetViews>
    <sheetView zoomScale="75" zoomScaleNormal="75" workbookViewId="0" topLeftCell="A1">
      <selection activeCell="A7" sqref="A7"/>
    </sheetView>
  </sheetViews>
  <sheetFormatPr defaultColWidth="8.88671875" defaultRowHeight="15"/>
  <cols>
    <col min="1" max="2" width="24.77734375" style="0" customWidth="1"/>
    <col min="3" max="3" width="4.3359375" style="1152" customWidth="1"/>
    <col min="4" max="4" width="3.88671875" style="0" bestFit="1" customWidth="1"/>
    <col min="5" max="5" width="3.77734375" style="0" customWidth="1"/>
    <col min="6" max="6" width="3.3359375" style="0" customWidth="1"/>
    <col min="7" max="7" width="4.3359375" style="0" customWidth="1"/>
    <col min="8" max="8" width="3.77734375" style="0" customWidth="1"/>
    <col min="9" max="9" width="3.3359375" style="0" customWidth="1"/>
    <col min="10" max="10" width="12.77734375" style="0" customWidth="1"/>
    <col min="11" max="11" width="4.77734375" style="0" customWidth="1"/>
    <col min="12" max="12" width="3.77734375" style="0" customWidth="1"/>
    <col min="13" max="13" width="12.77734375" style="0" customWidth="1"/>
    <col min="14" max="14" width="4.77734375" style="0" customWidth="1"/>
    <col min="15" max="15" width="2.77734375" style="0" customWidth="1"/>
  </cols>
  <sheetData>
    <row r="1" spans="1:16" ht="25.5" customHeight="1">
      <c r="A1" s="1345" t="str">
        <f>"T1-"&amp;yeartext</f>
        <v>T1-2007</v>
      </c>
      <c r="B1" s="1346"/>
      <c r="C1" s="1347"/>
      <c r="D1" s="1348" t="s">
        <v>2214</v>
      </c>
      <c r="E1" s="1349"/>
      <c r="F1" s="607"/>
      <c r="G1" s="607"/>
      <c r="H1" s="607"/>
      <c r="I1" s="607"/>
      <c r="J1" s="607"/>
      <c r="K1" s="607"/>
      <c r="L1" s="607"/>
      <c r="M1" s="607"/>
      <c r="N1" s="1472" t="s">
        <v>268</v>
      </c>
      <c r="P1" s="1668" t="s">
        <v>364</v>
      </c>
    </row>
    <row r="2" spans="1:16" ht="19.5" customHeight="1">
      <c r="A2" s="607" t="s">
        <v>1643</v>
      </c>
      <c r="B2" s="607"/>
      <c r="C2" s="1347"/>
      <c r="D2" s="607"/>
      <c r="E2" s="607"/>
      <c r="F2" s="607"/>
      <c r="G2" s="607"/>
      <c r="H2" s="607"/>
      <c r="I2" s="607"/>
      <c r="J2" s="607"/>
      <c r="K2" s="607"/>
      <c r="L2" s="607"/>
      <c r="M2" s="607"/>
      <c r="N2" s="607"/>
      <c r="P2" s="1508"/>
    </row>
    <row r="3" spans="1:16" ht="15">
      <c r="A3" s="1350" t="s">
        <v>1014</v>
      </c>
      <c r="B3" s="1350"/>
      <c r="C3" s="1347"/>
      <c r="D3" s="607"/>
      <c r="E3" s="607"/>
      <c r="F3" s="607"/>
      <c r="G3" s="607"/>
      <c r="H3" s="607"/>
      <c r="I3" s="607"/>
      <c r="J3" s="607"/>
      <c r="K3" s="607"/>
      <c r="L3" s="607"/>
      <c r="M3" s="607"/>
      <c r="N3" s="607"/>
      <c r="P3" s="1508"/>
    </row>
    <row r="4" spans="1:16" ht="15.75">
      <c r="A4" s="607" t="s">
        <v>2216</v>
      </c>
      <c r="B4" s="607"/>
      <c r="C4" s="1347"/>
      <c r="D4" s="607"/>
      <c r="E4" s="607"/>
      <c r="F4" s="607"/>
      <c r="G4" s="607"/>
      <c r="H4" s="607"/>
      <c r="I4" s="607"/>
      <c r="J4" s="607"/>
      <c r="K4" s="607"/>
      <c r="L4" s="607"/>
      <c r="M4" s="607"/>
      <c r="N4" s="607"/>
      <c r="P4" s="1508"/>
    </row>
    <row r="5" spans="1:16" ht="15">
      <c r="A5" s="1350" t="s">
        <v>1015</v>
      </c>
      <c r="B5" s="1350"/>
      <c r="C5" s="1347"/>
      <c r="D5" s="607"/>
      <c r="E5" s="607"/>
      <c r="F5" s="607"/>
      <c r="G5" s="607"/>
      <c r="H5" s="607"/>
      <c r="I5" s="607"/>
      <c r="J5" s="607"/>
      <c r="K5" s="607"/>
      <c r="L5" s="607"/>
      <c r="M5" s="607"/>
      <c r="N5" s="607"/>
      <c r="P5" s="1508"/>
    </row>
    <row r="6" spans="1:16" ht="15.75">
      <c r="A6" s="607" t="s">
        <v>2215</v>
      </c>
      <c r="B6" s="607"/>
      <c r="C6" s="1347"/>
      <c r="D6" s="607"/>
      <c r="E6" s="607"/>
      <c r="F6" s="607"/>
      <c r="G6" s="607"/>
      <c r="H6" s="607"/>
      <c r="I6" s="607"/>
      <c r="J6" s="607"/>
      <c r="K6" s="607"/>
      <c r="L6" s="607"/>
      <c r="M6" s="607"/>
      <c r="N6" s="607"/>
      <c r="P6" s="1508"/>
    </row>
    <row r="7" spans="1:16" ht="15">
      <c r="A7" s="607"/>
      <c r="B7" s="607"/>
      <c r="C7" s="1347"/>
      <c r="D7" s="607"/>
      <c r="E7" s="607"/>
      <c r="F7" s="607"/>
      <c r="G7" s="607"/>
      <c r="H7" s="607"/>
      <c r="I7" s="607"/>
      <c r="J7" s="607"/>
      <c r="K7" s="607"/>
      <c r="L7" s="607"/>
      <c r="M7" s="607"/>
      <c r="N7" s="607"/>
      <c r="P7" s="1508"/>
    </row>
    <row r="8" spans="1:16" ht="15.75">
      <c r="A8" s="720" t="s">
        <v>2217</v>
      </c>
      <c r="B8" s="607"/>
      <c r="C8" s="1347"/>
      <c r="D8" s="607"/>
      <c r="E8" s="607"/>
      <c r="F8" s="607"/>
      <c r="G8" s="607"/>
      <c r="H8" s="607"/>
      <c r="I8" s="607"/>
      <c r="J8" s="607"/>
      <c r="K8" s="607"/>
      <c r="L8" s="607"/>
      <c r="M8" s="607"/>
      <c r="N8" s="607"/>
      <c r="P8" s="1508"/>
    </row>
    <row r="9" spans="1:16" ht="15">
      <c r="A9" s="607" t="s">
        <v>2218</v>
      </c>
      <c r="B9" s="607"/>
      <c r="C9" s="1347"/>
      <c r="D9" s="607"/>
      <c r="E9" s="607"/>
      <c r="F9" s="607"/>
      <c r="G9" s="607"/>
      <c r="H9" s="607"/>
      <c r="I9" s="607"/>
      <c r="J9" s="607"/>
      <c r="K9" s="607"/>
      <c r="L9" s="607"/>
      <c r="M9" s="607"/>
      <c r="N9" s="607"/>
      <c r="P9" s="1508"/>
    </row>
    <row r="10" spans="1:16" ht="23.25" customHeight="1">
      <c r="A10" s="720" t="str">
        <f>"You must also meet all of the following conditions in "&amp;yeartext&amp;":"</f>
        <v>You must also meet all of the following conditions in 2007:</v>
      </c>
      <c r="B10" s="720"/>
      <c r="C10" s="1347"/>
      <c r="D10" s="607"/>
      <c r="E10" s="607"/>
      <c r="F10" s="607"/>
      <c r="G10" s="607"/>
      <c r="H10" s="607"/>
      <c r="I10" s="607"/>
      <c r="J10" s="607"/>
      <c r="K10" s="607"/>
      <c r="L10" s="607"/>
      <c r="M10" s="607"/>
      <c r="N10" s="607"/>
      <c r="P10" s="1508"/>
    </row>
    <row r="11" spans="1:16" ht="15">
      <c r="A11" s="1350" t="s">
        <v>1016</v>
      </c>
      <c r="B11" s="1350"/>
      <c r="C11" s="1347"/>
      <c r="D11" s="607"/>
      <c r="E11" s="607"/>
      <c r="F11" s="607"/>
      <c r="G11" s="607"/>
      <c r="H11" s="607"/>
      <c r="I11" s="607"/>
      <c r="J11" s="607"/>
      <c r="K11" s="607"/>
      <c r="L11" s="607"/>
      <c r="M11" s="607"/>
      <c r="N11" s="607"/>
      <c r="P11" s="1508"/>
    </row>
    <row r="12" spans="1:16" ht="15">
      <c r="A12" s="1350" t="s">
        <v>1017</v>
      </c>
      <c r="B12" s="1350"/>
      <c r="C12" s="1347"/>
      <c r="D12" s="607"/>
      <c r="E12" s="607"/>
      <c r="F12" s="607"/>
      <c r="G12" s="607"/>
      <c r="H12" s="607"/>
      <c r="I12" s="607"/>
      <c r="J12" s="607"/>
      <c r="K12" s="607"/>
      <c r="L12" s="607"/>
      <c r="M12" s="607"/>
      <c r="N12" s="607"/>
      <c r="P12" s="1508"/>
    </row>
    <row r="13" spans="1:16" ht="15">
      <c r="A13" s="1350" t="s">
        <v>1018</v>
      </c>
      <c r="B13" s="1350"/>
      <c r="C13" s="1347"/>
      <c r="D13" s="607"/>
      <c r="E13" s="607"/>
      <c r="F13" s="607"/>
      <c r="G13" s="607"/>
      <c r="H13" s="607"/>
      <c r="I13" s="607"/>
      <c r="J13" s="607"/>
      <c r="K13" s="607"/>
      <c r="L13" s="607"/>
      <c r="M13" s="607"/>
      <c r="N13" s="607"/>
      <c r="P13" s="1508"/>
    </row>
    <row r="14" spans="1:16" ht="24.75" customHeight="1">
      <c r="A14" s="720" t="str">
        <f>"You cannot claim the WITB if in "&amp;yeartext&amp;":"</f>
        <v>You cannot claim the WITB if in 2007:</v>
      </c>
      <c r="B14" s="720"/>
      <c r="C14" s="1347"/>
      <c r="D14" s="607"/>
      <c r="E14" s="607"/>
      <c r="F14" s="607"/>
      <c r="G14" s="607"/>
      <c r="H14" s="607"/>
      <c r="I14" s="607"/>
      <c r="J14" s="607"/>
      <c r="K14" s="607"/>
      <c r="L14" s="607"/>
      <c r="M14" s="607"/>
      <c r="N14" s="607"/>
      <c r="P14" s="1508"/>
    </row>
    <row r="15" spans="1:16" ht="15">
      <c r="A15" s="1350" t="s">
        <v>1019</v>
      </c>
      <c r="B15" s="1350"/>
      <c r="C15" s="1347"/>
      <c r="D15" s="607"/>
      <c r="E15" s="607"/>
      <c r="F15" s="607"/>
      <c r="G15" s="607"/>
      <c r="H15" s="607"/>
      <c r="I15" s="607"/>
      <c r="J15" s="607"/>
      <c r="K15" s="607"/>
      <c r="L15" s="607"/>
      <c r="M15" s="607"/>
      <c r="N15" s="607"/>
      <c r="P15" s="1508"/>
    </row>
    <row r="16" spans="1:16" ht="15">
      <c r="A16" s="607" t="s">
        <v>1020</v>
      </c>
      <c r="B16" s="607"/>
      <c r="C16" s="1347"/>
      <c r="D16" s="607"/>
      <c r="E16" s="607"/>
      <c r="F16" s="607"/>
      <c r="G16" s="607"/>
      <c r="H16" s="607"/>
      <c r="I16" s="607"/>
      <c r="J16" s="607"/>
      <c r="K16" s="607"/>
      <c r="L16" s="607"/>
      <c r="M16" s="607"/>
      <c r="N16" s="607"/>
      <c r="P16" s="1508"/>
    </row>
    <row r="17" spans="1:16" ht="15">
      <c r="A17" s="1350" t="s">
        <v>2186</v>
      </c>
      <c r="B17" s="1350"/>
      <c r="C17" s="1347"/>
      <c r="D17" s="607"/>
      <c r="E17" s="607"/>
      <c r="F17" s="607"/>
      <c r="G17" s="607"/>
      <c r="H17" s="607"/>
      <c r="I17" s="607"/>
      <c r="J17" s="607"/>
      <c r="K17" s="607"/>
      <c r="L17" s="607"/>
      <c r="M17" s="607"/>
      <c r="N17" s="607"/>
      <c r="P17" s="1508"/>
    </row>
    <row r="18" spans="1:16" ht="27.75" customHeight="1">
      <c r="A18" s="720" t="s">
        <v>2199</v>
      </c>
      <c r="B18" s="720"/>
      <c r="C18" s="1347"/>
      <c r="D18" s="607"/>
      <c r="E18" s="607"/>
      <c r="F18" s="607"/>
      <c r="G18" s="607"/>
      <c r="H18" s="607"/>
      <c r="I18" s="607"/>
      <c r="J18" s="607"/>
      <c r="K18" s="607"/>
      <c r="L18" s="607"/>
      <c r="M18" s="607"/>
      <c r="N18" s="607"/>
      <c r="P18" s="1508"/>
    </row>
    <row r="19" spans="1:16" ht="15">
      <c r="A19" s="607" t="str">
        <f>"          person if the date of death was after June 30, "&amp;yeartext&amp;"."</f>
        <v>          person if the date of death was after June 30, 2007.</v>
      </c>
      <c r="B19" s="607"/>
      <c r="C19" s="1347"/>
      <c r="D19" s="607"/>
      <c r="E19" s="607"/>
      <c r="F19" s="607"/>
      <c r="G19" s="607"/>
      <c r="H19" s="607"/>
      <c r="I19" s="607"/>
      <c r="J19" s="607"/>
      <c r="K19" s="607"/>
      <c r="L19" s="607"/>
      <c r="M19" s="607"/>
      <c r="N19" s="607"/>
      <c r="P19" s="1508"/>
    </row>
    <row r="20" spans="1:16" ht="27.75" customHeight="1">
      <c r="A20" s="1351" t="s">
        <v>1962</v>
      </c>
      <c r="B20" s="1346"/>
      <c r="C20" s="1347"/>
      <c r="D20" s="607"/>
      <c r="E20" s="607"/>
      <c r="F20" s="607"/>
      <c r="G20" s="607"/>
      <c r="H20" s="607"/>
      <c r="I20" s="607"/>
      <c r="J20" s="607"/>
      <c r="K20" s="607"/>
      <c r="L20" s="607"/>
      <c r="M20" s="607"/>
      <c r="N20" s="607"/>
      <c r="P20" s="1508"/>
    </row>
    <row r="21" spans="1:16" ht="9.75" customHeight="1">
      <c r="A21" s="607"/>
      <c r="B21" s="607"/>
      <c r="C21" s="1347"/>
      <c r="D21" s="607"/>
      <c r="E21" s="607"/>
      <c r="F21" s="607"/>
      <c r="G21" s="607"/>
      <c r="H21" s="607"/>
      <c r="I21" s="607"/>
      <c r="J21" s="607"/>
      <c r="K21" s="607"/>
      <c r="L21" s="607"/>
      <c r="M21" s="607"/>
      <c r="N21" s="607"/>
      <c r="P21" s="1508"/>
    </row>
    <row r="22" spans="1:16" ht="18">
      <c r="A22" s="618" t="s">
        <v>2187</v>
      </c>
      <c r="B22" s="618"/>
      <c r="C22" s="1356" t="s">
        <v>2196</v>
      </c>
      <c r="D22" s="607" t="s">
        <v>2050</v>
      </c>
      <c r="E22" s="1357" t="s">
        <v>458</v>
      </c>
      <c r="F22" s="1352" t="s">
        <v>661</v>
      </c>
      <c r="G22" s="1353" t="s">
        <v>1058</v>
      </c>
      <c r="H22" s="1363" t="str">
        <f>IF(E22="X"," ","X")</f>
        <v>X</v>
      </c>
      <c r="I22" s="1352" t="s">
        <v>698</v>
      </c>
      <c r="J22" s="607"/>
      <c r="K22" s="607"/>
      <c r="L22" s="607"/>
      <c r="M22" s="607"/>
      <c r="N22" s="607"/>
      <c r="P22" s="1508"/>
    </row>
    <row r="23" spans="1:16" ht="15">
      <c r="A23" s="607"/>
      <c r="B23" s="607"/>
      <c r="C23" s="1347"/>
      <c r="D23" s="607"/>
      <c r="E23" s="607"/>
      <c r="F23" s="607"/>
      <c r="G23" s="607"/>
      <c r="H23" s="607"/>
      <c r="I23" s="607"/>
      <c r="J23" s="607"/>
      <c r="K23" s="607"/>
      <c r="L23" s="607"/>
      <c r="M23" s="607"/>
      <c r="N23" s="607"/>
      <c r="P23" s="1508"/>
    </row>
    <row r="24" spans="1:16" ht="18">
      <c r="A24" s="618" t="s">
        <v>2188</v>
      </c>
      <c r="B24" s="618"/>
      <c r="C24" s="1356" t="s">
        <v>2197</v>
      </c>
      <c r="D24" s="607" t="s">
        <v>2050</v>
      </c>
      <c r="E24" s="1357" t="s">
        <v>458</v>
      </c>
      <c r="F24" s="1352" t="s">
        <v>661</v>
      </c>
      <c r="G24" s="1353" t="s">
        <v>1058</v>
      </c>
      <c r="H24" s="1363" t="str">
        <f>IF(E24="X"," ","X")</f>
        <v>X</v>
      </c>
      <c r="I24" s="1352" t="s">
        <v>698</v>
      </c>
      <c r="J24" s="1364"/>
      <c r="K24" s="607"/>
      <c r="L24" s="607"/>
      <c r="M24" s="607"/>
      <c r="N24" s="607"/>
      <c r="P24" s="1508"/>
    </row>
    <row r="25" spans="1:16" ht="9.75" customHeight="1">
      <c r="A25" s="607"/>
      <c r="B25" s="607"/>
      <c r="C25" s="1347"/>
      <c r="D25" s="607"/>
      <c r="E25" s="607"/>
      <c r="F25" s="607"/>
      <c r="G25" s="607"/>
      <c r="H25" s="607"/>
      <c r="I25" s="607"/>
      <c r="J25" s="607"/>
      <c r="K25" s="607"/>
      <c r="L25" s="607"/>
      <c r="M25" s="607"/>
      <c r="N25" s="607"/>
      <c r="P25" s="1508"/>
    </row>
    <row r="26" spans="1:16" ht="18">
      <c r="A26" s="1346" t="s">
        <v>1966</v>
      </c>
      <c r="B26" s="1346"/>
      <c r="C26" s="1347"/>
      <c r="D26" s="607"/>
      <c r="E26" s="1364">
        <f>IF(OR('T1 GEN-1'!O20="X",'T1 GEN-1'!R20="X"),"ALERT: You have a spouse or common-law partner","")</f>
      </c>
      <c r="F26" s="607"/>
      <c r="G26" s="607"/>
      <c r="H26" s="607"/>
      <c r="I26" s="607"/>
      <c r="J26" s="607"/>
      <c r="K26" s="607"/>
      <c r="L26" s="607"/>
      <c r="M26" s="607"/>
      <c r="N26" s="607"/>
      <c r="P26" s="1508"/>
    </row>
    <row r="27" spans="1:16" ht="15.75">
      <c r="A27" s="607" t="s">
        <v>1967</v>
      </c>
      <c r="B27" s="607"/>
      <c r="C27" s="1347"/>
      <c r="D27" s="607"/>
      <c r="E27" s="607"/>
      <c r="F27" s="607"/>
      <c r="G27" s="607"/>
      <c r="H27" s="607"/>
      <c r="I27" s="607"/>
      <c r="J27" s="665" t="s">
        <v>2513</v>
      </c>
      <c r="K27" s="607"/>
      <c r="L27" s="607"/>
      <c r="M27" s="665" t="s">
        <v>2512</v>
      </c>
      <c r="N27" s="607"/>
      <c r="P27" s="1508"/>
    </row>
    <row r="28" spans="1:16" ht="15.75">
      <c r="A28" s="607" t="str">
        <f>"December 31, "&amp;yeartext&amp;". Otherwise, complete column 1 only."</f>
        <v>December 31, 2007. Otherwise, complete column 1 only.</v>
      </c>
      <c r="B28" s="607"/>
      <c r="C28" s="1347"/>
      <c r="D28" s="607"/>
      <c r="E28" s="607"/>
      <c r="F28" s="607"/>
      <c r="G28" s="607"/>
      <c r="H28" s="607"/>
      <c r="I28" s="607"/>
      <c r="J28" s="665" t="s">
        <v>1963</v>
      </c>
      <c r="K28" s="607"/>
      <c r="L28" s="607"/>
      <c r="M28" s="665" t="s">
        <v>1964</v>
      </c>
      <c r="N28" s="607"/>
      <c r="P28" s="1508"/>
    </row>
    <row r="29" spans="1:16" ht="15.75">
      <c r="A29" s="607"/>
      <c r="B29" s="607"/>
      <c r="C29" s="1347"/>
      <c r="D29" s="607"/>
      <c r="E29" s="607"/>
      <c r="F29" s="607"/>
      <c r="G29" s="607"/>
      <c r="H29" s="607"/>
      <c r="I29" s="607"/>
      <c r="J29" s="607"/>
      <c r="K29" s="607"/>
      <c r="L29" s="607"/>
      <c r="M29" s="665" t="s">
        <v>1965</v>
      </c>
      <c r="N29" s="607"/>
      <c r="P29" s="1508"/>
    </row>
    <row r="30" spans="1:16" ht="15">
      <c r="A30" s="607" t="s">
        <v>2645</v>
      </c>
      <c r="B30" s="607"/>
      <c r="C30" s="1347"/>
      <c r="D30" s="607"/>
      <c r="E30" s="607"/>
      <c r="F30" s="607"/>
      <c r="G30" s="607"/>
      <c r="H30" s="607"/>
      <c r="I30" s="607"/>
      <c r="J30" s="607"/>
      <c r="K30" s="607"/>
      <c r="L30" s="607"/>
      <c r="M30" s="607"/>
      <c r="N30" s="607"/>
      <c r="P30" s="1508"/>
    </row>
    <row r="31" spans="1:16" ht="15.75">
      <c r="A31" s="618" t="s">
        <v>2189</v>
      </c>
      <c r="B31" s="618"/>
      <c r="C31" s="638"/>
      <c r="D31" s="618"/>
      <c r="E31" s="618"/>
      <c r="F31" s="618"/>
      <c r="G31" s="618"/>
      <c r="H31" s="607"/>
      <c r="I31" s="607"/>
      <c r="J31" s="1198">
        <f>'T1 GEN-2-3-4'!I13+'T1 GEN-2-3-4'!I15</f>
        <v>0</v>
      </c>
      <c r="K31" s="1354" t="s">
        <v>699</v>
      </c>
      <c r="L31" s="607"/>
      <c r="M31" s="1292"/>
      <c r="N31" s="1354" t="s">
        <v>699</v>
      </c>
      <c r="P31" s="1508"/>
    </row>
    <row r="32" spans="1:16" ht="15.75">
      <c r="A32" s="618" t="s">
        <v>2648</v>
      </c>
      <c r="B32" s="618"/>
      <c r="C32" s="638"/>
      <c r="D32" s="618"/>
      <c r="E32" s="618"/>
      <c r="F32" s="618"/>
      <c r="G32" s="618"/>
      <c r="H32" s="607"/>
      <c r="I32" s="1356" t="s">
        <v>2198</v>
      </c>
      <c r="J32" s="1292"/>
      <c r="K32" s="1354" t="s">
        <v>700</v>
      </c>
      <c r="L32" s="1356" t="s">
        <v>2200</v>
      </c>
      <c r="M32" s="1292"/>
      <c r="N32" s="1354" t="s">
        <v>700</v>
      </c>
      <c r="P32" s="1508"/>
    </row>
    <row r="33" spans="1:16" ht="15.75">
      <c r="A33" s="607" t="s">
        <v>2644</v>
      </c>
      <c r="B33" s="607"/>
      <c r="C33" s="1347"/>
      <c r="D33" s="607"/>
      <c r="E33" s="607"/>
      <c r="F33" s="607"/>
      <c r="G33" s="607"/>
      <c r="H33" s="607"/>
      <c r="I33" s="607"/>
      <c r="J33" s="607"/>
      <c r="K33" s="1354"/>
      <c r="L33" s="607"/>
      <c r="M33" s="607"/>
      <c r="N33" s="1354"/>
      <c r="P33" s="1508"/>
    </row>
    <row r="34" spans="1:16" ht="15.75">
      <c r="A34" s="618" t="s">
        <v>2219</v>
      </c>
      <c r="B34" s="618"/>
      <c r="C34" s="638"/>
      <c r="D34" s="618"/>
      <c r="E34" s="618"/>
      <c r="F34" s="618"/>
      <c r="G34" s="618"/>
      <c r="H34" s="607"/>
      <c r="I34" s="607"/>
      <c r="J34" s="1198">
        <f>MAX(0,'T1 GEN-2-3-4'!I33)+MAX(0,'T1 GEN-2-3-4'!I34)+MAX(0,'T1 GEN-2-3-4'!I35)+MAX(0,'T1 GEN-2-3-4'!I36)+MAX(0,'T1 GEN-2-3-4'!I37)</f>
        <v>0</v>
      </c>
      <c r="K34" s="1354" t="s">
        <v>701</v>
      </c>
      <c r="L34" s="607"/>
      <c r="M34" s="1292"/>
      <c r="N34" s="1354" t="s">
        <v>701</v>
      </c>
      <c r="P34" s="1508"/>
    </row>
    <row r="35" spans="1:16" ht="15">
      <c r="A35" s="607" t="s">
        <v>2646</v>
      </c>
      <c r="B35" s="607"/>
      <c r="C35" s="1347"/>
      <c r="D35" s="607"/>
      <c r="E35" s="607"/>
      <c r="F35" s="607"/>
      <c r="G35" s="607"/>
      <c r="H35" s="607"/>
      <c r="I35" s="607"/>
      <c r="J35" s="607"/>
      <c r="K35" s="607"/>
      <c r="L35" s="607"/>
      <c r="M35" s="607"/>
      <c r="N35" s="607"/>
      <c r="P35" s="1508"/>
    </row>
    <row r="36" spans="1:16" ht="15.75">
      <c r="A36" s="618" t="s">
        <v>2647</v>
      </c>
      <c r="B36" s="618"/>
      <c r="C36" s="638"/>
      <c r="D36" s="618"/>
      <c r="E36" s="618"/>
      <c r="F36" s="618"/>
      <c r="G36" s="618"/>
      <c r="H36" s="607"/>
      <c r="I36" s="1356" t="s">
        <v>2211</v>
      </c>
      <c r="J36" s="1292"/>
      <c r="K36" s="1354" t="s">
        <v>702</v>
      </c>
      <c r="L36" s="1356" t="s">
        <v>2212</v>
      </c>
      <c r="M36" s="1292"/>
      <c r="N36" s="1354" t="s">
        <v>702</v>
      </c>
      <c r="P36" s="1508"/>
    </row>
    <row r="37" spans="1:16" ht="15.75">
      <c r="A37" s="618" t="s">
        <v>2649</v>
      </c>
      <c r="B37" s="618"/>
      <c r="C37" s="638"/>
      <c r="D37" s="618"/>
      <c r="E37" s="618"/>
      <c r="F37" s="618"/>
      <c r="G37" s="618"/>
      <c r="H37" s="607"/>
      <c r="I37" s="607"/>
      <c r="J37" s="1198">
        <f>SUM(J31:J36)</f>
        <v>0</v>
      </c>
      <c r="K37" s="1354" t="s">
        <v>64</v>
      </c>
      <c r="L37" s="1356" t="s">
        <v>2213</v>
      </c>
      <c r="M37" s="1198">
        <f>SUM(M31:M36)</f>
        <v>0</v>
      </c>
      <c r="N37" s="1354" t="s">
        <v>64</v>
      </c>
      <c r="P37" s="1508"/>
    </row>
    <row r="38" spans="1:16" ht="15">
      <c r="A38" s="607"/>
      <c r="B38" s="607"/>
      <c r="C38" s="1347"/>
      <c r="D38" s="607"/>
      <c r="E38" s="607"/>
      <c r="F38" s="607"/>
      <c r="G38" s="607"/>
      <c r="H38" s="607"/>
      <c r="I38" s="607"/>
      <c r="J38" s="607"/>
      <c r="K38" s="607"/>
      <c r="L38" s="607"/>
      <c r="M38" s="607"/>
      <c r="N38" s="607"/>
      <c r="P38" s="1508"/>
    </row>
    <row r="39" spans="1:16" ht="15.75">
      <c r="A39" s="618" t="s">
        <v>2190</v>
      </c>
      <c r="B39" s="618"/>
      <c r="C39" s="638"/>
      <c r="D39" s="618"/>
      <c r="E39" s="618"/>
      <c r="F39" s="618"/>
      <c r="G39" s="618"/>
      <c r="H39" s="758" t="s">
        <v>2220</v>
      </c>
      <c r="I39" s="1353"/>
      <c r="J39" s="1198">
        <f>J37+M37</f>
        <v>0</v>
      </c>
      <c r="K39" s="1354" t="s">
        <v>703</v>
      </c>
      <c r="L39" s="607"/>
      <c r="M39" s="607"/>
      <c r="N39" s="607"/>
      <c r="P39" s="1508"/>
    </row>
    <row r="40" spans="1:16" ht="27.75" customHeight="1">
      <c r="A40" s="1346" t="s">
        <v>1961</v>
      </c>
      <c r="B40" s="1346"/>
      <c r="C40" s="1347"/>
      <c r="D40" s="607"/>
      <c r="E40" s="607"/>
      <c r="F40" s="607"/>
      <c r="G40" s="607"/>
      <c r="H40" s="607"/>
      <c r="I40" s="607"/>
      <c r="J40" s="607"/>
      <c r="K40" s="607"/>
      <c r="L40" s="607"/>
      <c r="M40" s="607"/>
      <c r="N40" s="607"/>
      <c r="P40" s="1508"/>
    </row>
    <row r="41" spans="1:16" ht="21.75" customHeight="1">
      <c r="A41" s="618" t="s">
        <v>2651</v>
      </c>
      <c r="B41" s="618"/>
      <c r="C41" s="638"/>
      <c r="D41" s="618"/>
      <c r="E41" s="618"/>
      <c r="F41" s="618"/>
      <c r="G41" s="618"/>
      <c r="H41" s="607"/>
      <c r="I41" s="607"/>
      <c r="J41" s="1198">
        <f>'T1 GEN-2-3-4'!K89</f>
        <v>0</v>
      </c>
      <c r="K41" s="1354" t="s">
        <v>2288</v>
      </c>
      <c r="L41" s="607"/>
      <c r="M41" s="1198">
        <f>'T1 GEN-1'!U30</f>
        <v>0</v>
      </c>
      <c r="N41" s="1354" t="s">
        <v>2288</v>
      </c>
      <c r="P41" s="1508"/>
    </row>
    <row r="42" spans="1:16" ht="15">
      <c r="A42" s="607" t="s">
        <v>1954</v>
      </c>
      <c r="B42" s="607"/>
      <c r="C42" s="1347"/>
      <c r="D42" s="607"/>
      <c r="E42" s="607"/>
      <c r="F42" s="607"/>
      <c r="G42" s="607"/>
      <c r="H42" s="607"/>
      <c r="I42" s="607"/>
      <c r="J42" s="607"/>
      <c r="K42" s="666"/>
      <c r="L42" s="607"/>
      <c r="M42" s="607"/>
      <c r="N42" s="666"/>
      <c r="P42" s="1508"/>
    </row>
    <row r="43" spans="1:16" ht="15.75">
      <c r="A43" s="618" t="s">
        <v>1955</v>
      </c>
      <c r="B43" s="618"/>
      <c r="C43" s="638"/>
      <c r="D43" s="618"/>
      <c r="E43" s="618"/>
      <c r="F43" s="618"/>
      <c r="G43" s="618"/>
      <c r="H43" s="607"/>
      <c r="I43" s="1356" t="s">
        <v>2208</v>
      </c>
      <c r="J43" s="1292"/>
      <c r="K43" s="1354" t="s">
        <v>2445</v>
      </c>
      <c r="L43" s="1356" t="s">
        <v>2209</v>
      </c>
      <c r="M43" s="1292"/>
      <c r="N43" s="1354" t="s">
        <v>2445</v>
      </c>
      <c r="P43" s="1508"/>
    </row>
    <row r="44" spans="1:16" ht="15">
      <c r="A44" s="607" t="s">
        <v>1956</v>
      </c>
      <c r="B44" s="607"/>
      <c r="C44" s="1347"/>
      <c r="D44" s="607"/>
      <c r="E44" s="607"/>
      <c r="F44" s="607"/>
      <c r="G44" s="607"/>
      <c r="H44" s="607"/>
      <c r="I44" s="607"/>
      <c r="J44" s="607"/>
      <c r="K44" s="666"/>
      <c r="L44" s="607"/>
      <c r="M44" s="607"/>
      <c r="N44" s="666"/>
      <c r="P44" s="1508"/>
    </row>
    <row r="45" spans="1:16" ht="15.75">
      <c r="A45" s="618" t="s">
        <v>1957</v>
      </c>
      <c r="B45" s="618"/>
      <c r="C45" s="638"/>
      <c r="D45" s="618"/>
      <c r="E45" s="618"/>
      <c r="F45" s="618"/>
      <c r="G45" s="618"/>
      <c r="H45" s="607"/>
      <c r="I45" s="607"/>
      <c r="J45" s="1198">
        <f>'T1 GEN-2-3-4'!I69</f>
        <v>0</v>
      </c>
      <c r="K45" s="1354" t="s">
        <v>884</v>
      </c>
      <c r="L45" s="607"/>
      <c r="M45" s="1198">
        <f>'T1 GEN-1'!U34</f>
        <v>0</v>
      </c>
      <c r="N45" s="1354" t="s">
        <v>884</v>
      </c>
      <c r="P45" s="1508"/>
    </row>
    <row r="46" spans="1:16" ht="15.75">
      <c r="A46" s="618" t="s">
        <v>1958</v>
      </c>
      <c r="B46" s="618"/>
      <c r="C46" s="638"/>
      <c r="D46" s="618"/>
      <c r="E46" s="618"/>
      <c r="F46" s="618"/>
      <c r="G46" s="618"/>
      <c r="H46" s="607"/>
      <c r="I46" s="607"/>
      <c r="J46" s="1198">
        <f>SUM(J41:J45)</f>
        <v>0</v>
      </c>
      <c r="K46" s="1354" t="s">
        <v>886</v>
      </c>
      <c r="L46" s="607"/>
      <c r="M46" s="1198">
        <f>SUM(M41:M45)</f>
        <v>0</v>
      </c>
      <c r="N46" s="1354" t="s">
        <v>886</v>
      </c>
      <c r="P46" s="1508"/>
    </row>
    <row r="47" spans="1:16" ht="15">
      <c r="A47" s="607" t="s">
        <v>1959</v>
      </c>
      <c r="B47" s="607"/>
      <c r="C47" s="1347"/>
      <c r="D47" s="607"/>
      <c r="E47" s="607"/>
      <c r="F47" s="607"/>
      <c r="G47" s="607"/>
      <c r="H47" s="607"/>
      <c r="I47" s="607"/>
      <c r="J47" s="607"/>
      <c r="K47" s="666"/>
      <c r="L47" s="607"/>
      <c r="M47" s="607"/>
      <c r="N47" s="666"/>
      <c r="P47" s="1508"/>
    </row>
    <row r="48" spans="1:16" ht="15.75">
      <c r="A48" s="618" t="s">
        <v>1960</v>
      </c>
      <c r="B48" s="618"/>
      <c r="C48" s="638"/>
      <c r="D48" s="618"/>
      <c r="E48" s="618"/>
      <c r="F48" s="618"/>
      <c r="G48" s="618"/>
      <c r="H48" s="607"/>
      <c r="I48" s="607"/>
      <c r="J48" s="1198">
        <f>'T1 GEN-2-3-4'!I21</f>
        <v>0</v>
      </c>
      <c r="K48" s="1354" t="s">
        <v>888</v>
      </c>
      <c r="L48" s="607"/>
      <c r="M48" s="1198">
        <f>'T1 GEN-1'!U32</f>
        <v>0</v>
      </c>
      <c r="N48" s="1354" t="s">
        <v>888</v>
      </c>
      <c r="P48" s="1508"/>
    </row>
    <row r="49" spans="1:16" ht="15.75">
      <c r="A49" s="618" t="s">
        <v>2191</v>
      </c>
      <c r="B49" s="618"/>
      <c r="C49" s="638"/>
      <c r="D49" s="618"/>
      <c r="E49" s="618"/>
      <c r="F49" s="618"/>
      <c r="G49" s="618"/>
      <c r="H49" s="607"/>
      <c r="I49" s="607"/>
      <c r="J49" s="1198">
        <f>MAX(0,J46-J48)</f>
        <v>0</v>
      </c>
      <c r="K49" s="1354" t="s">
        <v>2447</v>
      </c>
      <c r="L49" s="1356" t="s">
        <v>2210</v>
      </c>
      <c r="M49" s="1198">
        <f>MAX(0,M46-M48)</f>
        <v>0</v>
      </c>
      <c r="N49" s="1354" t="s">
        <v>2447</v>
      </c>
      <c r="P49" s="1508"/>
    </row>
    <row r="50" spans="1:16" ht="15">
      <c r="A50" s="607"/>
      <c r="B50" s="607"/>
      <c r="C50" s="1347"/>
      <c r="D50" s="607"/>
      <c r="E50" s="607"/>
      <c r="F50" s="607"/>
      <c r="G50" s="607"/>
      <c r="H50" s="607"/>
      <c r="I50" s="607"/>
      <c r="J50" s="607"/>
      <c r="K50" s="607"/>
      <c r="L50" s="607"/>
      <c r="M50" s="607"/>
      <c r="N50" s="607"/>
      <c r="P50" s="1508"/>
    </row>
    <row r="51" spans="1:16" ht="15.75">
      <c r="A51" s="618" t="s">
        <v>2192</v>
      </c>
      <c r="B51" s="618"/>
      <c r="C51" s="638"/>
      <c r="D51" s="618"/>
      <c r="E51" s="618"/>
      <c r="F51" s="618"/>
      <c r="G51" s="618"/>
      <c r="H51" s="758" t="s">
        <v>2221</v>
      </c>
      <c r="I51" s="607"/>
      <c r="J51" s="1198">
        <f>J49+M49</f>
        <v>0</v>
      </c>
      <c r="K51" s="1354" t="s">
        <v>1915</v>
      </c>
      <c r="L51" s="607"/>
      <c r="M51" s="607"/>
      <c r="N51" s="607"/>
      <c r="P51" s="1508"/>
    </row>
    <row r="52" spans="1:16" ht="15">
      <c r="A52" s="607"/>
      <c r="B52" s="607"/>
      <c r="C52" s="1347"/>
      <c r="D52" s="607"/>
      <c r="E52" s="607"/>
      <c r="F52" s="607"/>
      <c r="G52" s="607"/>
      <c r="H52" s="607"/>
      <c r="I52" s="607"/>
      <c r="J52" s="607"/>
      <c r="K52" s="607"/>
      <c r="L52" s="607"/>
      <c r="M52" s="607"/>
      <c r="N52" s="607"/>
      <c r="P52" s="1508"/>
    </row>
    <row r="53" spans="1:16" ht="18">
      <c r="A53" s="618" t="s">
        <v>2193</v>
      </c>
      <c r="B53" s="618"/>
      <c r="C53" s="1356" t="s">
        <v>2201</v>
      </c>
      <c r="D53" s="607" t="s">
        <v>2050</v>
      </c>
      <c r="E53" s="1358" t="s">
        <v>2131</v>
      </c>
      <c r="F53" s="1352" t="s">
        <v>661</v>
      </c>
      <c r="G53" s="1353" t="s">
        <v>1058</v>
      </c>
      <c r="H53" s="1363" t="str">
        <f>IF(E53="X"," ","X")</f>
        <v> </v>
      </c>
      <c r="I53" s="1352" t="s">
        <v>698</v>
      </c>
      <c r="J53" s="607" t="s">
        <v>2203</v>
      </c>
      <c r="K53" s="607"/>
      <c r="L53" s="607"/>
      <c r="M53" s="607"/>
      <c r="N53" s="607"/>
      <c r="P53" s="1508"/>
    </row>
    <row r="54" spans="1:16" ht="15">
      <c r="A54" s="607" t="s">
        <v>2642</v>
      </c>
      <c r="B54" s="607"/>
      <c r="C54" s="1347"/>
      <c r="D54" s="607"/>
      <c r="E54" s="607"/>
      <c r="F54" s="607"/>
      <c r="G54" s="607"/>
      <c r="H54" s="607"/>
      <c r="I54" s="607"/>
      <c r="J54" s="607"/>
      <c r="K54" s="607"/>
      <c r="L54" s="607"/>
      <c r="M54" s="607"/>
      <c r="N54" s="607"/>
      <c r="P54" s="1508"/>
    </row>
    <row r="55" spans="1:16" ht="18">
      <c r="A55" s="618" t="s">
        <v>2194</v>
      </c>
      <c r="B55" s="618"/>
      <c r="C55" s="1356" t="s">
        <v>2202</v>
      </c>
      <c r="D55" s="607" t="s">
        <v>2050</v>
      </c>
      <c r="E55" s="1357" t="s">
        <v>458</v>
      </c>
      <c r="F55" s="1352" t="s">
        <v>661</v>
      </c>
      <c r="G55" s="1353" t="s">
        <v>1058</v>
      </c>
      <c r="H55" s="1363" t="str">
        <f>IF(E55="X"," ","X")</f>
        <v>X</v>
      </c>
      <c r="I55" s="1352" t="s">
        <v>698</v>
      </c>
      <c r="J55" s="607" t="s">
        <v>2204</v>
      </c>
      <c r="K55" s="607"/>
      <c r="L55" s="607"/>
      <c r="M55" s="607"/>
      <c r="N55" s="607"/>
      <c r="P55" s="1508"/>
    </row>
    <row r="56" spans="1:16" ht="15">
      <c r="A56" s="607" t="s">
        <v>2643</v>
      </c>
      <c r="B56" s="607"/>
      <c r="C56" s="1347"/>
      <c r="D56" s="607"/>
      <c r="E56" s="607"/>
      <c r="F56" s="607"/>
      <c r="G56" s="607"/>
      <c r="H56" s="607"/>
      <c r="I56" s="607"/>
      <c r="J56" s="607"/>
      <c r="K56" s="607"/>
      <c r="L56" s="607"/>
      <c r="M56" s="607"/>
      <c r="N56" s="607"/>
      <c r="P56" s="1508"/>
    </row>
    <row r="57" spans="1:16" ht="18">
      <c r="A57" s="618" t="s">
        <v>2195</v>
      </c>
      <c r="B57" s="618"/>
      <c r="C57" s="1356" t="s">
        <v>2222</v>
      </c>
      <c r="D57" s="607" t="s">
        <v>2050</v>
      </c>
      <c r="E57" s="1357" t="s">
        <v>458</v>
      </c>
      <c r="F57" s="1352" t="s">
        <v>661</v>
      </c>
      <c r="G57" s="1353" t="s">
        <v>1058</v>
      </c>
      <c r="H57" s="1363" t="str">
        <f>IF(E57="X"," ","X")</f>
        <v>X</v>
      </c>
      <c r="I57" s="1352" t="s">
        <v>698</v>
      </c>
      <c r="J57" s="607" t="s">
        <v>2206</v>
      </c>
      <c r="K57" s="607"/>
      <c r="L57" s="607"/>
      <c r="M57" s="607"/>
      <c r="N57" s="607"/>
      <c r="P57" s="1508"/>
    </row>
    <row r="58" spans="1:16" ht="15">
      <c r="A58" s="607"/>
      <c r="B58" s="607"/>
      <c r="C58" s="1347"/>
      <c r="D58" s="607"/>
      <c r="E58" s="607"/>
      <c r="F58" s="607"/>
      <c r="G58" s="607"/>
      <c r="H58" s="607"/>
      <c r="I58" s="607"/>
      <c r="J58" s="607" t="s">
        <v>2207</v>
      </c>
      <c r="K58" s="607"/>
      <c r="L58" s="607"/>
      <c r="M58" s="607"/>
      <c r="N58" s="607"/>
      <c r="P58" s="1508"/>
    </row>
    <row r="59" spans="1:16" ht="18.75" customHeight="1">
      <c r="A59" s="607"/>
      <c r="B59" s="607"/>
      <c r="C59" s="1347"/>
      <c r="D59" s="607"/>
      <c r="E59" s="607"/>
      <c r="F59" s="607"/>
      <c r="G59" s="607"/>
      <c r="H59" s="607"/>
      <c r="I59" s="607"/>
      <c r="J59" s="607"/>
      <c r="K59" s="607"/>
      <c r="L59" s="607"/>
      <c r="M59" s="607"/>
      <c r="N59" s="1355" t="s">
        <v>2205</v>
      </c>
      <c r="P59" s="1508"/>
    </row>
    <row r="60" spans="1:16" ht="15">
      <c r="A60" s="613" t="s">
        <v>2650</v>
      </c>
      <c r="B60" s="613"/>
      <c r="C60" s="1347"/>
      <c r="D60" s="607"/>
      <c r="E60" s="607"/>
      <c r="F60" s="607"/>
      <c r="G60" s="607"/>
      <c r="H60" s="607"/>
      <c r="I60" s="607"/>
      <c r="J60" s="607"/>
      <c r="K60" s="607"/>
      <c r="L60" s="607"/>
      <c r="M60" s="607"/>
      <c r="N60" s="607"/>
      <c r="P60" s="1508"/>
    </row>
    <row r="61" ht="15">
      <c r="P61" s="1508"/>
    </row>
    <row r="62" spans="1:16" ht="20.25">
      <c r="A62" s="1351" t="s">
        <v>1972</v>
      </c>
      <c r="B62" s="112"/>
      <c r="C62" s="1359"/>
      <c r="D62" s="112"/>
      <c r="E62" s="112"/>
      <c r="F62" s="112"/>
      <c r="G62" s="112"/>
      <c r="H62" s="112"/>
      <c r="I62" s="112"/>
      <c r="J62" s="112"/>
      <c r="K62" s="112"/>
      <c r="L62" s="112"/>
      <c r="M62" s="112"/>
      <c r="N62" s="112"/>
      <c r="P62" s="1508"/>
    </row>
    <row r="63" spans="1:16" ht="23.25" customHeight="1">
      <c r="A63" s="112" t="s">
        <v>1012</v>
      </c>
      <c r="B63" s="112"/>
      <c r="C63" s="1359"/>
      <c r="D63" s="112"/>
      <c r="E63" s="112"/>
      <c r="F63" s="112"/>
      <c r="G63" s="112"/>
      <c r="H63" s="112"/>
      <c r="I63" s="112"/>
      <c r="J63" s="112"/>
      <c r="K63" s="112"/>
      <c r="L63" s="112"/>
      <c r="M63" s="112"/>
      <c r="N63" s="112"/>
      <c r="P63" s="1508"/>
    </row>
    <row r="64" spans="1:16" ht="15">
      <c r="A64" s="112" t="s">
        <v>1013</v>
      </c>
      <c r="B64" s="112"/>
      <c r="C64" s="1359"/>
      <c r="D64" s="112"/>
      <c r="E64" s="112"/>
      <c r="F64" s="112"/>
      <c r="G64" s="112"/>
      <c r="H64" s="112"/>
      <c r="I64" s="112"/>
      <c r="J64" s="112"/>
      <c r="K64" s="112"/>
      <c r="L64" s="112"/>
      <c r="M64" s="112"/>
      <c r="N64" s="112"/>
      <c r="P64" s="1508"/>
    </row>
    <row r="65" spans="1:16" ht="15">
      <c r="A65" s="112"/>
      <c r="B65" s="112"/>
      <c r="C65" s="1359"/>
      <c r="D65" s="112"/>
      <c r="E65" s="112"/>
      <c r="F65" s="112"/>
      <c r="G65" s="112"/>
      <c r="H65" s="112"/>
      <c r="I65" s="112"/>
      <c r="J65" s="112"/>
      <c r="K65" s="112"/>
      <c r="L65" s="112"/>
      <c r="M65" s="112"/>
      <c r="N65" s="112"/>
      <c r="P65" s="1508"/>
    </row>
    <row r="66" spans="1:16" ht="15.75">
      <c r="A66" s="125" t="s">
        <v>1973</v>
      </c>
      <c r="B66" s="125"/>
      <c r="C66" s="1080"/>
      <c r="D66" s="125"/>
      <c r="E66" s="125"/>
      <c r="F66" s="125"/>
      <c r="G66" s="125"/>
      <c r="H66" s="125"/>
      <c r="I66" s="112"/>
      <c r="J66" s="1198">
        <f>J39</f>
        <v>0</v>
      </c>
      <c r="K66" s="1354" t="s">
        <v>2449</v>
      </c>
      <c r="L66" s="112"/>
      <c r="M66" s="112"/>
      <c r="N66" s="112"/>
      <c r="P66" s="1508"/>
    </row>
    <row r="67" spans="1:16" ht="15.75">
      <c r="A67" s="125" t="s">
        <v>60</v>
      </c>
      <c r="B67" s="125"/>
      <c r="C67" s="1080"/>
      <c r="D67" s="125"/>
      <c r="E67" s="125"/>
      <c r="F67" s="125"/>
      <c r="G67" s="125"/>
      <c r="H67" s="125"/>
      <c r="I67" s="112"/>
      <c r="J67" s="1473">
        <v>4750</v>
      </c>
      <c r="K67" s="1354" t="s">
        <v>2451</v>
      </c>
      <c r="L67" s="112"/>
      <c r="M67" s="112"/>
      <c r="N67" s="112"/>
      <c r="P67" s="1508"/>
    </row>
    <row r="68" spans="1:16" ht="15.75">
      <c r="A68" s="125" t="s">
        <v>1726</v>
      </c>
      <c r="B68" s="125"/>
      <c r="C68" s="1080"/>
      <c r="D68" s="125"/>
      <c r="E68" s="125"/>
      <c r="F68" s="125"/>
      <c r="G68" s="125"/>
      <c r="H68" s="125"/>
      <c r="I68" s="112"/>
      <c r="J68" s="1198">
        <f>MAX(0,J66-J67)</f>
        <v>0</v>
      </c>
      <c r="K68" s="1354" t="s">
        <v>2452</v>
      </c>
      <c r="L68" s="112"/>
      <c r="M68" s="112"/>
      <c r="N68" s="112"/>
      <c r="P68" s="1508"/>
    </row>
    <row r="69" spans="1:16" ht="15.75">
      <c r="A69" s="125" t="s">
        <v>246</v>
      </c>
      <c r="B69" s="125"/>
      <c r="C69" s="1080"/>
      <c r="D69" s="125"/>
      <c r="E69" s="125"/>
      <c r="F69" s="125"/>
      <c r="G69" s="125"/>
      <c r="H69" s="125"/>
      <c r="I69" s="112"/>
      <c r="J69" s="1474">
        <v>0.17</v>
      </c>
      <c r="K69" s="1354" t="s">
        <v>1911</v>
      </c>
      <c r="L69" s="112"/>
      <c r="M69" s="112"/>
      <c r="N69" s="112"/>
      <c r="P69" s="1508"/>
    </row>
    <row r="70" spans="1:16" ht="15.75">
      <c r="A70" s="125" t="s">
        <v>1971</v>
      </c>
      <c r="B70" s="125"/>
      <c r="C70" s="1080"/>
      <c r="D70" s="125"/>
      <c r="E70" s="125"/>
      <c r="F70" s="125"/>
      <c r="G70" s="125"/>
      <c r="H70" s="125"/>
      <c r="I70" s="112"/>
      <c r="J70" s="1198">
        <f>J68*J69</f>
        <v>0</v>
      </c>
      <c r="K70" s="1354" t="s">
        <v>2454</v>
      </c>
      <c r="L70" s="112"/>
      <c r="M70" s="112"/>
      <c r="N70" s="112"/>
      <c r="P70" s="1508"/>
    </row>
    <row r="71" spans="1:16" ht="15">
      <c r="A71" s="112" t="s">
        <v>269</v>
      </c>
      <c r="B71" s="112"/>
      <c r="C71" s="1359"/>
      <c r="D71" s="112"/>
      <c r="E71" s="112"/>
      <c r="F71" s="112"/>
      <c r="G71" s="112"/>
      <c r="H71" s="112"/>
      <c r="I71" s="112"/>
      <c r="J71" s="112"/>
      <c r="K71" s="112"/>
      <c r="L71" s="112"/>
      <c r="M71" s="112"/>
      <c r="N71" s="112"/>
      <c r="P71" s="1508"/>
    </row>
    <row r="72" spans="1:16" ht="15.75">
      <c r="A72" s="125" t="s">
        <v>270</v>
      </c>
      <c r="B72" s="125"/>
      <c r="C72" s="1080"/>
      <c r="D72" s="125"/>
      <c r="E72" s="125"/>
      <c r="F72" s="125"/>
      <c r="G72" s="125"/>
      <c r="H72" s="125"/>
      <c r="I72" s="112"/>
      <c r="J72" s="1473">
        <f>IF(AND(H24="X",H22="X"),785,1395)</f>
        <v>785</v>
      </c>
      <c r="K72" s="1354" t="s">
        <v>1916</v>
      </c>
      <c r="L72" s="112"/>
      <c r="M72" s="112"/>
      <c r="N72" s="112"/>
      <c r="P72" s="1508"/>
    </row>
    <row r="73" spans="1:16" ht="18">
      <c r="A73" s="125" t="s">
        <v>1647</v>
      </c>
      <c r="B73" s="125"/>
      <c r="C73" s="1080"/>
      <c r="D73" s="125"/>
      <c r="E73" s="125"/>
      <c r="F73" s="125"/>
      <c r="G73" s="125"/>
      <c r="H73" s="125"/>
      <c r="I73" s="112"/>
      <c r="J73" s="1198">
        <f>MIN(J72,J70)</f>
        <v>0</v>
      </c>
      <c r="K73" s="1361" t="s">
        <v>410</v>
      </c>
      <c r="L73" s="112"/>
      <c r="M73" s="1198">
        <f>IF(E53="X",J73,0)</f>
        <v>0</v>
      </c>
      <c r="N73" s="1354" t="s">
        <v>2456</v>
      </c>
      <c r="P73" s="1508"/>
    </row>
    <row r="74" spans="1:16" ht="15.75">
      <c r="A74" s="125" t="s">
        <v>1974</v>
      </c>
      <c r="B74" s="125"/>
      <c r="C74" s="1080"/>
      <c r="D74" s="125"/>
      <c r="E74" s="125"/>
      <c r="F74" s="125"/>
      <c r="G74" s="125"/>
      <c r="H74" s="125"/>
      <c r="I74" s="112"/>
      <c r="J74" s="1198">
        <f>J51</f>
        <v>0</v>
      </c>
      <c r="K74" s="1354" t="s">
        <v>1917</v>
      </c>
      <c r="L74" s="112"/>
      <c r="M74" s="112"/>
      <c r="N74" s="112"/>
      <c r="P74" s="1508"/>
    </row>
    <row r="75" spans="1:16" ht="15">
      <c r="A75" s="112" t="s">
        <v>1975</v>
      </c>
      <c r="B75" s="112"/>
      <c r="C75" s="1359"/>
      <c r="D75" s="112"/>
      <c r="E75" s="112"/>
      <c r="F75" s="112"/>
      <c r="G75" s="112"/>
      <c r="H75" s="112"/>
      <c r="I75" s="112"/>
      <c r="J75" s="112"/>
      <c r="K75" s="112"/>
      <c r="L75" s="112"/>
      <c r="M75" s="112"/>
      <c r="N75" s="112"/>
      <c r="P75" s="1508"/>
    </row>
    <row r="76" spans="1:16" ht="15">
      <c r="A76" s="112" t="s">
        <v>1976</v>
      </c>
      <c r="B76" s="112"/>
      <c r="C76" s="1359"/>
      <c r="D76" s="112"/>
      <c r="E76" s="112"/>
      <c r="F76" s="112"/>
      <c r="G76" s="112"/>
      <c r="H76" s="112"/>
      <c r="I76" s="112"/>
      <c r="J76" s="112"/>
      <c r="K76" s="112"/>
      <c r="L76" s="112"/>
      <c r="M76" s="112"/>
      <c r="N76" s="112"/>
      <c r="P76" s="1508"/>
    </row>
    <row r="77" spans="1:16" ht="15.75">
      <c r="A77" s="125" t="s">
        <v>271</v>
      </c>
      <c r="B77" s="125"/>
      <c r="C77" s="1080"/>
      <c r="D77" s="125"/>
      <c r="E77" s="125"/>
      <c r="F77" s="125"/>
      <c r="G77" s="125"/>
      <c r="H77" s="125"/>
      <c r="I77" s="112"/>
      <c r="J77" s="1473">
        <f>IF(AND(H24="X",H22="X"),9500,13000)</f>
        <v>9500</v>
      </c>
      <c r="K77" s="1354" t="s">
        <v>2016</v>
      </c>
      <c r="L77" s="112"/>
      <c r="M77" s="112"/>
      <c r="N77" s="112"/>
      <c r="P77" s="1508"/>
    </row>
    <row r="78" spans="1:16" ht="15.75">
      <c r="A78" s="125" t="s">
        <v>1977</v>
      </c>
      <c r="B78" s="125"/>
      <c r="C78" s="1080"/>
      <c r="D78" s="125"/>
      <c r="E78" s="125"/>
      <c r="F78" s="125"/>
      <c r="G78" s="125"/>
      <c r="H78" s="125"/>
      <c r="I78" s="112"/>
      <c r="J78" s="1198">
        <f>MAX(0,J74-J77)</f>
        <v>0</v>
      </c>
      <c r="K78" s="1354" t="s">
        <v>1804</v>
      </c>
      <c r="L78" s="112"/>
      <c r="M78" s="112"/>
      <c r="N78" s="112"/>
      <c r="P78" s="1508"/>
    </row>
    <row r="79" spans="1:16" ht="15.75">
      <c r="A79" s="125" t="s">
        <v>246</v>
      </c>
      <c r="B79" s="125"/>
      <c r="C79" s="1080"/>
      <c r="D79" s="125"/>
      <c r="E79" s="125"/>
      <c r="F79" s="125"/>
      <c r="G79" s="125"/>
      <c r="H79" s="125"/>
      <c r="I79" s="112"/>
      <c r="J79" s="1474">
        <v>0.17</v>
      </c>
      <c r="K79" s="1354" t="s">
        <v>2018</v>
      </c>
      <c r="L79" s="112"/>
      <c r="M79" s="112"/>
      <c r="N79" s="112"/>
      <c r="P79" s="1508"/>
    </row>
    <row r="80" spans="1:16" ht="18">
      <c r="A80" s="125" t="s">
        <v>1978</v>
      </c>
      <c r="B80" s="125"/>
      <c r="C80" s="1080"/>
      <c r="D80" s="125"/>
      <c r="E80" s="125"/>
      <c r="F80" s="125"/>
      <c r="G80" s="125"/>
      <c r="H80" s="125"/>
      <c r="I80" s="112"/>
      <c r="J80" s="1198">
        <f>J78*J79</f>
        <v>0</v>
      </c>
      <c r="K80" s="1361" t="s">
        <v>410</v>
      </c>
      <c r="L80" s="112"/>
      <c r="M80" s="1198">
        <f>IF(E53="X",J80,0)</f>
        <v>0</v>
      </c>
      <c r="N80" s="1354" t="s">
        <v>1805</v>
      </c>
      <c r="P80" s="1508"/>
    </row>
    <row r="81" spans="1:16" ht="15">
      <c r="A81" s="112"/>
      <c r="B81" s="112"/>
      <c r="C81" s="1359"/>
      <c r="D81" s="112"/>
      <c r="E81" s="112"/>
      <c r="F81" s="112"/>
      <c r="G81" s="112"/>
      <c r="H81" s="112"/>
      <c r="I81" s="112"/>
      <c r="J81" s="112"/>
      <c r="K81" s="112"/>
      <c r="L81" s="112"/>
      <c r="M81" s="112"/>
      <c r="N81" s="112"/>
      <c r="P81" s="1508"/>
    </row>
    <row r="82" spans="1:16" ht="15.75">
      <c r="A82" s="125" t="s">
        <v>1979</v>
      </c>
      <c r="B82" s="125"/>
      <c r="C82" s="1080"/>
      <c r="D82" s="125"/>
      <c r="E82" s="125"/>
      <c r="F82" s="125"/>
      <c r="G82" s="125"/>
      <c r="H82" s="125"/>
      <c r="I82" s="112"/>
      <c r="J82" s="112"/>
      <c r="K82" s="112"/>
      <c r="L82" s="112"/>
      <c r="M82" s="1198">
        <f>MAX(0,M73-M80)</f>
        <v>0</v>
      </c>
      <c r="N82" s="1354" t="s">
        <v>1806</v>
      </c>
      <c r="P82" s="1508"/>
    </row>
    <row r="83" spans="1:16" ht="15">
      <c r="A83" s="112"/>
      <c r="B83" s="112"/>
      <c r="C83" s="1359"/>
      <c r="D83" s="112"/>
      <c r="E83" s="112"/>
      <c r="F83" s="112"/>
      <c r="G83" s="112"/>
      <c r="H83" s="112"/>
      <c r="I83" s="112"/>
      <c r="J83" s="1360" t="s">
        <v>1170</v>
      </c>
      <c r="K83" s="112"/>
      <c r="L83" s="112"/>
      <c r="M83" s="112"/>
      <c r="N83" s="112"/>
      <c r="P83" s="1508"/>
    </row>
    <row r="84" spans="1:16" ht="15">
      <c r="A84" s="112"/>
      <c r="B84" s="112"/>
      <c r="C84" s="1359"/>
      <c r="D84" s="112"/>
      <c r="E84" s="112"/>
      <c r="F84" s="112"/>
      <c r="G84" s="112"/>
      <c r="H84" s="112"/>
      <c r="I84" s="112"/>
      <c r="J84" s="112"/>
      <c r="K84" s="112"/>
      <c r="L84" s="112"/>
      <c r="M84" s="112"/>
      <c r="N84" s="112"/>
      <c r="P84" s="1508"/>
    </row>
    <row r="85" spans="1:16" ht="20.25">
      <c r="A85" s="1351" t="s">
        <v>1645</v>
      </c>
      <c r="B85" s="112"/>
      <c r="C85" s="1359"/>
      <c r="D85" s="112"/>
      <c r="E85" s="112"/>
      <c r="F85" s="112"/>
      <c r="G85" s="112"/>
      <c r="H85" s="112"/>
      <c r="I85" s="112"/>
      <c r="J85" s="112"/>
      <c r="K85" s="112"/>
      <c r="L85" s="112"/>
      <c r="M85" s="112"/>
      <c r="N85" s="112"/>
      <c r="P85" s="1508"/>
    </row>
    <row r="86" spans="1:16" ht="27" customHeight="1">
      <c r="A86" s="112" t="s">
        <v>1968</v>
      </c>
      <c r="B86" s="112"/>
      <c r="C86" s="1359"/>
      <c r="D86" s="112"/>
      <c r="E86" s="112"/>
      <c r="F86" s="112"/>
      <c r="G86" s="112"/>
      <c r="H86" s="112"/>
      <c r="I86" s="112"/>
      <c r="J86" s="112"/>
      <c r="K86" s="112"/>
      <c r="L86" s="112"/>
      <c r="M86" s="112"/>
      <c r="N86" s="112"/>
      <c r="P86" s="1508"/>
    </row>
    <row r="87" spans="1:16" ht="15">
      <c r="A87" s="112" t="s">
        <v>1969</v>
      </c>
      <c r="B87" s="112"/>
      <c r="C87" s="1359"/>
      <c r="D87" s="112"/>
      <c r="E87" s="112"/>
      <c r="F87" s="112"/>
      <c r="G87" s="112"/>
      <c r="H87" s="112"/>
      <c r="I87" s="112"/>
      <c r="J87" s="112"/>
      <c r="K87" s="112"/>
      <c r="L87" s="112"/>
      <c r="M87" s="112"/>
      <c r="N87" s="112"/>
      <c r="P87" s="1508"/>
    </row>
    <row r="88" spans="1:16" ht="15">
      <c r="A88" s="112" t="s">
        <v>1970</v>
      </c>
      <c r="B88" s="112"/>
      <c r="C88" s="1359"/>
      <c r="D88" s="112"/>
      <c r="E88" s="112"/>
      <c r="F88" s="112"/>
      <c r="G88" s="112"/>
      <c r="H88" s="112"/>
      <c r="I88" s="112"/>
      <c r="J88" s="112"/>
      <c r="K88" s="112"/>
      <c r="L88" s="112"/>
      <c r="M88" s="112"/>
      <c r="N88" s="112"/>
      <c r="P88" s="1508"/>
    </row>
    <row r="89" spans="1:16" ht="15">
      <c r="A89" s="112" t="s">
        <v>1980</v>
      </c>
      <c r="B89" s="112"/>
      <c r="C89" s="1359"/>
      <c r="D89" s="112"/>
      <c r="E89" s="112"/>
      <c r="F89" s="112"/>
      <c r="G89" s="112"/>
      <c r="H89" s="112"/>
      <c r="I89" s="112"/>
      <c r="J89" s="112"/>
      <c r="K89" s="112"/>
      <c r="L89" s="112"/>
      <c r="M89" s="112"/>
      <c r="N89" s="112"/>
      <c r="P89" s="1508"/>
    </row>
    <row r="90" spans="1:16" ht="15.75">
      <c r="A90" s="1271" t="s">
        <v>1648</v>
      </c>
      <c r="B90" s="112"/>
      <c r="C90" s="1359"/>
      <c r="D90" s="112"/>
      <c r="E90" s="112"/>
      <c r="F90" s="112"/>
      <c r="G90" s="112"/>
      <c r="H90" s="112"/>
      <c r="I90" s="112"/>
      <c r="J90" s="112"/>
      <c r="K90" s="112"/>
      <c r="L90" s="112"/>
      <c r="M90" s="112"/>
      <c r="N90" s="112"/>
      <c r="P90" s="1508"/>
    </row>
    <row r="91" spans="1:16" ht="15">
      <c r="A91" s="112" t="s">
        <v>1970</v>
      </c>
      <c r="B91" s="112"/>
      <c r="C91" s="1359"/>
      <c r="D91" s="112"/>
      <c r="E91" s="112"/>
      <c r="F91" s="112"/>
      <c r="G91" s="112"/>
      <c r="H91" s="112"/>
      <c r="I91" s="112"/>
      <c r="J91" s="112"/>
      <c r="K91" s="112"/>
      <c r="L91" s="112"/>
      <c r="M91" s="112"/>
      <c r="N91" s="112"/>
      <c r="P91" s="1508"/>
    </row>
    <row r="92" spans="1:16" ht="15">
      <c r="A92" s="1667" t="s">
        <v>1649</v>
      </c>
      <c r="B92" s="1523"/>
      <c r="C92" s="1523"/>
      <c r="D92" s="1523"/>
      <c r="E92" s="1523"/>
      <c r="F92" s="1523"/>
      <c r="G92" s="1523"/>
      <c r="H92" s="1523"/>
      <c r="I92" s="1523"/>
      <c r="J92" s="1523"/>
      <c r="K92" s="1523"/>
      <c r="L92" s="1523"/>
      <c r="M92" s="1523"/>
      <c r="N92" s="1523"/>
      <c r="P92" s="1508"/>
    </row>
    <row r="93" spans="1:16" ht="15">
      <c r="A93" s="112" t="s">
        <v>1981</v>
      </c>
      <c r="B93" s="112"/>
      <c r="C93" s="1359"/>
      <c r="D93" s="112"/>
      <c r="E93" s="112"/>
      <c r="F93" s="112"/>
      <c r="G93" s="112"/>
      <c r="H93" s="112"/>
      <c r="I93" s="112"/>
      <c r="J93" s="112"/>
      <c r="K93" s="112"/>
      <c r="L93" s="112"/>
      <c r="M93" s="112"/>
      <c r="N93" s="112"/>
      <c r="P93" s="1508"/>
    </row>
    <row r="94" spans="1:16" ht="15">
      <c r="A94" s="112" t="s">
        <v>1982</v>
      </c>
      <c r="B94" s="112"/>
      <c r="C94" s="1359"/>
      <c r="D94" s="112"/>
      <c r="E94" s="112"/>
      <c r="F94" s="112"/>
      <c r="G94" s="112"/>
      <c r="H94" s="112"/>
      <c r="I94" s="112"/>
      <c r="J94" s="112"/>
      <c r="K94" s="112"/>
      <c r="L94" s="112"/>
      <c r="M94" s="112"/>
      <c r="N94" s="112"/>
      <c r="P94" s="1508"/>
    </row>
    <row r="95" spans="1:16" ht="15">
      <c r="A95" s="112"/>
      <c r="B95" s="112"/>
      <c r="C95" s="1359"/>
      <c r="D95" s="112"/>
      <c r="E95" s="112"/>
      <c r="F95" s="112"/>
      <c r="G95" s="112"/>
      <c r="H95" s="112"/>
      <c r="I95" s="112"/>
      <c r="J95" s="112"/>
      <c r="K95" s="112"/>
      <c r="L95" s="112"/>
      <c r="M95" s="112"/>
      <c r="N95" s="112"/>
      <c r="P95" s="1508"/>
    </row>
    <row r="96" spans="1:16" ht="15.75">
      <c r="A96" s="126" t="s">
        <v>1166</v>
      </c>
      <c r="B96" s="126"/>
      <c r="C96" s="1362"/>
      <c r="D96" s="126"/>
      <c r="E96" s="126"/>
      <c r="F96" s="126"/>
      <c r="G96" s="126"/>
      <c r="H96" s="126"/>
      <c r="I96" s="112"/>
      <c r="J96" s="1198">
        <f>J37</f>
        <v>0</v>
      </c>
      <c r="K96" s="1354" t="s">
        <v>1807</v>
      </c>
      <c r="L96" s="112"/>
      <c r="M96" s="112"/>
      <c r="N96" s="112"/>
      <c r="P96" s="1508"/>
    </row>
    <row r="97" spans="1:16" ht="15.75">
      <c r="A97" s="126" t="s">
        <v>60</v>
      </c>
      <c r="B97" s="126"/>
      <c r="C97" s="1362"/>
      <c r="D97" s="126"/>
      <c r="E97" s="126"/>
      <c r="F97" s="126"/>
      <c r="G97" s="126"/>
      <c r="H97" s="126"/>
      <c r="I97" s="112"/>
      <c r="J97" s="1473">
        <v>2750</v>
      </c>
      <c r="K97" s="1354" t="s">
        <v>1456</v>
      </c>
      <c r="L97" s="112"/>
      <c r="M97" s="112"/>
      <c r="N97" s="112"/>
      <c r="P97" s="1508"/>
    </row>
    <row r="98" spans="1:16" ht="15.75">
      <c r="A98" s="126" t="s">
        <v>1986</v>
      </c>
      <c r="B98" s="126"/>
      <c r="C98" s="1362"/>
      <c r="D98" s="126"/>
      <c r="E98" s="126"/>
      <c r="F98" s="126"/>
      <c r="G98" s="126"/>
      <c r="H98" s="126"/>
      <c r="I98" s="112"/>
      <c r="J98" s="1198">
        <f>MAX(0,J96-J97)</f>
        <v>0</v>
      </c>
      <c r="K98" s="1354" t="s">
        <v>1457</v>
      </c>
      <c r="L98" s="112"/>
      <c r="M98" s="112"/>
      <c r="N98" s="112"/>
      <c r="P98" s="1508"/>
    </row>
    <row r="99" spans="1:16" ht="15.75">
      <c r="A99" s="126" t="s">
        <v>246</v>
      </c>
      <c r="B99" s="126"/>
      <c r="C99" s="1362"/>
      <c r="D99" s="126"/>
      <c r="E99" s="126"/>
      <c r="F99" s="126"/>
      <c r="G99" s="126"/>
      <c r="H99" s="126"/>
      <c r="I99" s="112"/>
      <c r="J99" s="1474">
        <v>0.17</v>
      </c>
      <c r="K99" s="1354" t="s">
        <v>1458</v>
      </c>
      <c r="L99" s="112"/>
      <c r="M99" s="112"/>
      <c r="N99" s="112"/>
      <c r="P99" s="1508"/>
    </row>
    <row r="100" spans="1:16" ht="15.75">
      <c r="A100" s="126" t="s">
        <v>1987</v>
      </c>
      <c r="B100" s="126"/>
      <c r="C100" s="1362"/>
      <c r="D100" s="126"/>
      <c r="E100" s="126"/>
      <c r="F100" s="126"/>
      <c r="G100" s="126"/>
      <c r="H100" s="126"/>
      <c r="I100" s="112"/>
      <c r="J100" s="1198">
        <f>J98*J99</f>
        <v>0</v>
      </c>
      <c r="K100" s="1354" t="s">
        <v>531</v>
      </c>
      <c r="L100" s="112"/>
      <c r="M100" s="112"/>
      <c r="N100" s="112"/>
      <c r="P100" s="1508"/>
    </row>
    <row r="101" spans="1:16" ht="18">
      <c r="A101" s="126" t="s">
        <v>272</v>
      </c>
      <c r="B101" s="126"/>
      <c r="C101" s="1362"/>
      <c r="D101" s="126"/>
      <c r="E101" s="126"/>
      <c r="F101" s="126"/>
      <c r="G101" s="126"/>
      <c r="H101" s="126"/>
      <c r="I101" s="112"/>
      <c r="J101" s="1473">
        <f>MIN(J100,340)</f>
        <v>0</v>
      </c>
      <c r="K101" s="1361" t="s">
        <v>410</v>
      </c>
      <c r="L101" s="112"/>
      <c r="M101" s="1198">
        <f>IF(E55="X",J101,0)</f>
        <v>0</v>
      </c>
      <c r="N101" s="1354" t="s">
        <v>532</v>
      </c>
      <c r="P101" s="1508"/>
    </row>
    <row r="102" spans="1:16" ht="15">
      <c r="A102" s="112"/>
      <c r="B102" s="112"/>
      <c r="C102" s="1359"/>
      <c r="D102" s="112"/>
      <c r="E102" s="112"/>
      <c r="F102" s="112"/>
      <c r="G102" s="112"/>
      <c r="H102" s="112"/>
      <c r="I102" s="112"/>
      <c r="J102" s="112"/>
      <c r="K102" s="112"/>
      <c r="L102" s="112"/>
      <c r="M102" s="112"/>
      <c r="N102" s="112"/>
      <c r="P102" s="1508"/>
    </row>
    <row r="103" spans="1:16" ht="15.75">
      <c r="A103" s="125" t="s">
        <v>1974</v>
      </c>
      <c r="B103" s="125"/>
      <c r="C103" s="1080"/>
      <c r="D103" s="125"/>
      <c r="E103" s="125"/>
      <c r="F103" s="125"/>
      <c r="G103" s="125"/>
      <c r="H103" s="125"/>
      <c r="I103" s="112"/>
      <c r="J103" s="1198">
        <f>IF(E55="X",J51,0)</f>
        <v>0</v>
      </c>
      <c r="K103" s="1354" t="s">
        <v>1451</v>
      </c>
      <c r="L103" s="112"/>
      <c r="M103" s="112"/>
      <c r="N103" s="112"/>
      <c r="P103" s="1508"/>
    </row>
    <row r="104" spans="1:16" ht="15">
      <c r="A104" s="112" t="s">
        <v>1975</v>
      </c>
      <c r="B104" s="112"/>
      <c r="C104" s="1359"/>
      <c r="D104" s="112"/>
      <c r="E104" s="112"/>
      <c r="F104" s="112"/>
      <c r="G104" s="112"/>
      <c r="H104" s="112"/>
      <c r="I104" s="112"/>
      <c r="J104" s="112"/>
      <c r="K104" s="112"/>
      <c r="L104" s="112"/>
      <c r="M104" s="112"/>
      <c r="N104" s="112"/>
      <c r="P104" s="1508"/>
    </row>
    <row r="105" spans="1:16" ht="15">
      <c r="A105" s="112" t="s">
        <v>273</v>
      </c>
      <c r="B105" s="112"/>
      <c r="C105" s="1359"/>
      <c r="D105" s="112"/>
      <c r="E105" s="112"/>
      <c r="F105" s="112"/>
      <c r="G105" s="112"/>
      <c r="H105" s="112"/>
      <c r="I105" s="112"/>
      <c r="J105" s="112"/>
      <c r="K105" s="112"/>
      <c r="L105" s="112"/>
      <c r="M105" s="112"/>
      <c r="N105" s="112"/>
      <c r="P105" s="1508"/>
    </row>
    <row r="106" spans="1:16" ht="15.75">
      <c r="A106" s="125" t="s">
        <v>274</v>
      </c>
      <c r="B106" s="125"/>
      <c r="C106" s="1080"/>
      <c r="D106" s="125"/>
      <c r="E106" s="125"/>
      <c r="F106" s="125"/>
      <c r="G106" s="125"/>
      <c r="H106" s="125"/>
      <c r="I106" s="112"/>
      <c r="J106" s="1198">
        <f>IF(AND(H24="X",H22="X"),14118,21206)</f>
        <v>14118</v>
      </c>
      <c r="K106" s="1354" t="s">
        <v>1455</v>
      </c>
      <c r="L106" s="112"/>
      <c r="M106" s="112"/>
      <c r="N106" s="112"/>
      <c r="P106" s="1508"/>
    </row>
    <row r="107" spans="1:16" ht="15.75">
      <c r="A107" s="125" t="s">
        <v>1167</v>
      </c>
      <c r="B107" s="125"/>
      <c r="C107" s="1080"/>
      <c r="D107" s="125"/>
      <c r="E107" s="125"/>
      <c r="F107" s="125"/>
      <c r="G107" s="125"/>
      <c r="H107" s="125"/>
      <c r="I107" s="112"/>
      <c r="J107" s="1198">
        <f>MAX(0,J103-J106)</f>
        <v>0</v>
      </c>
      <c r="K107" s="1354" t="s">
        <v>2458</v>
      </c>
      <c r="L107" s="112"/>
      <c r="M107" s="112"/>
      <c r="N107" s="112"/>
      <c r="P107" s="1508"/>
    </row>
    <row r="108" spans="1:16" ht="15.75">
      <c r="A108" s="125" t="s">
        <v>1984</v>
      </c>
      <c r="B108" s="125"/>
      <c r="C108" s="1080"/>
      <c r="D108" s="125"/>
      <c r="E108" s="125"/>
      <c r="F108" s="125"/>
      <c r="G108" s="125"/>
      <c r="H108" s="125"/>
      <c r="I108" s="112"/>
      <c r="J108" s="1474">
        <f>IF(AND(E24="X",E57="X"),0.085,0.17)</f>
        <v>0.17</v>
      </c>
      <c r="K108" s="1354" t="s">
        <v>1787</v>
      </c>
      <c r="L108" s="112"/>
      <c r="M108" s="112"/>
      <c r="N108" s="112"/>
      <c r="P108" s="1508"/>
    </row>
    <row r="109" spans="1:16" ht="18">
      <c r="A109" s="125" t="s">
        <v>1985</v>
      </c>
      <c r="B109" s="125"/>
      <c r="C109" s="1080"/>
      <c r="D109" s="125"/>
      <c r="E109" s="125"/>
      <c r="F109" s="125"/>
      <c r="G109" s="125"/>
      <c r="H109" s="125"/>
      <c r="I109" s="112"/>
      <c r="J109" s="1198">
        <f>J107*J108</f>
        <v>0</v>
      </c>
      <c r="K109" s="1361" t="s">
        <v>410</v>
      </c>
      <c r="L109" s="112"/>
      <c r="M109" s="1198">
        <f>IF(E55="X",J109,0)</f>
        <v>0</v>
      </c>
      <c r="N109" s="1354" t="s">
        <v>2581</v>
      </c>
      <c r="P109" s="1508"/>
    </row>
    <row r="110" spans="1:16" ht="15">
      <c r="A110" s="112"/>
      <c r="B110" s="112"/>
      <c r="C110" s="1359"/>
      <c r="D110" s="112"/>
      <c r="E110" s="112"/>
      <c r="F110" s="112"/>
      <c r="G110" s="112"/>
      <c r="H110" s="112"/>
      <c r="I110" s="112"/>
      <c r="J110" s="112"/>
      <c r="K110" s="112"/>
      <c r="L110" s="112"/>
      <c r="M110" s="112"/>
      <c r="N110" s="112"/>
      <c r="P110" s="1508"/>
    </row>
    <row r="111" spans="1:16" ht="15.75">
      <c r="A111" s="125" t="s">
        <v>1983</v>
      </c>
      <c r="B111" s="125"/>
      <c r="C111" s="1080"/>
      <c r="D111" s="125"/>
      <c r="E111" s="125"/>
      <c r="F111" s="125"/>
      <c r="G111" s="125"/>
      <c r="H111" s="125"/>
      <c r="I111" s="125"/>
      <c r="J111" s="125"/>
      <c r="K111" s="112"/>
      <c r="L111" s="112"/>
      <c r="M111" s="1198">
        <f>MAX(0,M101-M109)</f>
        <v>0</v>
      </c>
      <c r="N111" s="1354" t="s">
        <v>1789</v>
      </c>
      <c r="P111" s="1508"/>
    </row>
    <row r="112" spans="1:16" ht="15">
      <c r="A112" s="112"/>
      <c r="B112" s="112"/>
      <c r="C112" s="1359"/>
      <c r="D112" s="112"/>
      <c r="E112" s="112"/>
      <c r="F112" s="112"/>
      <c r="G112" s="112"/>
      <c r="H112" s="112"/>
      <c r="I112" s="112"/>
      <c r="J112" s="1360" t="s">
        <v>1169</v>
      </c>
      <c r="K112" s="112"/>
      <c r="L112" s="112"/>
      <c r="M112" s="112"/>
      <c r="N112" s="112"/>
      <c r="P112" s="1508"/>
    </row>
    <row r="113" spans="1:16" ht="15">
      <c r="A113" s="112"/>
      <c r="B113" s="112"/>
      <c r="C113" s="1359"/>
      <c r="D113" s="112"/>
      <c r="E113" s="112"/>
      <c r="F113" s="112"/>
      <c r="G113" s="112"/>
      <c r="H113" s="112"/>
      <c r="I113" s="112"/>
      <c r="J113" s="112"/>
      <c r="K113" s="112"/>
      <c r="L113" s="112"/>
      <c r="M113" s="112"/>
      <c r="N113" s="112"/>
      <c r="P113" s="1508"/>
    </row>
    <row r="114" spans="1:16" ht="15.75">
      <c r="A114" s="125" t="s">
        <v>1646</v>
      </c>
      <c r="B114" s="125"/>
      <c r="C114" s="1080"/>
      <c r="D114" s="125"/>
      <c r="E114" s="125"/>
      <c r="F114" s="125"/>
      <c r="G114" s="125"/>
      <c r="H114" s="125"/>
      <c r="I114" s="125"/>
      <c r="J114" s="125"/>
      <c r="K114" s="125"/>
      <c r="L114" s="112"/>
      <c r="M114" s="1198">
        <f>M82</f>
        <v>0</v>
      </c>
      <c r="N114" s="1354" t="s">
        <v>2583</v>
      </c>
      <c r="P114" s="1508"/>
    </row>
    <row r="115" spans="1:16" ht="15.75">
      <c r="A115" s="126" t="s">
        <v>1988</v>
      </c>
      <c r="B115" s="126"/>
      <c r="C115" s="1362"/>
      <c r="D115" s="126"/>
      <c r="E115" s="126"/>
      <c r="F115" s="126"/>
      <c r="G115" s="126"/>
      <c r="H115" s="126"/>
      <c r="I115" s="126"/>
      <c r="J115" s="126"/>
      <c r="K115" s="126"/>
      <c r="L115" s="112"/>
      <c r="M115" s="1198">
        <f>M111+M114</f>
        <v>0</v>
      </c>
      <c r="N115" s="1354" t="s">
        <v>944</v>
      </c>
      <c r="P115" s="1508"/>
    </row>
    <row r="116" spans="1:16" ht="15">
      <c r="A116" s="112"/>
      <c r="B116" s="112"/>
      <c r="C116" s="1359"/>
      <c r="D116" s="112"/>
      <c r="E116" s="112"/>
      <c r="F116" s="112"/>
      <c r="G116" s="112"/>
      <c r="H116" s="112"/>
      <c r="I116" s="112"/>
      <c r="J116" s="112"/>
      <c r="K116" s="1360" t="s">
        <v>1168</v>
      </c>
      <c r="L116" s="112"/>
      <c r="M116" s="112"/>
      <c r="N116" s="112"/>
      <c r="P116" s="1508"/>
    </row>
    <row r="117" spans="1:16" ht="15">
      <c r="A117" s="112"/>
      <c r="B117" s="112"/>
      <c r="C117" s="1359"/>
      <c r="D117" s="112"/>
      <c r="E117" s="112"/>
      <c r="F117" s="112"/>
      <c r="G117" s="112"/>
      <c r="H117" s="112"/>
      <c r="I117" s="112"/>
      <c r="J117" s="112"/>
      <c r="K117" s="112"/>
      <c r="L117" s="112"/>
      <c r="M117" s="112"/>
      <c r="N117" s="112"/>
      <c r="P117" s="1508"/>
    </row>
    <row r="118" spans="1:16" ht="15.75">
      <c r="A118" s="1271" t="s">
        <v>275</v>
      </c>
      <c r="B118" s="112"/>
      <c r="C118" s="1359"/>
      <c r="D118" s="112"/>
      <c r="E118" s="112"/>
      <c r="F118" s="112"/>
      <c r="G118" s="112"/>
      <c r="H118" s="112"/>
      <c r="I118" s="112"/>
      <c r="J118" s="112"/>
      <c r="K118" s="112"/>
      <c r="L118" s="112"/>
      <c r="M118" s="112"/>
      <c r="N118" s="112"/>
      <c r="P118" s="1508"/>
    </row>
    <row r="119" spans="1:16" ht="15">
      <c r="A119" s="112" t="s">
        <v>276</v>
      </c>
      <c r="B119" s="112"/>
      <c r="C119" s="1359"/>
      <c r="D119" s="112"/>
      <c r="E119" s="112"/>
      <c r="F119" s="112"/>
      <c r="G119" s="112"/>
      <c r="H119" s="112"/>
      <c r="I119" s="112"/>
      <c r="J119" s="112"/>
      <c r="K119" s="112"/>
      <c r="L119" s="112"/>
      <c r="M119" s="112"/>
      <c r="N119" s="112"/>
      <c r="P119" s="1508"/>
    </row>
    <row r="120" spans="1:16" ht="15">
      <c r="A120" s="112"/>
      <c r="B120" s="112"/>
      <c r="C120" s="1359"/>
      <c r="D120" s="112"/>
      <c r="E120" s="112"/>
      <c r="F120" s="112"/>
      <c r="G120" s="112"/>
      <c r="H120" s="112"/>
      <c r="I120" s="112"/>
      <c r="J120" s="112"/>
      <c r="K120" s="112"/>
      <c r="L120" s="112"/>
      <c r="M120" s="112"/>
      <c r="N120" s="112"/>
      <c r="P120" s="1508"/>
    </row>
    <row r="121" spans="1:16" ht="15">
      <c r="A121" s="1475" t="s">
        <v>277</v>
      </c>
      <c r="B121" s="112"/>
      <c r="C121" s="1359"/>
      <c r="D121" s="112"/>
      <c r="E121" s="112"/>
      <c r="F121" s="112"/>
      <c r="G121" s="112"/>
      <c r="H121" s="112"/>
      <c r="I121" s="112"/>
      <c r="J121" s="112"/>
      <c r="K121" s="112"/>
      <c r="L121" s="112"/>
      <c r="M121" s="112"/>
      <c r="N121" s="112"/>
      <c r="P121" s="1508"/>
    </row>
    <row r="122" spans="1:14" ht="15">
      <c r="A122" s="112"/>
      <c r="B122" s="112"/>
      <c r="C122" s="1359"/>
      <c r="D122" s="112"/>
      <c r="E122" s="112"/>
      <c r="F122" s="112"/>
      <c r="G122" s="112"/>
      <c r="H122" s="112"/>
      <c r="I122" s="112"/>
      <c r="J122" s="112"/>
      <c r="K122" s="112"/>
      <c r="L122" s="112"/>
      <c r="M122" s="112"/>
      <c r="N122" s="112"/>
    </row>
  </sheetData>
  <sheetProtection password="EC35" sheet="1" objects="1" scenarios="1"/>
  <mergeCells count="2">
    <mergeCell ref="A92:N92"/>
    <mergeCell ref="P1:P121"/>
  </mergeCells>
  <dataValidations count="1">
    <dataValidation type="list" allowBlank="1" showInputMessage="1" showErrorMessage="1" sqref="E22 E24 E55 E57 E53">
      <formula1>"X,'"</formula1>
    </dataValidation>
  </dataValidations>
  <hyperlinks>
    <hyperlink ref="P1:P121" location="'GO TO'!B16" display="GO TO'!A1"/>
  </hyperlinks>
  <printOptions/>
  <pageMargins left="0.35" right="0.35" top="0.35" bottom="0.35" header="0.5" footer="0.5"/>
  <pageSetup fitToHeight="0" fitToWidth="1" horizontalDpi="600" verticalDpi="600" orientation="portrait" scale="72" r:id="rId3"/>
  <rowBreaks count="1" manualBreakCount="1">
    <brk id="61" max="255" man="1"/>
  </rowBreaks>
  <legacyDrawing r:id="rId2"/>
</worksheet>
</file>

<file path=xl/worksheets/sheet21.xml><?xml version="1.0" encoding="utf-8"?>
<worksheet xmlns="http://schemas.openxmlformats.org/spreadsheetml/2006/main" xmlns:r="http://schemas.openxmlformats.org/officeDocument/2006/relationships">
  <sheetPr codeName="Sheet16" transitionEvaluation="1">
    <pageSetUpPr fitToPage="1"/>
  </sheetPr>
  <dimension ref="A1:K58"/>
  <sheetViews>
    <sheetView showGridLines="0" zoomScale="75" zoomScaleNormal="75" workbookViewId="0" topLeftCell="A1">
      <selection activeCell="A5" sqref="A5"/>
    </sheetView>
  </sheetViews>
  <sheetFormatPr defaultColWidth="9.77734375" defaultRowHeight="15"/>
  <cols>
    <col min="1" max="1" width="32.77734375" style="608" customWidth="1"/>
    <col min="2" max="2" width="5.77734375" style="608" customWidth="1"/>
    <col min="3" max="3" width="12.77734375" style="608" customWidth="1"/>
    <col min="4" max="4" width="5.77734375" style="608" customWidth="1"/>
    <col min="5" max="5" width="12.77734375" style="608" customWidth="1"/>
    <col min="6" max="6" width="5.77734375" style="608" customWidth="1"/>
    <col min="7" max="7" width="12.77734375" style="608" customWidth="1"/>
    <col min="8" max="8" width="5.77734375" style="608" customWidth="1"/>
    <col min="9" max="9" width="12.77734375" style="608" customWidth="1"/>
    <col min="10" max="10" width="5.77734375" style="608" customWidth="1"/>
    <col min="11" max="16384" width="9.77734375" style="608" customWidth="1"/>
  </cols>
  <sheetData>
    <row r="1" spans="1:11" ht="23.25">
      <c r="A1" s="135" t="str">
        <f>"T1-"&amp;yeartext</f>
        <v>T1-2007</v>
      </c>
      <c r="B1" s="78"/>
      <c r="C1" s="78"/>
      <c r="D1" s="1365" t="s">
        <v>1346</v>
      </c>
      <c r="E1" s="78"/>
      <c r="F1" s="78"/>
      <c r="G1" s="78"/>
      <c r="H1" s="78"/>
      <c r="I1" s="78"/>
      <c r="J1" s="1264" t="s">
        <v>1347</v>
      </c>
      <c r="K1" s="1573" t="s">
        <v>1659</v>
      </c>
    </row>
    <row r="2" spans="1:11" ht="23.25">
      <c r="A2" s="78"/>
      <c r="B2" s="78"/>
      <c r="C2" s="78"/>
      <c r="D2" s="1365" t="s">
        <v>1420</v>
      </c>
      <c r="E2" s="78"/>
      <c r="F2" s="78"/>
      <c r="G2" s="78"/>
      <c r="H2" s="78"/>
      <c r="I2" s="78"/>
      <c r="J2" s="78"/>
      <c r="K2" s="1573"/>
    </row>
    <row r="3" spans="1:11" ht="6.75" customHeight="1">
      <c r="A3" s="78"/>
      <c r="B3" s="78"/>
      <c r="C3" s="78"/>
      <c r="D3" s="78"/>
      <c r="E3" s="78"/>
      <c r="F3" s="78"/>
      <c r="G3" s="78"/>
      <c r="H3" s="78"/>
      <c r="I3" s="78"/>
      <c r="J3" s="78"/>
      <c r="K3" s="1573"/>
    </row>
    <row r="4" spans="1:11" ht="15.75">
      <c r="A4" s="95" t="s">
        <v>1585</v>
      </c>
      <c r="B4" s="78"/>
      <c r="C4" s="78"/>
      <c r="D4" s="78"/>
      <c r="E4" s="78"/>
      <c r="F4" s="78"/>
      <c r="G4" s="78"/>
      <c r="H4" s="78"/>
      <c r="I4" s="78"/>
      <c r="J4" s="851"/>
      <c r="K4" s="1573"/>
    </row>
    <row r="5" spans="1:11" ht="18" customHeight="1">
      <c r="A5" s="78" t="str">
        <f>"●"&amp;"  You will not be deducting on your return for "&amp;yeartext&amp;" all of the unused RRSP contributions (amount B) on your "&amp;CHAR(34)&amp;yeartext&amp;" RRSP"&amp;" Deduction"</f>
        <v>●  You will not be deducting on your return for 2007 all of the unused RRSP contributions (amount B) on your "2007 RRSP Deduction</v>
      </c>
      <c r="B5" s="78"/>
      <c r="C5" s="78"/>
      <c r="D5" s="78"/>
      <c r="E5" s="78"/>
      <c r="F5" s="78"/>
      <c r="G5" s="78"/>
      <c r="H5" s="78"/>
      <c r="I5" s="78"/>
      <c r="J5" s="78"/>
      <c r="K5" s="1573"/>
    </row>
    <row r="6" spans="1:11" ht="15">
      <c r="A6" s="80" t="s">
        <v>1894</v>
      </c>
      <c r="B6" s="824"/>
      <c r="C6" s="78"/>
      <c r="D6" s="78"/>
      <c r="E6" s="78"/>
      <c r="F6" s="78"/>
      <c r="G6" s="78"/>
      <c r="H6" s="78"/>
      <c r="I6" s="1177" t="str">
        <f>"for "&amp;yeartext</f>
        <v>for 2007</v>
      </c>
      <c r="J6" s="78"/>
      <c r="K6" s="1573"/>
    </row>
    <row r="7" spans="1:11" ht="17.25" customHeight="1">
      <c r="A7" s="78" t="str">
        <f>"●"&amp;"  You will not be deducting on your return for "&amp;yeartext&amp;" all of the RRSP contributions you made from"&amp;" March 2, "&amp;yeartext&amp;", to February 29, "&amp;nextyeartext&amp;"."</f>
        <v>●  You will not be deducting on your return for 2007 all of the RRSP contributions you made from March 2, 2007, to February 29, 2008.</v>
      </c>
      <c r="B7" s="78"/>
      <c r="C7" s="78"/>
      <c r="D7" s="78"/>
      <c r="E7" s="78"/>
      <c r="F7" s="78"/>
      <c r="G7" s="78"/>
      <c r="H7" s="78"/>
      <c r="I7" s="78"/>
      <c r="J7" s="78"/>
      <c r="K7" s="1573"/>
    </row>
    <row r="8" spans="1:11" ht="24" customHeight="1">
      <c r="A8" s="78" t="s">
        <v>1884</v>
      </c>
      <c r="B8" s="78"/>
      <c r="C8" s="78"/>
      <c r="D8" s="78"/>
      <c r="E8" s="78"/>
      <c r="F8" s="78"/>
      <c r="G8" s="78"/>
      <c r="H8" s="78"/>
      <c r="I8" s="78"/>
      <c r="J8" s="78"/>
      <c r="K8" s="1573"/>
    </row>
    <row r="9" spans="1:11" ht="20.25" customHeight="1">
      <c r="A9" s="78" t="str">
        <f>"●"&amp;"  You are designating contributions made to your RRSP as a "&amp;yeartext&amp;" repayment under the Home Buyers' Plan (HBP) or the Lifelong"</f>
        <v>●  You are designating contributions made to your RRSP as a 2007 repayment under the Home Buyers' Plan (HBP) or the Lifelong</v>
      </c>
      <c r="B9" s="78"/>
      <c r="C9" s="78"/>
      <c r="D9" s="78"/>
      <c r="E9" s="78"/>
      <c r="F9" s="78"/>
      <c r="G9" s="78"/>
      <c r="H9" s="78"/>
      <c r="I9" s="78"/>
      <c r="J9" s="78"/>
      <c r="K9" s="1573"/>
    </row>
    <row r="10" spans="1:11" ht="15">
      <c r="A10" s="78" t="s">
        <v>261</v>
      </c>
      <c r="B10" s="78"/>
      <c r="C10" s="78"/>
      <c r="D10" s="78"/>
      <c r="E10" s="78"/>
      <c r="F10" s="78"/>
      <c r="G10" s="78"/>
      <c r="H10" s="78"/>
      <c r="I10" s="78"/>
      <c r="J10" s="78"/>
      <c r="K10" s="1573"/>
    </row>
    <row r="11" spans="1:11" ht="21" customHeight="1">
      <c r="A11" s="78" t="str">
        <f>"●"&amp;"  You withdrew funds from your RRSP in "&amp;yeartext&amp;" under the HBP or the LLP."</f>
        <v>●  You withdrew funds from your RRSP in 2007 under the HBP or the LLP.</v>
      </c>
      <c r="B11" s="78"/>
      <c r="C11" s="78"/>
      <c r="D11" s="78"/>
      <c r="E11" s="78"/>
      <c r="F11" s="78"/>
      <c r="G11" s="78"/>
      <c r="H11" s="78"/>
      <c r="I11" s="78"/>
      <c r="J11" s="78"/>
      <c r="K11" s="1573"/>
    </row>
    <row r="12" spans="1:11" ht="24.75" customHeight="1">
      <c r="A12" s="95" t="s">
        <v>908</v>
      </c>
      <c r="B12" s="78"/>
      <c r="C12" s="78"/>
      <c r="D12" s="78"/>
      <c r="E12" s="78"/>
      <c r="F12" s="78"/>
      <c r="G12" s="78"/>
      <c r="H12" s="78"/>
      <c r="I12" s="78"/>
      <c r="J12" s="78"/>
      <c r="K12" s="1573"/>
    </row>
    <row r="13" spans="1:11" ht="15.75">
      <c r="A13" s="95" t="s">
        <v>909</v>
      </c>
      <c r="B13" s="78"/>
      <c r="C13" s="78"/>
      <c r="D13" s="78"/>
      <c r="E13" s="104"/>
      <c r="F13" s="78"/>
      <c r="G13" s="78"/>
      <c r="H13" s="78"/>
      <c r="I13" s="78"/>
      <c r="J13" s="79" t="s">
        <v>262</v>
      </c>
      <c r="K13" s="1573"/>
    </row>
    <row r="14" spans="1:11" ht="15">
      <c r="A14" s="78" t="s">
        <v>263</v>
      </c>
      <c r="B14" s="78"/>
      <c r="C14" s="78"/>
      <c r="D14" s="78"/>
      <c r="E14" s="78"/>
      <c r="F14" s="78"/>
      <c r="G14" s="78"/>
      <c r="H14" s="78"/>
      <c r="I14" s="78"/>
      <c r="J14" s="78"/>
      <c r="K14" s="1573"/>
    </row>
    <row r="15" spans="1:11" ht="25.5" customHeight="1">
      <c r="A15" s="857" t="s">
        <v>1587</v>
      </c>
      <c r="B15" s="78"/>
      <c r="C15" s="78"/>
      <c r="D15" s="78"/>
      <c r="E15" s="78"/>
      <c r="F15" s="78"/>
      <c r="G15" s="78"/>
      <c r="H15" s="78"/>
      <c r="I15" s="78"/>
      <c r="J15" s="78"/>
      <c r="K15" s="1573"/>
    </row>
    <row r="16" spans="1:11" ht="15.75">
      <c r="A16" s="95" t="s">
        <v>1885</v>
      </c>
      <c r="B16" s="78"/>
      <c r="C16" s="78" t="str">
        <f>CHAR(34)&amp;yeartext&amp;" RRSP Deduction Limit Statement "&amp;CHAR(34)&amp;"  on"</f>
        <v>"2007 RRSP Deduction Limit Statement "  on</v>
      </c>
      <c r="D16" s="78"/>
      <c r="E16" s="78"/>
      <c r="F16" s="78"/>
      <c r="G16" s="78" t="s">
        <v>1886</v>
      </c>
      <c r="H16" s="78"/>
      <c r="I16" s="78"/>
      <c r="J16" s="78"/>
      <c r="K16" s="1573"/>
    </row>
    <row r="17" spans="1:11" ht="15.75">
      <c r="A17" s="141" t="str">
        <f>"of Assessment, Notice of Reassessment, or Form T1208, RRSP Information for "&amp;yeartext</f>
        <v>of Assessment, Notice of Reassessment, or Form T1208, RRSP Information for 2007</v>
      </c>
      <c r="B17" s="143"/>
      <c r="C17" s="143"/>
      <c r="D17" s="143"/>
      <c r="E17" s="143"/>
      <c r="F17" s="143"/>
      <c r="G17" s="143"/>
      <c r="H17" s="78"/>
      <c r="I17" s="104"/>
      <c r="J17" s="155">
        <v>1</v>
      </c>
      <c r="K17" s="1573"/>
    </row>
    <row r="18" spans="1:11" ht="15.75">
      <c r="A18" s="142" t="s">
        <v>1571</v>
      </c>
      <c r="B18" s="142"/>
      <c r="C18" s="142"/>
      <c r="D18" s="142"/>
      <c r="E18" s="142"/>
      <c r="F18" s="142"/>
      <c r="G18" s="142"/>
      <c r="H18" s="78"/>
      <c r="I18" s="78"/>
      <c r="J18" s="155"/>
      <c r="K18" s="1573"/>
    </row>
    <row r="19" spans="1:11" ht="15.75">
      <c r="A19" s="143" t="str">
        <f>"  March 2, "&amp;yeartext&amp;" to December 31, "&amp;yeartext&amp;" (attach all receipts)"</f>
        <v>  March 2, 2007 to December 31, 2007 (attach all receipts)</v>
      </c>
      <c r="B19" s="143"/>
      <c r="C19" s="143"/>
      <c r="D19" s="143"/>
      <c r="E19" s="143"/>
      <c r="F19" s="121"/>
      <c r="G19" s="104"/>
      <c r="H19" s="155">
        <v>2</v>
      </c>
      <c r="I19" s="78"/>
      <c r="J19" s="155"/>
      <c r="K19" s="1573"/>
    </row>
    <row r="20" spans="1:11" ht="16.5" thickBot="1">
      <c r="A20" s="143" t="str">
        <f>"  January 1, "&amp;nextyeartext&amp;", to March 1, "&amp;nextyeartext&amp;" (attach all receipts)"</f>
        <v>  January 1, 2008, to March 1, 2008 (attach all receipts)</v>
      </c>
      <c r="B20" s="143"/>
      <c r="C20" s="143"/>
      <c r="D20" s="143"/>
      <c r="E20" s="143"/>
      <c r="F20" s="121"/>
      <c r="G20" s="735"/>
      <c r="H20" s="155">
        <v>3</v>
      </c>
      <c r="I20" s="78"/>
      <c r="J20" s="155"/>
      <c r="K20" s="1573"/>
    </row>
    <row r="21" spans="1:11" ht="16.5" thickBot="1">
      <c r="A21" s="143"/>
      <c r="B21" s="143"/>
      <c r="C21" s="143"/>
      <c r="D21" s="143"/>
      <c r="E21" s="150" t="s">
        <v>1813</v>
      </c>
      <c r="F21" s="3">
        <v>245</v>
      </c>
      <c r="G21" s="369">
        <f>+G19+G20</f>
        <v>0</v>
      </c>
      <c r="H21" s="1162" t="s">
        <v>410</v>
      </c>
      <c r="I21" s="736">
        <f>+G21</f>
        <v>0</v>
      </c>
      <c r="J21" s="155">
        <v>4</v>
      </c>
      <c r="K21" s="1573"/>
    </row>
    <row r="22" spans="1:11" ht="15.75">
      <c r="A22" s="75"/>
      <c r="B22" s="75"/>
      <c r="C22" s="75"/>
      <c r="D22" s="75"/>
      <c r="E22" s="75"/>
      <c r="F22" s="75"/>
      <c r="G22" s="90" t="s">
        <v>1887</v>
      </c>
      <c r="H22" s="78"/>
      <c r="I22" s="369">
        <f>+I17+I21</f>
        <v>0</v>
      </c>
      <c r="J22" s="155">
        <v>5</v>
      </c>
      <c r="K22" s="1573"/>
    </row>
    <row r="23" spans="1:11" ht="33" customHeight="1">
      <c r="A23" s="1669" t="s">
        <v>1586</v>
      </c>
      <c r="B23" s="1670"/>
      <c r="C23" s="1670"/>
      <c r="D23" s="1670"/>
      <c r="E23" s="1670"/>
      <c r="F23" s="1670"/>
      <c r="G23" s="1670"/>
      <c r="H23" s="78"/>
      <c r="I23" s="743"/>
      <c r="J23" s="155"/>
      <c r="K23" s="1573"/>
    </row>
    <row r="24" spans="1:11" ht="24.75" customHeight="1">
      <c r="A24" s="853" t="s">
        <v>1588</v>
      </c>
      <c r="B24" s="121"/>
      <c r="C24" s="121"/>
      <c r="D24" s="121"/>
      <c r="E24" s="121"/>
      <c r="F24" s="78"/>
      <c r="G24" s="78"/>
      <c r="H24" s="78"/>
      <c r="I24" s="78"/>
      <c r="J24" s="113"/>
      <c r="K24" s="1573"/>
    </row>
    <row r="25" spans="1:11" ht="15.75">
      <c r="A25" s="121" t="str">
        <f>"Contributions made to your RRSP from January 1, "&amp;yeartext&amp;", to February 29, "&amp;nextyeartext&amp;", that you are designating as your"</f>
        <v>Contributions made to your RRSP from January 1, 2007, to February 29, 2008, that you are designating as your</v>
      </c>
      <c r="B25" s="121"/>
      <c r="C25" s="121"/>
      <c r="D25" s="121"/>
      <c r="E25" s="121"/>
      <c r="F25" s="78"/>
      <c r="G25" s="78"/>
      <c r="H25" s="78"/>
      <c r="I25" s="78"/>
      <c r="J25" s="113"/>
      <c r="K25" s="1573"/>
    </row>
    <row r="26" spans="1:11" ht="15.75">
      <c r="A26" s="121" t="str">
        <f>"repayments under the HBP and LLP for "&amp;yeartext&amp;".  "</f>
        <v>repayments under the HBP and LLP for 2007.  </v>
      </c>
      <c r="B26" s="121"/>
      <c r="C26" s="121" t="s">
        <v>1895</v>
      </c>
      <c r="D26" s="121"/>
      <c r="E26" s="121"/>
      <c r="F26" s="78"/>
      <c r="G26" s="78"/>
      <c r="H26" s="78"/>
      <c r="I26" s="78"/>
      <c r="J26" s="113"/>
      <c r="K26" s="1573"/>
    </row>
    <row r="27" spans="1:11" ht="15.75">
      <c r="A27" s="121" t="str">
        <f>"repayment on your "&amp;lastyeartext&amp;" return, or that was refunded to you.  "</f>
        <v>repayment on your 2006 return, or that was refunded to you.  </v>
      </c>
      <c r="B27" s="121"/>
      <c r="C27" s="121"/>
      <c r="D27" s="121" t="s">
        <v>1162</v>
      </c>
      <c r="E27" s="121"/>
      <c r="F27" s="78"/>
      <c r="G27" s="78"/>
      <c r="H27" s="78"/>
      <c r="I27" s="78"/>
      <c r="J27" s="113"/>
      <c r="K27" s="1573"/>
    </row>
    <row r="28" spans="1:11" ht="16.5" customHeight="1">
      <c r="A28" s="852" t="s">
        <v>2575</v>
      </c>
      <c r="B28" s="121"/>
      <c r="C28" s="121"/>
      <c r="D28" s="121"/>
      <c r="E28" s="121"/>
      <c r="F28" s="78"/>
      <c r="G28" s="78"/>
      <c r="H28" s="78"/>
      <c r="I28" s="78"/>
      <c r="J28" s="113"/>
      <c r="K28" s="1573"/>
    </row>
    <row r="29" spans="1:11" ht="15.75">
      <c r="A29" s="96" t="s">
        <v>956</v>
      </c>
      <c r="B29" s="75"/>
      <c r="C29" s="75"/>
      <c r="D29" s="75"/>
      <c r="E29" s="75"/>
      <c r="F29" s="3">
        <v>246</v>
      </c>
      <c r="G29" s="104"/>
      <c r="H29" s="155">
        <v>6</v>
      </c>
      <c r="I29" s="78"/>
      <c r="J29" s="113"/>
      <c r="K29" s="1573"/>
    </row>
    <row r="30" spans="1:11" ht="16.5" thickBot="1">
      <c r="A30" s="94" t="s">
        <v>957</v>
      </c>
      <c r="B30" s="76"/>
      <c r="C30" s="76"/>
      <c r="D30" s="76"/>
      <c r="E30" s="76"/>
      <c r="F30" s="3">
        <v>262</v>
      </c>
      <c r="G30" s="735"/>
      <c r="H30" s="155">
        <v>7</v>
      </c>
      <c r="I30" s="78"/>
      <c r="J30" s="113"/>
      <c r="K30" s="1573"/>
    </row>
    <row r="31" spans="1:11" ht="16.5" thickBot="1">
      <c r="A31" s="76"/>
      <c r="B31" s="76"/>
      <c r="C31" s="76"/>
      <c r="D31" s="76"/>
      <c r="E31" s="89" t="s">
        <v>2136</v>
      </c>
      <c r="F31" s="78"/>
      <c r="G31" s="801">
        <f>G29+G30</f>
        <v>0</v>
      </c>
      <c r="H31" s="1162" t="s">
        <v>410</v>
      </c>
      <c r="I31" s="736">
        <f>G31</f>
        <v>0</v>
      </c>
      <c r="J31" s="155">
        <v>8</v>
      </c>
      <c r="K31" s="1573"/>
    </row>
    <row r="32" spans="1:11" ht="6.75" customHeight="1">
      <c r="A32" s="121"/>
      <c r="B32" s="121"/>
      <c r="C32" s="121"/>
      <c r="D32" s="121"/>
      <c r="E32" s="101"/>
      <c r="F32" s="121"/>
      <c r="G32" s="78"/>
      <c r="H32" s="78"/>
      <c r="I32" s="78"/>
      <c r="J32" s="155"/>
      <c r="K32" s="1573"/>
    </row>
    <row r="33" spans="1:11" ht="18">
      <c r="A33" s="853" t="s">
        <v>2578</v>
      </c>
      <c r="B33" s="121"/>
      <c r="C33" s="121"/>
      <c r="D33" s="121"/>
      <c r="E33" s="101"/>
      <c r="F33" s="121"/>
      <c r="G33" s="78"/>
      <c r="H33" s="78"/>
      <c r="I33" s="78"/>
      <c r="J33" s="155"/>
      <c r="K33" s="1573"/>
    </row>
    <row r="34" spans="1:11" ht="15.75">
      <c r="A34" s="75" t="s">
        <v>2577</v>
      </c>
      <c r="B34" s="75"/>
      <c r="C34" s="75"/>
      <c r="D34" s="75"/>
      <c r="E34" s="75"/>
      <c r="F34" s="75"/>
      <c r="G34" s="90" t="s">
        <v>2576</v>
      </c>
      <c r="H34" s="78"/>
      <c r="I34" s="369">
        <f>I22-I31</f>
        <v>0</v>
      </c>
      <c r="J34" s="155">
        <v>9</v>
      </c>
      <c r="K34" s="1573"/>
    </row>
    <row r="35" spans="1:11" ht="15.75">
      <c r="A35" s="121" t="str">
        <f>"RRSP contributions you are deducting for "&amp;yeartext&amp;" (not to exceed the lesser of the amount on"</f>
        <v>RRSP contributions you are deducting for 2007 (not to exceed the lesser of the amount on</v>
      </c>
      <c r="B35" s="121"/>
      <c r="C35" s="121"/>
      <c r="D35" s="121"/>
      <c r="E35" s="121"/>
      <c r="F35" s="78"/>
      <c r="G35" s="79"/>
      <c r="H35" s="78"/>
      <c r="I35" s="78"/>
      <c r="J35" s="155"/>
      <c r="K35" s="1573"/>
    </row>
    <row r="36" spans="1:11" ht="15.75">
      <c r="A36" s="121" t="s">
        <v>1888</v>
      </c>
      <c r="B36" s="121"/>
      <c r="C36" s="121"/>
      <c r="D36" s="121" t="str">
        <f>yeartext&amp;" (amount A) of your"</f>
        <v>2007 (amount A) of your</v>
      </c>
      <c r="E36" s="121"/>
      <c r="F36" s="78"/>
      <c r="G36" s="78"/>
      <c r="H36" s="78"/>
      <c r="I36" s="78"/>
      <c r="J36" s="113"/>
      <c r="K36" s="1573"/>
    </row>
    <row r="37" spans="1:11" ht="15.75">
      <c r="A37" s="121" t="str">
        <f>yeartext&amp;" RRSP Deduction Limit Statement "</f>
        <v>2007 RRSP Deduction Limit Statement </v>
      </c>
      <c r="B37" s="121" t="s">
        <v>1889</v>
      </c>
      <c r="C37" s="121"/>
      <c r="D37" s="121"/>
      <c r="E37" s="121"/>
      <c r="F37" s="78"/>
      <c r="G37" s="78"/>
      <c r="H37" s="78"/>
      <c r="I37" s="78"/>
      <c r="J37" s="113"/>
      <c r="K37" s="1573"/>
    </row>
    <row r="38" spans="1:11" ht="15.75">
      <c r="A38" s="141" t="s">
        <v>1890</v>
      </c>
      <c r="B38" s="143" t="str">
        <f>"information for "&amp;yeartext&amp;")"</f>
        <v>information for 2007)</v>
      </c>
      <c r="C38" s="143"/>
      <c r="D38" s="143"/>
      <c r="E38" s="143"/>
      <c r="F38" s="78"/>
      <c r="G38" s="104">
        <f>I34</f>
        <v>0</v>
      </c>
      <c r="H38" s="155">
        <v>10</v>
      </c>
      <c r="I38" s="78"/>
      <c r="J38" s="113"/>
      <c r="K38" s="1573"/>
    </row>
    <row r="39" spans="1:11" ht="16.5" thickBot="1">
      <c r="A39" s="99" t="s">
        <v>131</v>
      </c>
      <c r="B39" s="121"/>
      <c r="C39" s="121"/>
      <c r="D39" s="121"/>
      <c r="E39" s="121"/>
      <c r="F39" s="3">
        <v>240</v>
      </c>
      <c r="G39" s="735"/>
      <c r="H39" s="155">
        <v>11</v>
      </c>
      <c r="I39" s="78"/>
      <c r="J39" s="113"/>
      <c r="K39" s="1573"/>
    </row>
    <row r="40" spans="1:11" ht="15.75">
      <c r="A40" s="144"/>
      <c r="B40" s="144"/>
      <c r="C40" s="144"/>
      <c r="D40" s="144"/>
      <c r="E40" s="151" t="s">
        <v>1891</v>
      </c>
      <c r="F40" s="142"/>
      <c r="G40" s="369">
        <f>+G38+G39</f>
        <v>0</v>
      </c>
      <c r="H40" s="155">
        <v>12</v>
      </c>
      <c r="I40" s="78"/>
      <c r="J40" s="113"/>
      <c r="K40" s="1573"/>
    </row>
    <row r="41" spans="1:11" ht="15.75">
      <c r="A41" s="145" t="str">
        <f>yeartext&amp;" RRSP deduction:  "</f>
        <v>2007 RRSP deduction:  </v>
      </c>
      <c r="B41" s="142" t="s">
        <v>1892</v>
      </c>
      <c r="C41" s="142"/>
      <c r="D41" s="142"/>
      <c r="E41" s="152"/>
      <c r="F41" s="121"/>
      <c r="G41" s="78"/>
      <c r="H41" s="106"/>
      <c r="I41" s="78"/>
      <c r="J41" s="113"/>
      <c r="K41" s="1573"/>
    </row>
    <row r="42" spans="1:11" ht="15.75">
      <c r="A42" s="146"/>
      <c r="B42" s="854" t="s">
        <v>1310</v>
      </c>
      <c r="C42" s="146"/>
      <c r="D42" s="143"/>
      <c r="E42" s="146"/>
      <c r="F42" s="143"/>
      <c r="G42" s="75"/>
      <c r="H42" s="156">
        <v>208</v>
      </c>
      <c r="I42" s="654">
        <f>+MINA(I34,G40)</f>
        <v>0</v>
      </c>
      <c r="J42" s="155">
        <v>13</v>
      </c>
      <c r="K42" s="1573"/>
    </row>
    <row r="43" spans="1:11" ht="26.25" customHeight="1">
      <c r="A43" s="855" t="s">
        <v>132</v>
      </c>
      <c r="B43" s="142"/>
      <c r="C43" s="142"/>
      <c r="D43" s="142"/>
      <c r="E43" s="147"/>
      <c r="F43" s="142"/>
      <c r="G43" s="78"/>
      <c r="H43" s="78"/>
      <c r="I43" s="78"/>
      <c r="J43" s="155"/>
      <c r="K43" s="1573"/>
    </row>
    <row r="44" spans="1:11" ht="19.5" customHeight="1">
      <c r="A44" s="856" t="s">
        <v>1893</v>
      </c>
      <c r="B44" s="143"/>
      <c r="C44" s="143"/>
      <c r="D44" s="143"/>
      <c r="E44" s="143"/>
      <c r="F44" s="143"/>
      <c r="G44" s="150"/>
      <c r="H44" s="78"/>
      <c r="I44" s="369">
        <f>I34-I42</f>
        <v>0</v>
      </c>
      <c r="J44" s="155">
        <v>14</v>
      </c>
      <c r="K44" s="1573"/>
    </row>
    <row r="45" spans="1:11" ht="15">
      <c r="A45" s="78"/>
      <c r="B45" s="78"/>
      <c r="C45" s="78"/>
      <c r="D45" s="78"/>
      <c r="E45" s="78"/>
      <c r="F45" s="78"/>
      <c r="G45" s="79" t="str">
        <f>"We will show the amount of line 14 on your "&amp;yeartext</f>
        <v>We will show the amount of line 14 on your 2007</v>
      </c>
      <c r="H45" s="78"/>
      <c r="I45" s="816" t="s">
        <v>1216</v>
      </c>
      <c r="J45" s="78"/>
      <c r="K45" s="1573"/>
    </row>
    <row r="46" spans="1:11" ht="12.75" customHeight="1">
      <c r="A46" s="78"/>
      <c r="B46" s="78"/>
      <c r="C46" s="78"/>
      <c r="D46" s="78"/>
      <c r="E46" s="78"/>
      <c r="F46" s="78"/>
      <c r="G46" s="78"/>
      <c r="H46" s="78"/>
      <c r="I46" s="79"/>
      <c r="J46" s="78"/>
      <c r="K46" s="1573"/>
    </row>
    <row r="47" spans="1:11" ht="15.75">
      <c r="A47" s="78"/>
      <c r="B47" s="78"/>
      <c r="C47" s="78"/>
      <c r="D47" s="78"/>
      <c r="E47" s="79"/>
      <c r="F47" s="78"/>
      <c r="G47" s="79"/>
      <c r="H47" s="155"/>
      <c r="I47" s="78"/>
      <c r="J47" s="78"/>
      <c r="K47" s="1573"/>
    </row>
    <row r="48" spans="1:11" ht="18">
      <c r="A48" s="118" t="str">
        <f>"PART E - "&amp;yeartext&amp;" withdrawals under the HBP and the LLP"</f>
        <v>PART E - 2007 withdrawals under the HBP and the LLP</v>
      </c>
      <c r="B48" s="82"/>
      <c r="C48" s="82"/>
      <c r="D48" s="82"/>
      <c r="E48" s="102"/>
      <c r="F48" s="82"/>
      <c r="G48" s="102"/>
      <c r="H48" s="157"/>
      <c r="I48" s="137"/>
      <c r="J48" s="78"/>
      <c r="K48" s="1573"/>
    </row>
    <row r="49" spans="1:11" ht="6" customHeight="1">
      <c r="A49" s="744"/>
      <c r="B49" s="121"/>
      <c r="C49" s="121"/>
      <c r="D49" s="121"/>
      <c r="E49" s="101"/>
      <c r="F49" s="121"/>
      <c r="G49" s="101"/>
      <c r="H49" s="158"/>
      <c r="I49" s="138"/>
      <c r="J49" s="78"/>
      <c r="K49" s="1573"/>
    </row>
    <row r="50" spans="1:11" ht="15.75">
      <c r="A50" s="122" t="str">
        <f>"HBP: Enter the amount from box 27 of all your "&amp;yeartext&amp;" T4RSP slips"</f>
        <v>HBP: Enter the amount from box 27 of all your 2007 T4RSP slips</v>
      </c>
      <c r="B50" s="75"/>
      <c r="C50" s="75"/>
      <c r="D50" s="75"/>
      <c r="E50" s="90"/>
      <c r="F50" s="65">
        <v>247</v>
      </c>
      <c r="G50" s="369">
        <f>MISC!L72</f>
        <v>0</v>
      </c>
      <c r="H50" s="158">
        <v>15</v>
      </c>
      <c r="I50" s="138"/>
      <c r="J50" s="78"/>
      <c r="K50" s="1573"/>
    </row>
    <row r="51" spans="1:11" ht="15.75">
      <c r="A51" s="120" t="s">
        <v>2392</v>
      </c>
      <c r="B51" s="121"/>
      <c r="C51" s="121"/>
      <c r="D51" s="121"/>
      <c r="E51" s="101"/>
      <c r="F51" s="121"/>
      <c r="G51" s="101"/>
      <c r="H51" s="158"/>
      <c r="I51" s="138"/>
      <c r="J51" s="78"/>
      <c r="K51" s="1573"/>
    </row>
    <row r="52" spans="1:11" ht="20.25">
      <c r="A52" s="122" t="s">
        <v>188</v>
      </c>
      <c r="B52" s="75"/>
      <c r="C52" s="75"/>
      <c r="D52" s="75"/>
      <c r="E52" s="90"/>
      <c r="F52" s="65">
        <v>259</v>
      </c>
      <c r="G52" s="586" t="s">
        <v>458</v>
      </c>
      <c r="H52" s="158">
        <v>16</v>
      </c>
      <c r="I52" s="138"/>
      <c r="J52" s="78"/>
      <c r="K52" s="1573"/>
    </row>
    <row r="53" spans="1:11" ht="9.75" customHeight="1">
      <c r="A53" s="744"/>
      <c r="B53" s="121"/>
      <c r="C53" s="121"/>
      <c r="D53" s="121"/>
      <c r="E53" s="101"/>
      <c r="F53" s="121"/>
      <c r="G53" s="101"/>
      <c r="H53" s="158"/>
      <c r="I53" s="138"/>
      <c r="J53" s="78"/>
      <c r="K53" s="1573"/>
    </row>
    <row r="54" spans="1:11" ht="15.75">
      <c r="A54" s="149" t="str">
        <f>"LLP: Enter the amount from box 25 of all your "&amp;yeartext&amp;" T4RSP slips"</f>
        <v>LLP: Enter the amount from box 25 of all your 2007 T4RSP slips</v>
      </c>
      <c r="B54" s="143"/>
      <c r="C54" s="143"/>
      <c r="D54" s="143"/>
      <c r="E54" s="143"/>
      <c r="F54" s="65">
        <v>263</v>
      </c>
      <c r="G54" s="369">
        <f>MISC!L73</f>
        <v>0</v>
      </c>
      <c r="H54" s="158">
        <v>17</v>
      </c>
      <c r="I54" s="138"/>
      <c r="J54" s="106"/>
      <c r="K54" s="1573"/>
    </row>
    <row r="55" spans="1:11" ht="15.75">
      <c r="A55" s="120" t="s">
        <v>133</v>
      </c>
      <c r="B55" s="121"/>
      <c r="C55" s="121"/>
      <c r="D55" s="121"/>
      <c r="E55" s="121"/>
      <c r="F55" s="121"/>
      <c r="G55" s="101"/>
      <c r="H55" s="121"/>
      <c r="I55" s="138"/>
      <c r="J55" s="106"/>
      <c r="K55" s="1573"/>
    </row>
    <row r="56" spans="1:11" ht="20.25">
      <c r="A56" s="149" t="s">
        <v>1326</v>
      </c>
      <c r="B56" s="143"/>
      <c r="C56" s="143"/>
      <c r="D56" s="143"/>
      <c r="E56" s="143"/>
      <c r="F56" s="65">
        <v>264</v>
      </c>
      <c r="G56" s="586" t="s">
        <v>458</v>
      </c>
      <c r="H56" s="158">
        <v>18</v>
      </c>
      <c r="I56" s="138"/>
      <c r="J56" s="78"/>
      <c r="K56" s="1573"/>
    </row>
    <row r="57" spans="1:11" ht="15">
      <c r="A57" s="122"/>
      <c r="B57" s="75"/>
      <c r="C57" s="75"/>
      <c r="D57" s="75"/>
      <c r="E57" s="75"/>
      <c r="F57" s="75"/>
      <c r="G57" s="75"/>
      <c r="H57" s="75"/>
      <c r="I57" s="140"/>
      <c r="J57" s="78"/>
      <c r="K57" s="1573"/>
    </row>
    <row r="58" spans="1:11" ht="15">
      <c r="A58" s="78" t="s">
        <v>1746</v>
      </c>
      <c r="B58" s="78"/>
      <c r="C58" s="78"/>
      <c r="D58" s="78"/>
      <c r="E58" s="78"/>
      <c r="F58" s="78"/>
      <c r="G58" s="78"/>
      <c r="H58" s="78"/>
      <c r="I58" s="115"/>
      <c r="J58" s="78"/>
      <c r="K58" s="1573"/>
    </row>
  </sheetData>
  <sheetProtection password="EC35" sheet="1" objects="1" scenarios="1"/>
  <mergeCells count="2">
    <mergeCell ref="A23:G23"/>
    <mergeCell ref="K1:K58"/>
  </mergeCells>
  <dataValidations count="1">
    <dataValidation type="list" showInputMessage="1" showErrorMessage="1" sqref="G56 G52">
      <formula1>"X,','"</formula1>
    </dataValidation>
  </dataValidations>
  <hyperlinks>
    <hyperlink ref="K1:K58" location="'GO TO'!B17" display=" "/>
  </hyperlinks>
  <printOptions horizontalCentered="1"/>
  <pageMargins left="0.15748031496062992" right="0.15748031496062992" top="0.31496062992125984" bottom="0.31496062992125984" header="0.31496062992125984" footer="0.31496062992125984"/>
  <pageSetup fitToHeight="0" fitToWidth="1" horizontalDpi="600" verticalDpi="600" orientation="portrait" scale="75" r:id="rId3"/>
  <rowBreaks count="1" manualBreakCount="1">
    <brk id="58" max="255" man="1"/>
  </rowBreaks>
  <ignoredErrors>
    <ignoredError sqref="G38" unlockedFormula="1"/>
  </ignoredErrors>
  <legacyDrawing r:id="rId2"/>
</worksheet>
</file>

<file path=xl/worksheets/sheet22.xml><?xml version="1.0" encoding="utf-8"?>
<worksheet xmlns="http://schemas.openxmlformats.org/spreadsheetml/2006/main" xmlns:r="http://schemas.openxmlformats.org/officeDocument/2006/relationships">
  <sheetPr codeName="Sheet17" transitionEvaluation="1">
    <pageSetUpPr fitToPage="1"/>
  </sheetPr>
  <dimension ref="A1:K32"/>
  <sheetViews>
    <sheetView showGridLines="0" zoomScale="75" zoomScaleNormal="75" workbookViewId="0" topLeftCell="A1">
      <selection activeCell="A2" sqref="A2"/>
    </sheetView>
  </sheetViews>
  <sheetFormatPr defaultColWidth="9.77734375" defaultRowHeight="15"/>
  <cols>
    <col min="1" max="1" width="26.77734375" style="608" customWidth="1"/>
    <col min="2" max="2" width="5.77734375" style="608" customWidth="1"/>
    <col min="3" max="3" width="12.77734375" style="608" customWidth="1"/>
    <col min="4" max="4" width="5.77734375" style="608" customWidth="1"/>
    <col min="5" max="5" width="12.77734375" style="608" customWidth="1"/>
    <col min="6" max="6" width="5.77734375" style="608" customWidth="1"/>
    <col min="7" max="7" width="12.77734375" style="608" customWidth="1"/>
    <col min="8" max="8" width="5.3359375" style="608" customWidth="1"/>
    <col min="9" max="9" width="12.77734375" style="608" customWidth="1"/>
    <col min="10" max="10" width="5.77734375" style="608" customWidth="1"/>
    <col min="11" max="16384" width="9.77734375" style="608" customWidth="1"/>
  </cols>
  <sheetData>
    <row r="1" spans="1:11" ht="23.25">
      <c r="A1" s="74" t="str">
        <f>"T1-"&amp;yeartext</f>
        <v>T1-2007</v>
      </c>
      <c r="B1" s="78"/>
      <c r="C1" s="204"/>
      <c r="D1" s="1343" t="s">
        <v>1936</v>
      </c>
      <c r="E1" s="78"/>
      <c r="F1" s="78"/>
      <c r="G1" s="78"/>
      <c r="H1" s="78"/>
      <c r="I1" s="78"/>
      <c r="J1" s="1264" t="s">
        <v>2514</v>
      </c>
      <c r="K1" s="1573" t="s">
        <v>1659</v>
      </c>
    </row>
    <row r="2" spans="1:11" ht="20.25">
      <c r="A2" s="78"/>
      <c r="B2" s="78"/>
      <c r="C2" s="204"/>
      <c r="D2" s="1343" t="s">
        <v>2515</v>
      </c>
      <c r="E2" s="78"/>
      <c r="F2" s="78"/>
      <c r="G2" s="78"/>
      <c r="H2" s="78"/>
      <c r="I2" s="78"/>
      <c r="J2" s="78"/>
      <c r="K2" s="1573"/>
    </row>
    <row r="3" spans="1:11" ht="15">
      <c r="A3" s="78"/>
      <c r="B3" s="78"/>
      <c r="C3" s="78"/>
      <c r="D3" s="78"/>
      <c r="E3" s="78"/>
      <c r="F3" s="78"/>
      <c r="G3" s="78"/>
      <c r="H3" s="78"/>
      <c r="I3" s="78"/>
      <c r="J3" s="78"/>
      <c r="K3" s="1573"/>
    </row>
    <row r="4" spans="1:11" ht="15">
      <c r="A4" s="78" t="s">
        <v>2516</v>
      </c>
      <c r="B4" s="78"/>
      <c r="C4" s="78"/>
      <c r="D4" s="78"/>
      <c r="E4" s="78"/>
      <c r="F4" s="78"/>
      <c r="G4" s="78"/>
      <c r="H4" s="78"/>
      <c r="I4" s="78"/>
      <c r="J4" s="78"/>
      <c r="K4" s="1573"/>
    </row>
    <row r="5" spans="1:11" ht="15">
      <c r="A5" s="78" t="s">
        <v>1163</v>
      </c>
      <c r="B5" s="78"/>
      <c r="C5" s="78"/>
      <c r="D5" s="78"/>
      <c r="E5" s="78"/>
      <c r="F5" s="78"/>
      <c r="G5" s="78"/>
      <c r="H5" s="78"/>
      <c r="I5" s="78"/>
      <c r="J5" s="78"/>
      <c r="K5" s="1573"/>
    </row>
    <row r="6" spans="1:11" ht="15">
      <c r="A6" s="78" t="s">
        <v>1164</v>
      </c>
      <c r="B6" s="78"/>
      <c r="C6" s="78"/>
      <c r="D6" s="78"/>
      <c r="E6" s="78"/>
      <c r="F6" s="78"/>
      <c r="G6" s="78"/>
      <c r="H6" s="78"/>
      <c r="I6" s="78"/>
      <c r="J6" s="78"/>
      <c r="K6" s="1573"/>
    </row>
    <row r="7" spans="1:11" ht="15">
      <c r="A7" s="78" t="s">
        <v>1165</v>
      </c>
      <c r="B7" s="78"/>
      <c r="C7" s="78"/>
      <c r="D7" s="78"/>
      <c r="E7" s="78"/>
      <c r="F7" s="78"/>
      <c r="G7" s="78"/>
      <c r="H7" s="78"/>
      <c r="I7" s="78"/>
      <c r="J7" s="78"/>
      <c r="K7" s="1573"/>
    </row>
    <row r="8" spans="1:11" ht="15">
      <c r="A8" s="78"/>
      <c r="B8" s="78"/>
      <c r="C8" s="78"/>
      <c r="D8" s="78"/>
      <c r="E8" s="78"/>
      <c r="F8" s="78"/>
      <c r="G8" s="78"/>
      <c r="H8" s="78"/>
      <c r="I8" s="78"/>
      <c r="J8" s="78"/>
      <c r="K8" s="1573"/>
    </row>
    <row r="9" spans="1:11" ht="15.75">
      <c r="A9" s="95" t="s">
        <v>1311</v>
      </c>
      <c r="B9" s="78"/>
      <c r="C9" s="78"/>
      <c r="D9" s="78"/>
      <c r="E9" s="78"/>
      <c r="F9" s="78"/>
      <c r="G9" s="78"/>
      <c r="H9" s="78"/>
      <c r="I9" s="78"/>
      <c r="J9" s="78"/>
      <c r="K9" s="1573"/>
    </row>
    <row r="10" spans="1:11" ht="15">
      <c r="A10" s="78"/>
      <c r="B10" s="78"/>
      <c r="C10" s="78"/>
      <c r="D10" s="78"/>
      <c r="E10" s="78"/>
      <c r="F10" s="78"/>
      <c r="G10" s="78"/>
      <c r="H10" s="78"/>
      <c r="I10" s="78"/>
      <c r="J10" s="78"/>
      <c r="K10" s="1573"/>
    </row>
    <row r="11" spans="1:11" ht="15.75">
      <c r="A11" s="143" t="s">
        <v>1080</v>
      </c>
      <c r="B11" s="143"/>
      <c r="C11" s="143"/>
      <c r="D11" s="143"/>
      <c r="E11" s="143"/>
      <c r="F11" s="143"/>
      <c r="G11" s="143"/>
      <c r="H11" s="78"/>
      <c r="I11" s="964">
        <f>IF(age&lt;70,'T1 GEN-2-3-4'!I26+SUM('T1 GEN-2-3-4'!I33:I37),)</f>
        <v>0</v>
      </c>
      <c r="J11" s="155">
        <v>1</v>
      </c>
      <c r="K11" s="1573"/>
    </row>
    <row r="12" spans="1:11" ht="15.75">
      <c r="A12" s="78" t="s">
        <v>1747</v>
      </c>
      <c r="B12" s="78"/>
      <c r="C12" s="78"/>
      <c r="D12" s="78"/>
      <c r="E12" s="78"/>
      <c r="F12" s="78"/>
      <c r="G12" s="78"/>
      <c r="H12" s="78"/>
      <c r="I12" s="78"/>
      <c r="J12" s="113"/>
      <c r="K12" s="1573"/>
    </row>
    <row r="13" spans="1:11" ht="16.5" thickBot="1">
      <c r="A13" s="143" t="s">
        <v>1068</v>
      </c>
      <c r="B13" s="143"/>
      <c r="C13" s="143"/>
      <c r="D13" s="143"/>
      <c r="E13" s="143"/>
      <c r="F13" s="143"/>
      <c r="G13" s="143"/>
      <c r="H13" s="4">
        <v>373</v>
      </c>
      <c r="I13" s="738"/>
      <c r="J13" s="155">
        <v>2</v>
      </c>
      <c r="K13" s="1573"/>
    </row>
    <row r="14" spans="1:11" ht="15.75">
      <c r="A14" s="150"/>
      <c r="B14" s="143"/>
      <c r="C14" s="143"/>
      <c r="D14" s="143"/>
      <c r="E14" s="150"/>
      <c r="F14" s="150"/>
      <c r="G14" s="150" t="s">
        <v>995</v>
      </c>
      <c r="H14" s="78"/>
      <c r="I14" s="369">
        <f>MAXA(0,I11+I13)</f>
        <v>0</v>
      </c>
      <c r="J14" s="155">
        <v>3</v>
      </c>
      <c r="K14" s="1573"/>
    </row>
    <row r="15" spans="1:11" ht="15.75">
      <c r="A15" s="78" t="s">
        <v>2226</v>
      </c>
      <c r="B15" s="78"/>
      <c r="C15" s="78"/>
      <c r="D15" s="78"/>
      <c r="E15" s="78"/>
      <c r="F15" s="78"/>
      <c r="G15" s="78"/>
      <c r="H15" s="101"/>
      <c r="I15" s="78"/>
      <c r="J15" s="155"/>
      <c r="K15" s="1573"/>
    </row>
    <row r="16" spans="1:11" ht="16.5" thickBot="1">
      <c r="A16" s="143" t="s">
        <v>1748</v>
      </c>
      <c r="B16" s="143"/>
      <c r="C16" s="143"/>
      <c r="D16" s="143"/>
      <c r="E16" s="143"/>
      <c r="F16" s="150"/>
      <c r="G16" s="150"/>
      <c r="H16" s="78"/>
      <c r="I16" s="736">
        <f>MISC!L74</f>
        <v>0</v>
      </c>
      <c r="J16" s="155">
        <v>4</v>
      </c>
      <c r="K16" s="1573"/>
    </row>
    <row r="17" spans="1:11" ht="15.75">
      <c r="A17" s="143"/>
      <c r="B17" s="143"/>
      <c r="C17" s="143"/>
      <c r="D17" s="143"/>
      <c r="E17" s="143"/>
      <c r="F17" s="150"/>
      <c r="G17" s="150" t="s">
        <v>913</v>
      </c>
      <c r="H17" s="78"/>
      <c r="I17" s="369">
        <f>I14+I16</f>
        <v>0</v>
      </c>
      <c r="J17" s="155">
        <v>5</v>
      </c>
      <c r="K17" s="1573"/>
    </row>
    <row r="18" spans="1:11" ht="16.5" thickBot="1">
      <c r="A18" s="143" t="s">
        <v>731</v>
      </c>
      <c r="B18" s="143"/>
      <c r="C18" s="143"/>
      <c r="D18" s="143"/>
      <c r="E18" s="143"/>
      <c r="F18" s="150"/>
      <c r="G18" s="143" t="s">
        <v>734</v>
      </c>
      <c r="H18" s="78"/>
      <c r="I18" s="733">
        <v>3500</v>
      </c>
      <c r="J18" s="155">
        <v>6</v>
      </c>
      <c r="K18" s="1573"/>
    </row>
    <row r="19" spans="1:11" ht="15.75">
      <c r="A19" s="78"/>
      <c r="B19" s="78"/>
      <c r="C19" s="78"/>
      <c r="D19" s="78"/>
      <c r="E19" s="78"/>
      <c r="F19" s="78"/>
      <c r="G19" s="79" t="s">
        <v>2626</v>
      </c>
      <c r="H19" s="78"/>
      <c r="I19" s="78"/>
      <c r="J19" s="113"/>
      <c r="K19" s="1573"/>
    </row>
    <row r="20" spans="1:11" ht="15.75">
      <c r="A20" s="143"/>
      <c r="B20" s="143"/>
      <c r="C20" s="143"/>
      <c r="D20" s="143"/>
      <c r="E20" s="143"/>
      <c r="F20" s="150"/>
      <c r="G20" s="150" t="s">
        <v>2627</v>
      </c>
      <c r="H20" s="78"/>
      <c r="I20" s="369">
        <f>IF(I17-I18&lt;0,0,MINA(40200,I17-I18))</f>
        <v>0</v>
      </c>
      <c r="J20" s="155">
        <v>7</v>
      </c>
      <c r="K20" s="1573"/>
    </row>
    <row r="21" spans="1:11" ht="15">
      <c r="A21" s="78"/>
      <c r="B21" s="78"/>
      <c r="C21" s="78"/>
      <c r="D21" s="78"/>
      <c r="E21" s="78"/>
      <c r="F21" s="78"/>
      <c r="G21" s="78"/>
      <c r="H21" s="78"/>
      <c r="I21" s="78"/>
      <c r="J21" s="103"/>
      <c r="K21" s="1573"/>
    </row>
    <row r="22" spans="1:11" ht="15.75">
      <c r="A22" s="143"/>
      <c r="B22" s="143"/>
      <c r="C22" s="143"/>
      <c r="D22" s="143"/>
      <c r="E22" s="143"/>
      <c r="F22" s="143"/>
      <c r="G22" s="150" t="s">
        <v>1069</v>
      </c>
      <c r="H22" s="78"/>
      <c r="I22" s="369">
        <f>I20*0.099</f>
        <v>0</v>
      </c>
      <c r="J22" s="155">
        <v>8</v>
      </c>
      <c r="K22" s="1573"/>
    </row>
    <row r="23" spans="1:11" ht="15.75">
      <c r="A23" s="78" t="s">
        <v>1380</v>
      </c>
      <c r="B23" s="78"/>
      <c r="C23" s="78"/>
      <c r="D23" s="78"/>
      <c r="E23" s="78"/>
      <c r="F23" s="78"/>
      <c r="G23" s="78"/>
      <c r="H23" s="78"/>
      <c r="I23" s="78"/>
      <c r="J23" s="113"/>
      <c r="K23" s="1573"/>
    </row>
    <row r="24" spans="1:11" ht="15.75">
      <c r="A24" s="143" t="s">
        <v>1669</v>
      </c>
      <c r="B24" s="143"/>
      <c r="C24" s="143"/>
      <c r="D24" s="121"/>
      <c r="E24" s="369">
        <f>MISC!L75</f>
        <v>0</v>
      </c>
      <c r="F24" s="143"/>
      <c r="G24" s="162" t="s">
        <v>1670</v>
      </c>
      <c r="H24" s="78"/>
      <c r="I24" s="369">
        <f>2*E24</f>
        <v>0</v>
      </c>
      <c r="J24" s="155">
        <v>9</v>
      </c>
      <c r="K24" s="1573"/>
    </row>
    <row r="25" spans="1:11" ht="15.75">
      <c r="A25" s="95" t="s">
        <v>2241</v>
      </c>
      <c r="B25" s="78"/>
      <c r="C25" s="78"/>
      <c r="D25" s="78"/>
      <c r="E25" s="78"/>
      <c r="F25" s="78"/>
      <c r="G25" s="78"/>
      <c r="H25" s="78"/>
      <c r="I25" s="78"/>
      <c r="J25" s="113"/>
      <c r="K25" s="1573"/>
    </row>
    <row r="26" spans="1:11" ht="15.75">
      <c r="A26" s="75" t="s">
        <v>2340</v>
      </c>
      <c r="B26" s="75"/>
      <c r="C26" s="75"/>
      <c r="D26" s="75"/>
      <c r="E26" s="75"/>
      <c r="F26" s="75"/>
      <c r="G26" s="75"/>
      <c r="H26" s="78"/>
      <c r="I26" s="654">
        <f>IF(I14&gt;0,MAXA(0,I22-I24),0)</f>
        <v>0</v>
      </c>
      <c r="J26" s="155">
        <v>10</v>
      </c>
      <c r="K26" s="1573"/>
    </row>
    <row r="27" spans="1:11" ht="15.75">
      <c r="A27" s="95" t="s">
        <v>961</v>
      </c>
      <c r="B27" s="78"/>
      <c r="C27" s="78"/>
      <c r="D27" s="78"/>
      <c r="E27" s="78"/>
      <c r="F27" s="78"/>
      <c r="G27" s="78"/>
      <c r="H27" s="78"/>
      <c r="I27" s="78"/>
      <c r="J27" s="103"/>
      <c r="K27" s="1573"/>
    </row>
    <row r="28" spans="1:11" ht="15.75">
      <c r="A28" s="75" t="s">
        <v>996</v>
      </c>
      <c r="B28" s="75"/>
      <c r="C28" s="75"/>
      <c r="D28" s="78"/>
      <c r="E28" s="369">
        <f>I26</f>
        <v>0</v>
      </c>
      <c r="F28" s="75"/>
      <c r="G28" s="169" t="s">
        <v>189</v>
      </c>
      <c r="H28" s="78"/>
      <c r="I28" s="654">
        <f>0.5*I26</f>
        <v>0</v>
      </c>
      <c r="J28" s="155">
        <v>11</v>
      </c>
      <c r="K28" s="1573"/>
    </row>
    <row r="29" spans="1:11" ht="15">
      <c r="A29" s="121" t="s">
        <v>997</v>
      </c>
      <c r="B29" s="121"/>
      <c r="C29" s="121"/>
      <c r="D29" s="121"/>
      <c r="E29" s="121"/>
      <c r="F29" s="121"/>
      <c r="G29" s="121"/>
      <c r="H29" s="78"/>
      <c r="I29" s="78"/>
      <c r="J29" s="103"/>
      <c r="K29" s="1573"/>
    </row>
    <row r="30" spans="1:11" ht="15">
      <c r="A30" s="78"/>
      <c r="B30" s="78"/>
      <c r="C30" s="78"/>
      <c r="D30" s="78"/>
      <c r="E30" s="78"/>
      <c r="F30" s="78"/>
      <c r="G30" s="78"/>
      <c r="H30" s="78"/>
      <c r="I30" s="78"/>
      <c r="J30" s="103"/>
      <c r="K30" s="1573"/>
    </row>
    <row r="31" spans="1:11" ht="15">
      <c r="A31" s="203" t="s">
        <v>733</v>
      </c>
      <c r="B31" s="78"/>
      <c r="C31" s="78"/>
      <c r="D31" s="78"/>
      <c r="E31" s="78"/>
      <c r="F31" s="78"/>
      <c r="G31" s="78"/>
      <c r="H31" s="78"/>
      <c r="I31" s="115"/>
      <c r="J31" s="103"/>
      <c r="K31" s="1573"/>
    </row>
    <row r="32" spans="1:11" ht="15">
      <c r="A32" s="78"/>
      <c r="B32" s="78"/>
      <c r="C32" s="78"/>
      <c r="D32" s="78"/>
      <c r="E32" s="78"/>
      <c r="F32" s="78"/>
      <c r="G32" s="78"/>
      <c r="H32" s="78"/>
      <c r="I32" s="78"/>
      <c r="J32" s="103" t="s">
        <v>129</v>
      </c>
      <c r="K32" s="1573"/>
    </row>
  </sheetData>
  <sheetProtection password="EC35" sheet="1" objects="1" scenarios="1"/>
  <mergeCells count="1">
    <mergeCell ref="K1:K32"/>
  </mergeCells>
  <hyperlinks>
    <hyperlink ref="K1:K32" location="'GO TO'!B18" display=" "/>
  </hyperlinks>
  <printOptions horizontalCentered="1"/>
  <pageMargins left="0.1968503937007874" right="0.1968503937007874" top="0.5118110236220472" bottom="0.5118110236220472" header="0.5118110236220472" footer="0.5118110236220472"/>
  <pageSetup fitToHeight="0" fitToWidth="1" horizontalDpi="600" verticalDpi="600" orientation="portrait" scale="80" r:id="rId1"/>
  <ignoredErrors>
    <ignoredError sqref="I11" unlockedFormula="1"/>
  </ignoredErrors>
</worksheet>
</file>

<file path=xl/worksheets/sheet23.xml><?xml version="1.0" encoding="utf-8"?>
<worksheet xmlns="http://schemas.openxmlformats.org/spreadsheetml/2006/main" xmlns:r="http://schemas.openxmlformats.org/officeDocument/2006/relationships">
  <sheetPr codeName="Sheet18" transitionEvaluation="1">
    <pageSetUpPr fitToPage="1"/>
  </sheetPr>
  <dimension ref="A1:K31"/>
  <sheetViews>
    <sheetView showGridLines="0" zoomScale="75" zoomScaleNormal="75" workbookViewId="0" topLeftCell="A1">
      <selection activeCell="A3" sqref="A3"/>
    </sheetView>
  </sheetViews>
  <sheetFormatPr defaultColWidth="9.77734375" defaultRowHeight="15"/>
  <cols>
    <col min="1" max="1" width="31.99609375" style="608" customWidth="1"/>
    <col min="2" max="2" width="6.77734375" style="608" customWidth="1"/>
    <col min="3" max="3" width="13.77734375" style="608" customWidth="1"/>
    <col min="4" max="4" width="5.4453125" style="608" customWidth="1"/>
    <col min="5" max="5" width="13.77734375" style="608" customWidth="1"/>
    <col min="6" max="6" width="5.77734375" style="608" customWidth="1"/>
    <col min="7" max="7" width="13.77734375" style="608" customWidth="1"/>
    <col min="8" max="8" width="4.77734375" style="608" customWidth="1"/>
    <col min="9" max="9" width="13.77734375" style="608" customWidth="1"/>
    <col min="10" max="10" width="6.77734375" style="608" customWidth="1"/>
    <col min="11" max="11" width="10.3359375" style="608" customWidth="1"/>
    <col min="12" max="14" width="13.77734375" style="608" customWidth="1"/>
    <col min="15" max="16384" width="9.77734375" style="608" customWidth="1"/>
  </cols>
  <sheetData>
    <row r="1" spans="1:11" ht="23.25">
      <c r="A1" s="135" t="str">
        <f>"T1-"&amp;yeartext</f>
        <v>T1-2007</v>
      </c>
      <c r="B1" s="78"/>
      <c r="C1" s="1341" t="s">
        <v>1671</v>
      </c>
      <c r="D1" s="78"/>
      <c r="E1" s="78"/>
      <c r="F1" s="78"/>
      <c r="G1" s="78"/>
      <c r="H1" s="78"/>
      <c r="I1" s="78"/>
      <c r="J1" s="1263" t="s">
        <v>2624</v>
      </c>
      <c r="K1" s="1573" t="s">
        <v>1659</v>
      </c>
    </row>
    <row r="2" spans="1:11" ht="15">
      <c r="A2" s="78"/>
      <c r="B2" s="78"/>
      <c r="C2" s="78"/>
      <c r="D2" s="78"/>
      <c r="E2" s="78"/>
      <c r="F2" s="78"/>
      <c r="G2" s="78"/>
      <c r="H2" s="78"/>
      <c r="I2" s="78"/>
      <c r="J2" s="78"/>
      <c r="K2" s="1573"/>
    </row>
    <row r="3" spans="1:11" ht="15.75">
      <c r="A3" s="95" t="s">
        <v>1858</v>
      </c>
      <c r="B3" s="78"/>
      <c r="C3" s="78"/>
      <c r="D3" s="78"/>
      <c r="E3" s="78"/>
      <c r="F3" s="78"/>
      <c r="G3" s="78"/>
      <c r="H3" s="78"/>
      <c r="I3" s="78"/>
      <c r="J3" s="78"/>
      <c r="K3" s="1573"/>
    </row>
    <row r="4" spans="1:11" ht="15">
      <c r="A4" s="78" t="s">
        <v>1436</v>
      </c>
      <c r="B4" s="78"/>
      <c r="C4" s="78"/>
      <c r="D4" s="78"/>
      <c r="E4" s="78"/>
      <c r="F4" s="78"/>
      <c r="G4" s="78"/>
      <c r="H4" s="78"/>
      <c r="I4" s="78"/>
      <c r="J4" s="78"/>
      <c r="K4" s="1573"/>
    </row>
    <row r="5" spans="1:11" ht="15.75">
      <c r="A5" s="279"/>
      <c r="B5" s="78"/>
      <c r="C5" s="78"/>
      <c r="D5" s="78"/>
      <c r="E5" s="78"/>
      <c r="F5" s="113"/>
      <c r="G5" s="78"/>
      <c r="H5" s="78"/>
      <c r="I5" s="78"/>
      <c r="J5" s="78"/>
      <c r="K5" s="1573"/>
    </row>
    <row r="6" spans="1:11" ht="20.25" customHeight="1" thickBot="1">
      <c r="A6" s="75" t="s">
        <v>1859</v>
      </c>
      <c r="B6" s="75"/>
      <c r="C6" s="75"/>
      <c r="D6" s="75"/>
      <c r="E6" s="75"/>
      <c r="F6" s="75"/>
      <c r="G6" s="169"/>
      <c r="H6" s="78"/>
      <c r="I6" s="1342">
        <f>MISC!L76</f>
        <v>0</v>
      </c>
      <c r="J6" s="155">
        <v>1</v>
      </c>
      <c r="K6" s="1573"/>
    </row>
    <row r="7" spans="1:11" ht="15.75" thickTop="1">
      <c r="A7" s="82"/>
      <c r="B7" s="82"/>
      <c r="C7" s="82"/>
      <c r="D7" s="82"/>
      <c r="E7" s="82"/>
      <c r="F7" s="82"/>
      <c r="G7" s="82"/>
      <c r="H7" s="78"/>
      <c r="I7" s="78"/>
      <c r="J7" s="78"/>
      <c r="K7" s="1573"/>
    </row>
    <row r="8" spans="1:11" ht="15.75">
      <c r="A8" s="75" t="s">
        <v>437</v>
      </c>
      <c r="B8" s="75"/>
      <c r="C8" s="75"/>
      <c r="D8" s="75"/>
      <c r="E8" s="369">
        <f>'T1 GEN-2-3-4'!K89</f>
        <v>0</v>
      </c>
      <c r="F8" s="75"/>
      <c r="G8" s="169" t="s">
        <v>2313</v>
      </c>
      <c r="H8" s="78"/>
      <c r="I8" s="369">
        <f>E8*0.75</f>
        <v>0</v>
      </c>
      <c r="J8" s="155">
        <v>2</v>
      </c>
      <c r="K8" s="1573"/>
    </row>
    <row r="9" spans="1:11" ht="30" customHeight="1">
      <c r="A9" s="99" t="s">
        <v>25</v>
      </c>
      <c r="B9" s="121"/>
      <c r="C9" s="121"/>
      <c r="D9" s="121"/>
      <c r="E9" s="121"/>
      <c r="F9" s="121"/>
      <c r="G9" s="121"/>
      <c r="H9" s="78"/>
      <c r="I9" s="78"/>
      <c r="J9" s="78"/>
      <c r="K9" s="1573"/>
    </row>
    <row r="10" spans="1:11" ht="15.75">
      <c r="A10" s="99" t="s">
        <v>72</v>
      </c>
      <c r="B10" s="121"/>
      <c r="C10" s="121"/>
      <c r="D10" s="121"/>
      <c r="E10" s="121"/>
      <c r="F10" s="121"/>
      <c r="G10" s="121"/>
      <c r="H10" s="121"/>
      <c r="I10" s="78"/>
      <c r="J10" s="78"/>
      <c r="K10" s="1573"/>
    </row>
    <row r="11" spans="1:11" ht="9.75" customHeight="1">
      <c r="A11" s="121"/>
      <c r="B11" s="121"/>
      <c r="C11" s="121"/>
      <c r="D11" s="121"/>
      <c r="E11" s="121"/>
      <c r="F11" s="121"/>
      <c r="G11" s="121"/>
      <c r="H11" s="121"/>
      <c r="I11" s="78"/>
      <c r="J11" s="78"/>
      <c r="K11" s="1573"/>
    </row>
    <row r="12" spans="1:11" ht="15">
      <c r="A12" s="121" t="s">
        <v>2314</v>
      </c>
      <c r="B12" s="121"/>
      <c r="C12" s="121"/>
      <c r="D12" s="205"/>
      <c r="E12" s="121"/>
      <c r="F12" s="121"/>
      <c r="G12" s="121"/>
      <c r="H12" s="121"/>
      <c r="I12" s="78"/>
      <c r="J12" s="78"/>
      <c r="K12" s="1573"/>
    </row>
    <row r="13" spans="1:11" ht="15.75">
      <c r="A13" s="75" t="s">
        <v>553</v>
      </c>
      <c r="B13" s="75"/>
      <c r="C13" s="75"/>
      <c r="D13" s="66">
        <v>337</v>
      </c>
      <c r="E13" s="369">
        <f>MISC!L77</f>
        <v>0</v>
      </c>
      <c r="F13" s="158">
        <v>3</v>
      </c>
      <c r="G13" s="121"/>
      <c r="H13" s="78"/>
      <c r="I13" s="78"/>
      <c r="J13" s="78"/>
      <c r="K13" s="1573"/>
    </row>
    <row r="14" spans="1:11" ht="18" customHeight="1">
      <c r="A14" s="121" t="s">
        <v>307</v>
      </c>
      <c r="B14" s="121"/>
      <c r="C14" s="121"/>
      <c r="D14" s="121"/>
      <c r="E14" s="121"/>
      <c r="F14" s="123"/>
      <c r="G14" s="121"/>
      <c r="H14" s="78"/>
      <c r="I14" s="78"/>
      <c r="J14" s="78"/>
      <c r="K14" s="1573"/>
    </row>
    <row r="15" spans="1:11" ht="16.5" thickBot="1">
      <c r="A15" s="75" t="s">
        <v>73</v>
      </c>
      <c r="B15" s="75"/>
      <c r="C15" s="75"/>
      <c r="D15" s="66">
        <v>339</v>
      </c>
      <c r="E15" s="736">
        <f>MISC!L78</f>
        <v>0</v>
      </c>
      <c r="F15" s="158">
        <v>4</v>
      </c>
      <c r="G15" s="121"/>
      <c r="H15" s="78"/>
      <c r="I15" s="78"/>
      <c r="J15" s="78"/>
      <c r="K15" s="1573"/>
    </row>
    <row r="16" spans="1:11" ht="16.5" thickBot="1">
      <c r="A16" s="76"/>
      <c r="B16" s="76"/>
      <c r="C16" s="89" t="s">
        <v>2315</v>
      </c>
      <c r="D16" s="76"/>
      <c r="E16" s="369">
        <f>E13+E15</f>
        <v>0</v>
      </c>
      <c r="F16" s="75"/>
      <c r="G16" s="169" t="s">
        <v>2316</v>
      </c>
      <c r="H16" s="78"/>
      <c r="I16" s="736">
        <f>0.25*E16</f>
        <v>0</v>
      </c>
      <c r="J16" s="155">
        <v>5</v>
      </c>
      <c r="K16" s="1573"/>
    </row>
    <row r="17" spans="1:11" ht="15.75">
      <c r="A17" s="82"/>
      <c r="B17" s="82"/>
      <c r="C17" s="82"/>
      <c r="D17" s="82"/>
      <c r="E17" s="82"/>
      <c r="F17" s="82"/>
      <c r="G17" s="102" t="s">
        <v>632</v>
      </c>
      <c r="H17" s="78"/>
      <c r="I17" s="78"/>
      <c r="J17" s="155"/>
      <c r="K17" s="1573"/>
    </row>
    <row r="18" spans="1:11" ht="15.75">
      <c r="A18" s="75"/>
      <c r="B18" s="75"/>
      <c r="C18" s="75"/>
      <c r="D18" s="75"/>
      <c r="E18" s="75"/>
      <c r="F18" s="75"/>
      <c r="G18" s="90" t="s">
        <v>2352</v>
      </c>
      <c r="H18" s="78"/>
      <c r="I18" s="369">
        <f>MINA(I8+I16,E8)</f>
        <v>0</v>
      </c>
      <c r="J18" s="155">
        <v>6</v>
      </c>
      <c r="K18" s="1573"/>
    </row>
    <row r="19" spans="1:11" ht="14.25" customHeight="1">
      <c r="A19" s="82"/>
      <c r="B19" s="82"/>
      <c r="C19" s="82"/>
      <c r="D19" s="82"/>
      <c r="E19" s="82"/>
      <c r="F19" s="82"/>
      <c r="G19" s="102"/>
      <c r="H19" s="78"/>
      <c r="I19" s="78"/>
      <c r="J19" s="155"/>
      <c r="K19" s="1573"/>
    </row>
    <row r="20" spans="1:11" ht="17.25" customHeight="1">
      <c r="A20" s="121" t="s">
        <v>48</v>
      </c>
      <c r="B20" s="121"/>
      <c r="C20" s="121"/>
      <c r="D20" s="121"/>
      <c r="E20" s="121"/>
      <c r="F20" s="121"/>
      <c r="G20" s="121"/>
      <c r="H20" s="78"/>
      <c r="I20" s="78"/>
      <c r="J20" s="78"/>
      <c r="K20" s="1573"/>
    </row>
    <row r="21" spans="1:11" ht="15.75">
      <c r="A21" s="75" t="s">
        <v>1549</v>
      </c>
      <c r="B21" s="75"/>
      <c r="C21" s="75"/>
      <c r="D21" s="66">
        <v>340</v>
      </c>
      <c r="E21" s="369">
        <f>MINA(I6,I18)</f>
        <v>0</v>
      </c>
      <c r="F21" s="121"/>
      <c r="G21" s="121"/>
      <c r="H21" s="78"/>
      <c r="I21" s="78"/>
      <c r="J21" s="78"/>
      <c r="K21" s="1573"/>
    </row>
    <row r="22" spans="1:11" ht="15">
      <c r="A22" s="82" t="s">
        <v>1127</v>
      </c>
      <c r="B22" s="82"/>
      <c r="C22" s="82"/>
      <c r="D22" s="82"/>
      <c r="E22" s="82"/>
      <c r="F22" s="121"/>
      <c r="G22" s="121"/>
      <c r="H22" s="78"/>
      <c r="I22" s="78"/>
      <c r="J22" s="78"/>
      <c r="K22" s="1573"/>
    </row>
    <row r="23" spans="1:11" ht="15.75">
      <c r="A23" s="75" t="s">
        <v>254</v>
      </c>
      <c r="B23" s="75"/>
      <c r="C23" s="75"/>
      <c r="D23" s="66">
        <v>342</v>
      </c>
      <c r="E23" s="369">
        <f>MISC!L79</f>
        <v>0</v>
      </c>
      <c r="F23" s="121"/>
      <c r="G23" s="121"/>
      <c r="H23" s="78"/>
      <c r="I23" s="78"/>
      <c r="J23" s="78"/>
      <c r="K23" s="1573"/>
    </row>
    <row r="24" spans="1:11" ht="15.75">
      <c r="A24" s="76"/>
      <c r="B24" s="76"/>
      <c r="C24" s="89" t="s">
        <v>49</v>
      </c>
      <c r="D24" s="206">
        <v>344</v>
      </c>
      <c r="E24" s="384">
        <f>E21+E23</f>
        <v>0</v>
      </c>
      <c r="F24" s="121"/>
      <c r="G24" s="121"/>
      <c r="H24" s="78"/>
      <c r="I24" s="78"/>
      <c r="J24" s="78"/>
      <c r="K24" s="1573"/>
    </row>
    <row r="25" spans="1:11" ht="15.75">
      <c r="A25" s="76" t="s">
        <v>2393</v>
      </c>
      <c r="B25" s="76"/>
      <c r="C25" s="76"/>
      <c r="D25" s="206">
        <v>345</v>
      </c>
      <c r="E25" s="384">
        <f>MINA(200,E24)</f>
        <v>0</v>
      </c>
      <c r="F25" s="75"/>
      <c r="G25" s="169" t="s">
        <v>2625</v>
      </c>
      <c r="H25" s="1">
        <v>346</v>
      </c>
      <c r="I25" s="369">
        <f>0.15*E25</f>
        <v>0</v>
      </c>
      <c r="J25" s="155">
        <v>7</v>
      </c>
      <c r="K25" s="1573"/>
    </row>
    <row r="26" spans="1:11" ht="15.75">
      <c r="A26" s="76"/>
      <c r="B26" s="76"/>
      <c r="C26" s="89" t="s">
        <v>218</v>
      </c>
      <c r="D26" s="206">
        <v>347</v>
      </c>
      <c r="E26" s="384">
        <f>E24-E25</f>
        <v>0</v>
      </c>
      <c r="F26" s="76"/>
      <c r="G26" s="207" t="s">
        <v>219</v>
      </c>
      <c r="H26" s="1">
        <v>348</v>
      </c>
      <c r="I26" s="384">
        <f>0.29*E26</f>
        <v>0</v>
      </c>
      <c r="J26" s="155">
        <v>8</v>
      </c>
      <c r="K26" s="1573"/>
    </row>
    <row r="27" spans="1:11" ht="15.75">
      <c r="A27" s="102"/>
      <c r="B27" s="82"/>
      <c r="C27" s="82"/>
      <c r="D27" s="82"/>
      <c r="E27" s="82"/>
      <c r="F27" s="170" t="s">
        <v>220</v>
      </c>
      <c r="G27" s="208" t="s">
        <v>221</v>
      </c>
      <c r="H27" s="78"/>
      <c r="I27" s="78"/>
      <c r="J27" s="113"/>
      <c r="K27" s="1573"/>
    </row>
    <row r="28" spans="1:11" ht="15.75">
      <c r="A28" s="75"/>
      <c r="B28" s="75"/>
      <c r="C28" s="75"/>
      <c r="D28" s="75"/>
      <c r="E28" s="75"/>
      <c r="F28" s="75"/>
      <c r="G28" s="90" t="s">
        <v>693</v>
      </c>
      <c r="H28" s="78"/>
      <c r="I28" s="654">
        <f>I25+I26</f>
        <v>0</v>
      </c>
      <c r="J28" s="155">
        <v>9</v>
      </c>
      <c r="K28" s="1573"/>
    </row>
    <row r="29" spans="1:11" ht="15">
      <c r="A29" s="78"/>
      <c r="B29" s="78"/>
      <c r="C29" s="78"/>
      <c r="D29" s="78"/>
      <c r="E29" s="78"/>
      <c r="F29" s="78"/>
      <c r="G29" s="78"/>
      <c r="H29" s="78"/>
      <c r="I29" s="78"/>
      <c r="J29" s="78"/>
      <c r="K29" s="1573"/>
    </row>
    <row r="30" spans="1:11" ht="15">
      <c r="A30" s="78"/>
      <c r="B30" s="78"/>
      <c r="C30" s="78"/>
      <c r="D30" s="78"/>
      <c r="E30" s="78"/>
      <c r="F30" s="78"/>
      <c r="G30" s="78"/>
      <c r="H30" s="78"/>
      <c r="I30" s="115"/>
      <c r="J30" s="78"/>
      <c r="K30" s="1573"/>
    </row>
    <row r="31" spans="1:11" ht="15">
      <c r="A31" s="78" t="s">
        <v>222</v>
      </c>
      <c r="B31" s="78"/>
      <c r="C31" s="78"/>
      <c r="D31" s="78"/>
      <c r="E31" s="78"/>
      <c r="F31" s="78"/>
      <c r="G31" s="78"/>
      <c r="H31" s="78"/>
      <c r="I31" s="78"/>
      <c r="J31" s="78" t="s">
        <v>1672</v>
      </c>
      <c r="K31" s="1573"/>
    </row>
  </sheetData>
  <sheetProtection password="EC35" sheet="1" objects="1" scenarios="1"/>
  <mergeCells count="1">
    <mergeCell ref="K1:K31"/>
  </mergeCells>
  <hyperlinks>
    <hyperlink ref="K1:K31" location="'GO TO'!B19" display=" "/>
  </hyperlinks>
  <printOptions horizontalCentered="1"/>
  <pageMargins left="0.15748031496062992" right="0.15748031496062992" top="0.5118110236220472" bottom="0.2755905511811024" header="0.5118110236220472" footer="0.5118110236220472"/>
  <pageSetup fitToHeight="0" fitToWidth="1" horizontalDpi="600" verticalDpi="600" orientation="portrait" scale="73" r:id="rId3"/>
  <rowBreaks count="1" manualBreakCount="1">
    <brk id="32" max="65535" man="1"/>
  </rowBreaks>
  <legacyDrawing r:id="rId2"/>
</worksheet>
</file>

<file path=xl/worksheets/sheet24.xml><?xml version="1.0" encoding="utf-8"?>
<worksheet xmlns="http://schemas.openxmlformats.org/spreadsheetml/2006/main" xmlns:r="http://schemas.openxmlformats.org/officeDocument/2006/relationships">
  <sheetPr codeName="Sheet19" transitionEvaluation="1">
    <pageSetUpPr fitToPage="1"/>
  </sheetPr>
  <dimension ref="A1:M61"/>
  <sheetViews>
    <sheetView showGridLines="0" zoomScale="75" zoomScaleNormal="75" workbookViewId="0" topLeftCell="A1">
      <selection activeCell="A2" sqref="A2"/>
    </sheetView>
  </sheetViews>
  <sheetFormatPr defaultColWidth="9.77734375" defaultRowHeight="15"/>
  <cols>
    <col min="1" max="1" width="15.77734375" style="608" customWidth="1"/>
    <col min="2" max="2" width="25.77734375" style="608" customWidth="1"/>
    <col min="3" max="3" width="4.77734375" style="608" customWidth="1"/>
    <col min="4" max="4" width="12.77734375" style="608" customWidth="1"/>
    <col min="5" max="5" width="4.77734375" style="608" customWidth="1"/>
    <col min="6" max="6" width="12.77734375" style="608" customWidth="1"/>
    <col min="7" max="7" width="3.77734375" style="608" customWidth="1"/>
    <col min="8" max="8" width="4.77734375" style="608" customWidth="1"/>
    <col min="9" max="9" width="12.77734375" style="608" customWidth="1"/>
    <col min="10" max="10" width="4.77734375" style="608" customWidth="1"/>
    <col min="11" max="11" width="12.77734375" style="608" customWidth="1"/>
    <col min="12" max="12" width="4.77734375" style="608" customWidth="1"/>
    <col min="13" max="13" width="8.10546875" style="608" customWidth="1"/>
    <col min="14" max="16384" width="9.77734375" style="608" customWidth="1"/>
  </cols>
  <sheetData>
    <row r="1" spans="1:13" ht="23.25">
      <c r="A1" s="135" t="str">
        <f>"T1-"&amp;yeartext</f>
        <v>T1-2007</v>
      </c>
      <c r="B1" s="135"/>
      <c r="C1" s="823"/>
      <c r="D1" s="1365" t="s">
        <v>1940</v>
      </c>
      <c r="E1" s="204"/>
      <c r="F1" s="204"/>
      <c r="G1" s="204"/>
      <c r="H1" s="209"/>
      <c r="I1" s="209"/>
      <c r="J1" s="209"/>
      <c r="K1" s="209"/>
      <c r="L1" s="1264" t="s">
        <v>306</v>
      </c>
      <c r="M1" s="1573" t="s">
        <v>1659</v>
      </c>
    </row>
    <row r="2" spans="1:13" ht="20.25" customHeight="1">
      <c r="A2" s="78"/>
      <c r="B2" s="78"/>
      <c r="C2" s="103"/>
      <c r="D2" s="1178" t="s">
        <v>2588</v>
      </c>
      <c r="E2" s="78"/>
      <c r="F2" s="78"/>
      <c r="G2" s="78"/>
      <c r="H2" s="78"/>
      <c r="I2" s="78"/>
      <c r="J2" s="78"/>
      <c r="K2" s="78"/>
      <c r="L2" s="78"/>
      <c r="M2" s="1573"/>
    </row>
    <row r="3" spans="1:13" ht="16.5">
      <c r="A3" s="825" t="s">
        <v>100</v>
      </c>
      <c r="B3" s="825"/>
      <c r="C3" s="872"/>
      <c r="D3" s="872"/>
      <c r="E3" s="872"/>
      <c r="F3" s="872"/>
      <c r="G3" s="872"/>
      <c r="H3" s="872"/>
      <c r="I3" s="872"/>
      <c r="J3" s="872"/>
      <c r="K3" s="872"/>
      <c r="L3" s="872"/>
      <c r="M3" s="1573"/>
    </row>
    <row r="4" spans="1:13" ht="16.5">
      <c r="A4" s="872" t="s">
        <v>101</v>
      </c>
      <c r="B4" s="872"/>
      <c r="C4" s="872"/>
      <c r="D4" s="872"/>
      <c r="E4" s="872"/>
      <c r="F4" s="872"/>
      <c r="G4" s="872"/>
      <c r="H4" s="872"/>
      <c r="I4" s="872"/>
      <c r="J4" s="872"/>
      <c r="K4" s="872"/>
      <c r="L4" s="872"/>
      <c r="M4" s="1573"/>
    </row>
    <row r="5" spans="1:13" ht="16.5">
      <c r="A5" s="872" t="s">
        <v>102</v>
      </c>
      <c r="B5" s="872"/>
      <c r="C5" s="872"/>
      <c r="D5" s="872"/>
      <c r="E5" s="872"/>
      <c r="F5" s="872"/>
      <c r="G5" s="872"/>
      <c r="H5" s="872"/>
      <c r="I5" s="872"/>
      <c r="J5" s="872"/>
      <c r="K5" s="872"/>
      <c r="L5" s="872"/>
      <c r="M5" s="1573"/>
    </row>
    <row r="6" spans="1:13" ht="16.5">
      <c r="A6" s="872" t="s">
        <v>103</v>
      </c>
      <c r="B6" s="872"/>
      <c r="C6" s="872"/>
      <c r="D6" s="872"/>
      <c r="E6" s="872"/>
      <c r="F6" s="872"/>
      <c r="G6" s="872"/>
      <c r="H6" s="872"/>
      <c r="I6" s="872"/>
      <c r="J6" s="872"/>
      <c r="K6" s="872"/>
      <c r="L6" s="872"/>
      <c r="M6" s="1573"/>
    </row>
    <row r="7" spans="1:13" ht="18">
      <c r="A7" s="86" t="str">
        <f>"Tuition, education, and textbook amounts claimed by the student  for "&amp;yeartext</f>
        <v>Tuition, education, and textbook amounts claimed by the student  for 2007</v>
      </c>
      <c r="B7" s="872"/>
      <c r="C7" s="872"/>
      <c r="D7" s="872"/>
      <c r="E7" s="872"/>
      <c r="F7" s="872"/>
      <c r="G7" s="872"/>
      <c r="H7" s="872"/>
      <c r="I7" s="872"/>
      <c r="J7" s="872"/>
      <c r="K7" s="872"/>
      <c r="L7" s="872"/>
      <c r="M7" s="1573"/>
    </row>
    <row r="8" spans="1:13" ht="16.5">
      <c r="A8" s="859" t="str">
        <f>"Unused federal tuition and education amounts from your "&amp;lastyeartext&amp;" Notice of"</f>
        <v>Unused federal tuition and education amounts from your 2006 Notice of</v>
      </c>
      <c r="B8" s="825"/>
      <c r="C8" s="872"/>
      <c r="D8" s="872"/>
      <c r="E8" s="872"/>
      <c r="F8" s="872"/>
      <c r="G8" s="872"/>
      <c r="H8" s="872"/>
      <c r="I8" s="872"/>
      <c r="J8" s="872"/>
      <c r="K8" s="872"/>
      <c r="L8" s="872"/>
      <c r="M8" s="1573"/>
    </row>
    <row r="9" spans="1:13" ht="16.5">
      <c r="A9" s="1191" t="s">
        <v>1772</v>
      </c>
      <c r="B9" s="863"/>
      <c r="C9" s="863"/>
      <c r="D9" s="1191"/>
      <c r="E9" s="863"/>
      <c r="F9" s="1192"/>
      <c r="G9" s="863"/>
      <c r="H9" s="863"/>
      <c r="I9" s="1191"/>
      <c r="J9" s="872"/>
      <c r="K9" s="873"/>
      <c r="L9" s="874">
        <v>1</v>
      </c>
      <c r="M9" s="1573"/>
    </row>
    <row r="10" spans="1:13" ht="16.5">
      <c r="A10" s="863" t="str">
        <f>"Eligible tuition fees paid for "&amp;yeartext</f>
        <v>Eligible tuition fees paid for 2007</v>
      </c>
      <c r="B10" s="863"/>
      <c r="C10" s="863"/>
      <c r="D10" s="863"/>
      <c r="E10" s="863"/>
      <c r="F10" s="863"/>
      <c r="G10" s="859"/>
      <c r="H10" s="875">
        <v>320</v>
      </c>
      <c r="I10" s="873"/>
      <c r="J10" s="874">
        <v>2</v>
      </c>
      <c r="K10" s="872"/>
      <c r="L10" s="872"/>
      <c r="M10" s="1573"/>
    </row>
    <row r="11" spans="1:13" ht="16.5">
      <c r="A11" s="861" t="str">
        <f>"Education and textbook amounts for "&amp;yeartext</f>
        <v>Education and textbook amounts for 2007</v>
      </c>
      <c r="B11" s="859"/>
      <c r="C11" s="859"/>
      <c r="D11" s="859"/>
      <c r="E11" s="859"/>
      <c r="F11" s="859"/>
      <c r="G11" s="859"/>
      <c r="H11" s="872"/>
      <c r="I11" s="872"/>
      <c r="J11" s="874"/>
      <c r="K11" s="872"/>
      <c r="L11" s="872"/>
      <c r="M11" s="1573"/>
    </row>
    <row r="12" spans="1:13" ht="20.25" customHeight="1">
      <c r="A12" s="861" t="s">
        <v>105</v>
      </c>
      <c r="B12" s="859"/>
      <c r="C12" s="859"/>
      <c r="D12" s="859"/>
      <c r="E12" s="859"/>
      <c r="F12" s="859"/>
      <c r="G12" s="859"/>
      <c r="H12" s="872"/>
      <c r="I12" s="872"/>
      <c r="J12" s="874"/>
      <c r="K12" s="872"/>
      <c r="L12" s="872"/>
      <c r="M12" s="1573"/>
    </row>
    <row r="13" spans="1:13" ht="16.5">
      <c r="A13" s="859" t="s">
        <v>120</v>
      </c>
      <c r="B13" s="859"/>
      <c r="C13" s="859"/>
      <c r="D13" s="859"/>
      <c r="E13" s="859"/>
      <c r="F13" s="859"/>
      <c r="G13" s="859"/>
      <c r="H13" s="872"/>
      <c r="I13" s="872"/>
      <c r="J13" s="874"/>
      <c r="K13" s="872"/>
      <c r="L13" s="872"/>
      <c r="M13" s="1573"/>
    </row>
    <row r="14" spans="1:13" ht="16.5">
      <c r="A14" s="861" t="s">
        <v>104</v>
      </c>
      <c r="B14" s="859"/>
      <c r="C14" s="859"/>
      <c r="D14" s="859"/>
      <c r="E14" s="859"/>
      <c r="F14" s="859"/>
      <c r="G14" s="859"/>
      <c r="H14" s="872"/>
      <c r="I14" s="872"/>
      <c r="J14" s="874"/>
      <c r="K14" s="872"/>
      <c r="L14" s="872"/>
      <c r="M14" s="1573"/>
    </row>
    <row r="15" spans="1:13" s="997" customFormat="1" ht="16.5">
      <c r="A15" s="861" t="s">
        <v>106</v>
      </c>
      <c r="B15" s="861"/>
      <c r="C15" s="1179"/>
      <c r="D15" s="1180"/>
      <c r="E15" s="859"/>
      <c r="F15" s="859"/>
      <c r="G15" s="859"/>
      <c r="H15" s="859"/>
      <c r="I15" s="859"/>
      <c r="J15" s="859"/>
      <c r="K15" s="859"/>
      <c r="L15" s="859"/>
      <c r="M15" s="1573"/>
    </row>
    <row r="16" spans="1:13" ht="16.5">
      <c r="A16" s="863" t="s">
        <v>114</v>
      </c>
      <c r="B16" s="1185"/>
      <c r="C16" s="901"/>
      <c r="D16" s="1182" t="s">
        <v>682</v>
      </c>
      <c r="E16" s="872"/>
      <c r="F16" s="868">
        <f>120*MINA(C16+0,12)</f>
        <v>0</v>
      </c>
      <c r="G16" s="1184">
        <v>3</v>
      </c>
      <c r="H16" s="1184"/>
      <c r="I16" s="872"/>
      <c r="J16" s="872"/>
      <c r="K16" s="872"/>
      <c r="L16" s="872"/>
      <c r="M16" s="1573"/>
    </row>
    <row r="17" spans="1:13" ht="16.5">
      <c r="A17" s="1181" t="s">
        <v>107</v>
      </c>
      <c r="B17" s="861"/>
      <c r="C17" s="1180"/>
      <c r="D17" s="1183"/>
      <c r="E17" s="872"/>
      <c r="F17" s="1186"/>
      <c r="G17" s="1184"/>
      <c r="H17" s="1184"/>
      <c r="I17" s="872"/>
      <c r="J17" s="872"/>
      <c r="K17" s="872"/>
      <c r="L17" s="872"/>
      <c r="M17" s="1573"/>
    </row>
    <row r="18" spans="1:13" ht="16.5">
      <c r="A18" s="863" t="s">
        <v>113</v>
      </c>
      <c r="B18" s="1185"/>
      <c r="C18" s="901"/>
      <c r="D18" s="1182" t="s">
        <v>108</v>
      </c>
      <c r="E18" s="872"/>
      <c r="F18" s="868">
        <f>20*MINA(C18+0,12)</f>
        <v>0</v>
      </c>
      <c r="G18" s="1184">
        <v>4</v>
      </c>
      <c r="H18" s="1184"/>
      <c r="I18" s="872"/>
      <c r="J18" s="872"/>
      <c r="K18" s="872"/>
      <c r="L18" s="872"/>
      <c r="M18" s="1573"/>
    </row>
    <row r="19" spans="1:13" ht="16.5">
      <c r="A19" s="878"/>
      <c r="B19" s="878"/>
      <c r="C19" s="878"/>
      <c r="D19" s="1188" t="s">
        <v>109</v>
      </c>
      <c r="E19" s="872"/>
      <c r="F19" s="868">
        <f>F16+F18</f>
        <v>0</v>
      </c>
      <c r="G19" s="1187" t="s">
        <v>410</v>
      </c>
      <c r="H19" s="865">
        <v>321</v>
      </c>
      <c r="I19" s="868">
        <f>F19</f>
        <v>0</v>
      </c>
      <c r="J19" s="1184">
        <v>5</v>
      </c>
      <c r="K19" s="872"/>
      <c r="L19" s="872"/>
      <c r="M19" s="1573"/>
    </row>
    <row r="20" spans="1:13" ht="16.5">
      <c r="A20" s="825" t="s">
        <v>111</v>
      </c>
      <c r="B20" s="872"/>
      <c r="C20" s="872"/>
      <c r="D20" s="872"/>
      <c r="E20" s="872"/>
      <c r="F20" s="872"/>
      <c r="G20" s="872"/>
      <c r="H20" s="872"/>
      <c r="I20" s="872"/>
      <c r="J20" s="872"/>
      <c r="K20" s="872"/>
      <c r="L20" s="872"/>
      <c r="M20" s="1573"/>
    </row>
    <row r="21" spans="1:13" ht="16.5">
      <c r="A21" s="872" t="s">
        <v>110</v>
      </c>
      <c r="B21" s="872"/>
      <c r="C21" s="872"/>
      <c r="D21" s="872"/>
      <c r="E21" s="872"/>
      <c r="F21" s="872"/>
      <c r="G21" s="872"/>
      <c r="H21" s="872"/>
      <c r="I21" s="872"/>
      <c r="J21" s="872"/>
      <c r="K21" s="872"/>
      <c r="L21" s="872"/>
      <c r="M21" s="1573"/>
    </row>
    <row r="22" spans="1:13" ht="16.5">
      <c r="A22" s="825" t="s">
        <v>104</v>
      </c>
      <c r="B22" s="872"/>
      <c r="C22" s="872"/>
      <c r="D22" s="872"/>
      <c r="E22" s="872"/>
      <c r="F22" s="872"/>
      <c r="G22" s="872"/>
      <c r="H22" s="872"/>
      <c r="I22" s="872"/>
      <c r="J22" s="872"/>
      <c r="K22" s="872"/>
      <c r="L22" s="872"/>
      <c r="M22" s="1573"/>
    </row>
    <row r="23" spans="1:13" ht="16.5">
      <c r="A23" s="861" t="s">
        <v>106</v>
      </c>
      <c r="B23" s="861"/>
      <c r="C23" s="1179"/>
      <c r="D23" s="1180"/>
      <c r="E23" s="859"/>
      <c r="F23" s="859"/>
      <c r="G23" s="859"/>
      <c r="H23" s="859"/>
      <c r="I23" s="859"/>
      <c r="J23" s="859"/>
      <c r="K23" s="872"/>
      <c r="L23" s="872"/>
      <c r="M23" s="1573"/>
    </row>
    <row r="24" spans="1:13" ht="16.5">
      <c r="A24" s="863" t="s">
        <v>112</v>
      </c>
      <c r="B24" s="1185"/>
      <c r="C24" s="901"/>
      <c r="D24" s="1182" t="s">
        <v>683</v>
      </c>
      <c r="E24" s="872"/>
      <c r="F24" s="868">
        <f>400*MINA(C24+0,12)</f>
        <v>0</v>
      </c>
      <c r="G24" s="1184">
        <v>6</v>
      </c>
      <c r="H24" s="1184"/>
      <c r="I24" s="872"/>
      <c r="J24" s="872"/>
      <c r="K24" s="872"/>
      <c r="L24" s="872"/>
      <c r="M24" s="1573"/>
    </row>
    <row r="25" spans="1:13" ht="16.5">
      <c r="A25" s="1181" t="s">
        <v>107</v>
      </c>
      <c r="B25" s="861"/>
      <c r="C25" s="1180"/>
      <c r="D25" s="1183"/>
      <c r="E25" s="872"/>
      <c r="F25" s="1186"/>
      <c r="G25" s="1184"/>
      <c r="H25" s="1184"/>
      <c r="I25" s="872"/>
      <c r="J25" s="872"/>
      <c r="K25" s="872"/>
      <c r="L25" s="872"/>
      <c r="M25" s="1573"/>
    </row>
    <row r="26" spans="1:13" ht="16.5">
      <c r="A26" s="863" t="s">
        <v>112</v>
      </c>
      <c r="B26" s="1185"/>
      <c r="C26" s="901"/>
      <c r="D26" s="1182" t="s">
        <v>115</v>
      </c>
      <c r="E26" s="872"/>
      <c r="F26" s="868">
        <f>65*MINA(C26+0,12)</f>
        <v>0</v>
      </c>
      <c r="G26" s="1184">
        <v>7</v>
      </c>
      <c r="H26" s="1184"/>
      <c r="I26" s="872"/>
      <c r="J26" s="872"/>
      <c r="K26" s="872"/>
      <c r="L26" s="872"/>
      <c r="M26" s="1573"/>
    </row>
    <row r="27" spans="1:13" ht="16.5">
      <c r="A27" s="878"/>
      <c r="B27" s="878"/>
      <c r="C27" s="878"/>
      <c r="D27" s="1188" t="s">
        <v>2460</v>
      </c>
      <c r="E27" s="872"/>
      <c r="F27" s="868">
        <f>F24+F26</f>
        <v>0</v>
      </c>
      <c r="G27" s="1187" t="s">
        <v>410</v>
      </c>
      <c r="H27" s="865">
        <v>322</v>
      </c>
      <c r="I27" s="868">
        <f>F27</f>
        <v>0</v>
      </c>
      <c r="J27" s="1184">
        <v>8</v>
      </c>
      <c r="K27" s="872"/>
      <c r="L27" s="872"/>
      <c r="M27" s="1573"/>
    </row>
    <row r="28" spans="1:13" ht="17.25" thickBot="1">
      <c r="A28" s="863"/>
      <c r="B28" s="863"/>
      <c r="C28" s="863"/>
      <c r="D28" s="863"/>
      <c r="E28" s="863"/>
      <c r="F28" s="864" t="str">
        <f>"Total "&amp;yeartext&amp;" tuition, education, and textbook amounts: add lines 2, 5, and 8."</f>
        <v>Total 2007 tuition, education, and textbook amounts: add lines 2, 5, and 8.</v>
      </c>
      <c r="G28" s="860"/>
      <c r="H28" s="872"/>
      <c r="I28" s="868">
        <f>I10+I19+I27</f>
        <v>0</v>
      </c>
      <c r="J28" s="1189" t="s">
        <v>410</v>
      </c>
      <c r="K28" s="877">
        <f>I28</f>
        <v>0</v>
      </c>
      <c r="L28" s="874">
        <v>9</v>
      </c>
      <c r="M28" s="1573"/>
    </row>
    <row r="29" spans="1:13" ht="16.5">
      <c r="A29" s="863"/>
      <c r="B29" s="863"/>
      <c r="C29" s="863"/>
      <c r="D29" s="863"/>
      <c r="E29" s="863"/>
      <c r="F29" s="863"/>
      <c r="G29" s="863"/>
      <c r="H29" s="863"/>
      <c r="I29" s="864" t="s">
        <v>116</v>
      </c>
      <c r="J29" s="872"/>
      <c r="K29" s="868">
        <f>K9+K28</f>
        <v>0</v>
      </c>
      <c r="L29" s="874">
        <v>10</v>
      </c>
      <c r="M29" s="1573"/>
    </row>
    <row r="30" spans="1:13" ht="16.5">
      <c r="A30" s="863" t="s">
        <v>1098</v>
      </c>
      <c r="B30" s="863"/>
      <c r="C30" s="863"/>
      <c r="D30" s="863"/>
      <c r="E30" s="878"/>
      <c r="F30" s="879"/>
      <c r="G30" s="1190"/>
      <c r="H30" s="880"/>
      <c r="I30" s="868">
        <f>'T1 GEN-2-3-4'!K103</f>
        <v>0</v>
      </c>
      <c r="J30" s="874">
        <v>11</v>
      </c>
      <c r="K30" s="872"/>
      <c r="L30" s="872"/>
      <c r="M30" s="1573"/>
    </row>
    <row r="31" spans="1:13" ht="17.25" thickBot="1">
      <c r="A31" s="863" t="s">
        <v>1773</v>
      </c>
      <c r="B31" s="863"/>
      <c r="C31" s="863"/>
      <c r="D31" s="863"/>
      <c r="E31" s="881"/>
      <c r="F31" s="882"/>
      <c r="G31" s="1190"/>
      <c r="H31" s="880"/>
      <c r="I31" s="894">
        <f>SUM(Sch1!K7:K28)</f>
        <v>9600</v>
      </c>
      <c r="J31" s="874">
        <v>12</v>
      </c>
      <c r="K31" s="872"/>
      <c r="L31" s="872"/>
      <c r="M31" s="1573"/>
    </row>
    <row r="32" spans="1:13" ht="16.5">
      <c r="A32" s="864"/>
      <c r="B32" s="864"/>
      <c r="C32" s="863"/>
      <c r="D32" s="863"/>
      <c r="E32" s="881"/>
      <c r="F32" s="882"/>
      <c r="G32" s="883" t="s">
        <v>117</v>
      </c>
      <c r="H32" s="880"/>
      <c r="I32" s="868">
        <f>MAXA(0,I30-I31)</f>
        <v>0</v>
      </c>
      <c r="J32" s="874">
        <v>13</v>
      </c>
      <c r="K32" s="872"/>
      <c r="L32" s="872"/>
      <c r="M32" s="1573"/>
    </row>
    <row r="33" spans="1:13" ht="16.5">
      <c r="A33" s="872" t="str">
        <f>"Unused tuition and education amounts claimed for "&amp;yeartext&amp;":"</f>
        <v>Unused tuition and education amounts claimed for 2007:</v>
      </c>
      <c r="B33" s="872"/>
      <c r="C33" s="872"/>
      <c r="D33" s="872"/>
      <c r="E33" s="859"/>
      <c r="F33" s="880"/>
      <c r="G33" s="880"/>
      <c r="H33" s="880"/>
      <c r="I33" s="872"/>
      <c r="J33" s="872"/>
      <c r="K33" s="872"/>
      <c r="L33" s="872"/>
      <c r="M33" s="1573"/>
    </row>
    <row r="34" spans="1:13" ht="17.25" thickBot="1">
      <c r="A34" s="863" t="s">
        <v>118</v>
      </c>
      <c r="B34" s="863"/>
      <c r="C34" s="863"/>
      <c r="D34" s="863"/>
      <c r="E34" s="859"/>
      <c r="F34" s="880"/>
      <c r="G34" s="880"/>
      <c r="H34" s="880"/>
      <c r="I34" s="877">
        <f>MINA(K9+0,I32)</f>
        <v>0</v>
      </c>
      <c r="J34" s="1189" t="s">
        <v>410</v>
      </c>
      <c r="K34" s="868">
        <f>I34</f>
        <v>0</v>
      </c>
      <c r="L34" s="874">
        <v>14</v>
      </c>
      <c r="M34" s="1573"/>
    </row>
    <row r="35" spans="1:13" ht="16.5">
      <c r="A35" s="863"/>
      <c r="B35" s="863"/>
      <c r="C35" s="863"/>
      <c r="D35" s="863"/>
      <c r="E35" s="881"/>
      <c r="F35" s="882"/>
      <c r="G35" s="884" t="s">
        <v>121</v>
      </c>
      <c r="H35" s="880"/>
      <c r="I35" s="868">
        <f>I32-K34</f>
        <v>0</v>
      </c>
      <c r="J35" s="874">
        <v>15</v>
      </c>
      <c r="K35" s="872"/>
      <c r="L35" s="872"/>
      <c r="M35" s="1573"/>
    </row>
    <row r="36" spans="1:13" ht="16.5">
      <c r="A36" s="876" t="str">
        <f>yeartext&amp;" tuition, education, and textbook amounts claimed for "&amp;yeartext&amp;":"</f>
        <v>2007 tuition, education, and textbook amounts claimed for 2007:</v>
      </c>
      <c r="B36" s="876"/>
      <c r="C36" s="872"/>
      <c r="D36" s="872"/>
      <c r="E36" s="872"/>
      <c r="F36" s="880"/>
      <c r="G36" s="880"/>
      <c r="H36" s="880"/>
      <c r="I36" s="872"/>
      <c r="J36" s="872"/>
      <c r="K36" s="872"/>
      <c r="L36" s="872"/>
      <c r="M36" s="1573"/>
    </row>
    <row r="37" spans="1:13" ht="16.5">
      <c r="A37" s="863" t="s">
        <v>119</v>
      </c>
      <c r="B37" s="863"/>
      <c r="C37" s="863"/>
      <c r="D37" s="863"/>
      <c r="E37" s="863"/>
      <c r="F37" s="879"/>
      <c r="G37" s="879"/>
      <c r="H37" s="879"/>
      <c r="I37" s="863"/>
      <c r="J37" s="859"/>
      <c r="K37" s="868">
        <f>MINA(K28,I35)</f>
        <v>0</v>
      </c>
      <c r="L37" s="874">
        <v>16</v>
      </c>
      <c r="M37" s="1573"/>
    </row>
    <row r="38" spans="1:13" ht="16.5">
      <c r="A38" s="872"/>
      <c r="B38" s="872"/>
      <c r="C38" s="872"/>
      <c r="D38" s="872"/>
      <c r="E38" s="872"/>
      <c r="F38" s="880"/>
      <c r="G38" s="885" t="str">
        <f>"Total tuition, education, and textbook amounts claimed for "&amp;yeartext&amp;":"</f>
        <v>Total tuition, education, and textbook amounts claimed for 2007:</v>
      </c>
      <c r="H38" s="876" t="s">
        <v>2466</v>
      </c>
      <c r="I38" s="1386"/>
      <c r="J38" s="825"/>
      <c r="K38" s="872"/>
      <c r="L38" s="872"/>
      <c r="M38" s="1573"/>
    </row>
    <row r="39" spans="1:13" ht="16.5">
      <c r="A39" s="863"/>
      <c r="B39" s="863"/>
      <c r="C39" s="863"/>
      <c r="D39" s="863"/>
      <c r="E39" s="863"/>
      <c r="F39" s="886"/>
      <c r="G39" s="886"/>
      <c r="H39" s="863"/>
      <c r="I39" s="886" t="s">
        <v>856</v>
      </c>
      <c r="J39" s="825"/>
      <c r="K39" s="887">
        <f>K34+K37</f>
        <v>0</v>
      </c>
      <c r="L39" s="874">
        <v>17</v>
      </c>
      <c r="M39" s="1573"/>
    </row>
    <row r="40" spans="1:13" ht="8.25" customHeight="1" thickBot="1">
      <c r="A40" s="872"/>
      <c r="B40" s="872"/>
      <c r="C40" s="872"/>
      <c r="D40" s="872"/>
      <c r="E40" s="872"/>
      <c r="F40" s="872"/>
      <c r="G40" s="872"/>
      <c r="H40" s="872"/>
      <c r="I40" s="872"/>
      <c r="J40" s="825"/>
      <c r="K40" s="872"/>
      <c r="L40" s="872"/>
      <c r="M40" s="1573"/>
    </row>
    <row r="41" spans="1:13" ht="16.5">
      <c r="A41" s="1387" t="s">
        <v>2467</v>
      </c>
      <c r="B41" s="1388"/>
      <c r="C41" s="1389"/>
      <c r="D41" s="1389"/>
      <c r="E41" s="1389"/>
      <c r="F41" s="1389"/>
      <c r="G41" s="1389"/>
      <c r="H41" s="1389"/>
      <c r="I41" s="888"/>
      <c r="J41" s="889"/>
      <c r="K41" s="888"/>
      <c r="L41" s="890"/>
      <c r="M41" s="1573"/>
    </row>
    <row r="42" spans="1:13" ht="16.5">
      <c r="A42" s="1390" t="s">
        <v>996</v>
      </c>
      <c r="B42" s="1391"/>
      <c r="C42" s="1391"/>
      <c r="D42" s="1391"/>
      <c r="E42" s="1391"/>
      <c r="F42" s="1391"/>
      <c r="G42" s="1391"/>
      <c r="H42" s="1391"/>
      <c r="I42" s="878"/>
      <c r="J42" s="861"/>
      <c r="K42" s="891">
        <f>K29</f>
        <v>0</v>
      </c>
      <c r="L42" s="866">
        <v>18</v>
      </c>
      <c r="M42" s="1573"/>
    </row>
    <row r="43" spans="1:13" ht="17.25" thickBot="1">
      <c r="A43" s="1392" t="s">
        <v>1774</v>
      </c>
      <c r="B43" s="1393"/>
      <c r="C43" s="1393"/>
      <c r="D43" s="1393"/>
      <c r="E43" s="1393"/>
      <c r="F43" s="1393"/>
      <c r="G43" s="1393"/>
      <c r="H43" s="1393"/>
      <c r="I43" s="881"/>
      <c r="J43" s="861"/>
      <c r="K43" s="892">
        <f>K39</f>
        <v>0</v>
      </c>
      <c r="L43" s="866">
        <v>19</v>
      </c>
      <c r="M43" s="1573"/>
    </row>
    <row r="44" spans="1:13" ht="16.5">
      <c r="A44" s="1394" t="s">
        <v>1373</v>
      </c>
      <c r="B44" s="1395"/>
      <c r="C44" s="1393"/>
      <c r="D44" s="1393"/>
      <c r="E44" s="1393"/>
      <c r="F44" s="1393"/>
      <c r="G44" s="1393"/>
      <c r="H44" s="1393"/>
      <c r="I44" s="883" t="s">
        <v>2399</v>
      </c>
      <c r="J44" s="861"/>
      <c r="K44" s="891">
        <f>K42-K43</f>
        <v>0</v>
      </c>
      <c r="L44" s="866">
        <v>20</v>
      </c>
      <c r="M44" s="1573"/>
    </row>
    <row r="45" spans="1:13" ht="27" customHeight="1">
      <c r="A45" s="1396" t="s">
        <v>2400</v>
      </c>
      <c r="B45" s="1397"/>
      <c r="C45" s="1397"/>
      <c r="D45" s="1397"/>
      <c r="E45" s="1397"/>
      <c r="F45" s="1397"/>
      <c r="G45" s="1397"/>
      <c r="H45" s="1397"/>
      <c r="I45" s="859"/>
      <c r="J45" s="861"/>
      <c r="K45" s="859"/>
      <c r="L45" s="862"/>
      <c r="M45" s="1573"/>
    </row>
    <row r="46" spans="1:13" ht="16.5">
      <c r="A46" s="1398" t="s">
        <v>2401</v>
      </c>
      <c r="B46" s="1399"/>
      <c r="C46" s="1397"/>
      <c r="D46" s="1397"/>
      <c r="E46" s="1397"/>
      <c r="F46" s="1397"/>
      <c r="G46" s="1397"/>
      <c r="H46" s="1397"/>
      <c r="I46" s="859"/>
      <c r="J46" s="861"/>
      <c r="K46" s="859"/>
      <c r="L46" s="862"/>
      <c r="M46" s="1573"/>
    </row>
    <row r="47" spans="1:13" ht="16.5">
      <c r="A47" s="1400" t="s">
        <v>2402</v>
      </c>
      <c r="B47" s="1401"/>
      <c r="C47" s="1401"/>
      <c r="D47" s="1401"/>
      <c r="E47" s="1401"/>
      <c r="F47" s="1401"/>
      <c r="G47" s="1401"/>
      <c r="H47" s="1397"/>
      <c r="I47" s="868">
        <f>MINA(5000,K28)</f>
        <v>0</v>
      </c>
      <c r="J47" s="893">
        <v>21</v>
      </c>
      <c r="K47" s="859"/>
      <c r="L47" s="862"/>
      <c r="M47" s="1573"/>
    </row>
    <row r="48" spans="1:13" ht="17.25" thickBot="1">
      <c r="A48" s="1400" t="s">
        <v>2403</v>
      </c>
      <c r="B48" s="1401"/>
      <c r="C48" s="1401"/>
      <c r="D48" s="1401"/>
      <c r="E48" s="1401"/>
      <c r="F48" s="1401"/>
      <c r="G48" s="1401"/>
      <c r="H48" s="1397"/>
      <c r="I48" s="894">
        <f>K37</f>
        <v>0</v>
      </c>
      <c r="J48" s="893">
        <v>22</v>
      </c>
      <c r="K48" s="859"/>
      <c r="L48" s="862"/>
      <c r="M48" s="1573"/>
    </row>
    <row r="49" spans="1:13" ht="16.5">
      <c r="A49" s="1402" t="s">
        <v>85</v>
      </c>
      <c r="B49" s="1403"/>
      <c r="C49" s="1401"/>
      <c r="D49" s="1401"/>
      <c r="E49" s="1401"/>
      <c r="F49" s="1404"/>
      <c r="G49" s="1404" t="s">
        <v>2404</v>
      </c>
      <c r="H49" s="1397"/>
      <c r="I49" s="868">
        <f>MAXA(0,I47-I48)</f>
        <v>0</v>
      </c>
      <c r="J49" s="893">
        <v>23</v>
      </c>
      <c r="K49" s="859"/>
      <c r="L49" s="862"/>
      <c r="M49" s="1573"/>
    </row>
    <row r="50" spans="1:13" ht="23.25" customHeight="1">
      <c r="A50" s="1396" t="s">
        <v>2405</v>
      </c>
      <c r="B50" s="1397"/>
      <c r="C50" s="1090"/>
      <c r="D50" s="1090"/>
      <c r="E50" s="1090"/>
      <c r="F50" s="1095"/>
      <c r="G50" s="1095"/>
      <c r="H50" s="1090"/>
      <c r="I50" s="121"/>
      <c r="J50" s="99"/>
      <c r="K50" s="121"/>
      <c r="L50" s="858"/>
      <c r="M50" s="1573"/>
    </row>
    <row r="51" spans="1:13" ht="16.5">
      <c r="A51" s="1396" t="s">
        <v>406</v>
      </c>
      <c r="B51" s="1397"/>
      <c r="C51" s="1090"/>
      <c r="D51" s="1090"/>
      <c r="E51" s="1090"/>
      <c r="F51" s="1095"/>
      <c r="G51" s="1095"/>
      <c r="H51" s="1090"/>
      <c r="I51" s="121"/>
      <c r="J51" s="99"/>
      <c r="K51" s="121"/>
      <c r="L51" s="858"/>
      <c r="M51" s="1573"/>
    </row>
    <row r="52" spans="1:13" ht="16.5">
      <c r="A52" s="1396" t="s">
        <v>2406</v>
      </c>
      <c r="B52" s="1397"/>
      <c r="C52" s="1090"/>
      <c r="D52" s="1090"/>
      <c r="E52" s="1090"/>
      <c r="F52" s="1095"/>
      <c r="G52" s="1095"/>
      <c r="H52" s="1090"/>
      <c r="I52" s="121"/>
      <c r="J52" s="99"/>
      <c r="K52" s="121"/>
      <c r="L52" s="858"/>
      <c r="M52" s="1573"/>
    </row>
    <row r="53" spans="1:13" ht="16.5">
      <c r="A53" s="1396" t="s">
        <v>2463</v>
      </c>
      <c r="B53" s="1397"/>
      <c r="C53" s="1090"/>
      <c r="D53" s="1090"/>
      <c r="E53" s="1090"/>
      <c r="F53" s="1095"/>
      <c r="G53" s="1095"/>
      <c r="H53" s="1090"/>
      <c r="I53" s="121"/>
      <c r="J53" s="99"/>
      <c r="K53" s="121"/>
      <c r="L53" s="858"/>
      <c r="M53" s="1573"/>
    </row>
    <row r="54" spans="1:13" ht="22.5" customHeight="1">
      <c r="A54" s="1405" t="s">
        <v>2565</v>
      </c>
      <c r="B54" s="1406"/>
      <c r="C54" s="1090"/>
      <c r="D54" s="1090"/>
      <c r="E54" s="1090"/>
      <c r="F54" s="1095"/>
      <c r="G54" s="1095"/>
      <c r="H54" s="1090"/>
      <c r="I54" s="121"/>
      <c r="J54" s="99"/>
      <c r="K54" s="121"/>
      <c r="L54" s="858"/>
      <c r="M54" s="1573"/>
    </row>
    <row r="55" spans="1:13" ht="16.5">
      <c r="A55" s="1396" t="s">
        <v>865</v>
      </c>
      <c r="B55" s="1397"/>
      <c r="C55" s="1090"/>
      <c r="D55" s="1090"/>
      <c r="E55" s="1090"/>
      <c r="F55" s="1095"/>
      <c r="G55" s="1095"/>
      <c r="H55" s="1090"/>
      <c r="I55" s="121"/>
      <c r="J55" s="99"/>
      <c r="K55" s="121"/>
      <c r="L55" s="858"/>
      <c r="M55" s="1573"/>
    </row>
    <row r="56" spans="1:13" ht="17.25" thickBot="1">
      <c r="A56" s="1396" t="s">
        <v>866</v>
      </c>
      <c r="B56" s="1397"/>
      <c r="C56" s="1397"/>
      <c r="D56" s="1397"/>
      <c r="E56" s="1397"/>
      <c r="F56" s="1407"/>
      <c r="G56" s="1407"/>
      <c r="H56" s="1397"/>
      <c r="I56" s="859"/>
      <c r="J56" s="861"/>
      <c r="K56" s="859"/>
      <c r="L56" s="862"/>
      <c r="M56" s="1573"/>
    </row>
    <row r="57" spans="1:13" ht="21" customHeight="1" thickBot="1">
      <c r="A57" s="1402" t="s">
        <v>2464</v>
      </c>
      <c r="B57" s="1403"/>
      <c r="C57" s="1401"/>
      <c r="D57" s="1401"/>
      <c r="E57" s="1401"/>
      <c r="F57" s="1408"/>
      <c r="G57" s="1408"/>
      <c r="H57" s="1401"/>
      <c r="I57" s="863"/>
      <c r="J57" s="865">
        <v>327</v>
      </c>
      <c r="K57" s="1412">
        <f>I49</f>
        <v>0</v>
      </c>
      <c r="L57" s="866">
        <v>24</v>
      </c>
      <c r="M57" s="1573"/>
    </row>
    <row r="58" spans="1:13" ht="16.5">
      <c r="A58" s="1402" t="s">
        <v>877</v>
      </c>
      <c r="B58" s="1403"/>
      <c r="C58" s="1401"/>
      <c r="D58" s="1401"/>
      <c r="E58" s="1401"/>
      <c r="F58" s="1408"/>
      <c r="G58" s="1408"/>
      <c r="H58" s="1401"/>
      <c r="I58" s="867" t="s">
        <v>2465</v>
      </c>
      <c r="J58" s="861"/>
      <c r="K58" s="868">
        <f>K44-K57</f>
        <v>0</v>
      </c>
      <c r="L58" s="866">
        <v>25</v>
      </c>
      <c r="M58" s="1573"/>
    </row>
    <row r="59" spans="1:13" ht="23.25" customHeight="1" thickBot="1">
      <c r="A59" s="1409"/>
      <c r="B59" s="1410"/>
      <c r="C59" s="1410"/>
      <c r="D59" s="1410"/>
      <c r="E59" s="1410"/>
      <c r="F59" s="1411"/>
      <c r="G59" s="1411"/>
      <c r="H59" s="1410"/>
      <c r="I59" s="869"/>
      <c r="J59" s="870" t="s">
        <v>668</v>
      </c>
      <c r="K59" s="869"/>
      <c r="L59" s="871"/>
      <c r="M59" s="1573"/>
    </row>
    <row r="60" spans="1:13" ht="6.75" customHeight="1">
      <c r="A60" s="78"/>
      <c r="B60" s="78"/>
      <c r="C60" s="78"/>
      <c r="D60" s="78"/>
      <c r="E60" s="78"/>
      <c r="F60" s="78"/>
      <c r="G60" s="78"/>
      <c r="H60" s="78"/>
      <c r="I60" s="78"/>
      <c r="J60" s="78"/>
      <c r="K60" s="78"/>
      <c r="L60" s="78" t="s">
        <v>998</v>
      </c>
      <c r="M60" s="1573"/>
    </row>
    <row r="61" spans="1:2" ht="15">
      <c r="A61" s="60" t="s">
        <v>1688</v>
      </c>
      <c r="B61" s="60"/>
    </row>
  </sheetData>
  <sheetProtection password="EC35" sheet="1" objects="1" scenarios="1"/>
  <mergeCells count="1">
    <mergeCell ref="M1:M60"/>
  </mergeCells>
  <hyperlinks>
    <hyperlink ref="M1:M60" location="'GO TO'!B20" display=" "/>
  </hyperlinks>
  <printOptions horizontalCentered="1"/>
  <pageMargins left="0.15748031496062992" right="0.15748031496062992" top="0.31496062992125984" bottom="0.31496062992125984" header="0.5118110236220472" footer="0.5118110236220472"/>
  <pageSetup fitToHeight="0" fitToWidth="1" horizontalDpi="600" verticalDpi="600" orientation="portrait" scale="70" r:id="rId3"/>
  <legacyDrawing r:id="rId2"/>
</worksheet>
</file>

<file path=xl/worksheets/sheet25.xml><?xml version="1.0" encoding="utf-8"?>
<worksheet xmlns="http://schemas.openxmlformats.org/spreadsheetml/2006/main" xmlns:r="http://schemas.openxmlformats.org/officeDocument/2006/relationships">
  <sheetPr codeName="Sheet21">
    <pageSetUpPr fitToPage="1"/>
  </sheetPr>
  <dimension ref="B1:O126"/>
  <sheetViews>
    <sheetView showGridLines="0" zoomScale="60" zoomScaleNormal="60" workbookViewId="0" topLeftCell="A1">
      <selection activeCell="B2" sqref="B2"/>
    </sheetView>
  </sheetViews>
  <sheetFormatPr defaultColWidth="8.88671875" defaultRowHeight="15"/>
  <cols>
    <col min="1" max="1" width="2.99609375" style="669" customWidth="1"/>
    <col min="2" max="2" width="8.3359375" style="669" customWidth="1"/>
    <col min="3" max="3" width="49.10546875" style="669" customWidth="1"/>
    <col min="4" max="4" width="6.4453125" style="669" customWidth="1"/>
    <col min="5" max="10" width="12.21484375" style="669" customWidth="1"/>
    <col min="11" max="11" width="14.4453125" style="669" customWidth="1"/>
    <col min="12" max="16384" width="8.88671875" style="669" customWidth="1"/>
  </cols>
  <sheetData>
    <row r="1" spans="2:12" ht="18">
      <c r="B1" s="35"/>
      <c r="C1" s="33" t="str">
        <f>"T4-"&amp;yeartext&amp;" SLIPS DATA ENTRY FORM"</f>
        <v>T4-2007 SLIPS DATA ENTRY FORM</v>
      </c>
      <c r="D1" s="33"/>
      <c r="E1" s="34" t="s">
        <v>2568</v>
      </c>
      <c r="F1" s="35"/>
      <c r="G1" s="35"/>
      <c r="H1" s="36"/>
      <c r="I1" s="35"/>
      <c r="J1" s="36" t="str">
        <f>yeartext</f>
        <v>2007</v>
      </c>
      <c r="K1" s="668"/>
      <c r="L1" s="1671" t="s">
        <v>1659</v>
      </c>
    </row>
    <row r="2" spans="2:12" ht="15.75">
      <c r="B2" s="35"/>
      <c r="C2" s="35"/>
      <c r="D2" s="37"/>
      <c r="E2" s="668"/>
      <c r="F2" s="35"/>
      <c r="G2" s="35"/>
      <c r="H2" s="35"/>
      <c r="I2" s="35"/>
      <c r="J2" s="35"/>
      <c r="K2" s="668"/>
      <c r="L2" s="1671"/>
    </row>
    <row r="3" spans="2:12" ht="18">
      <c r="B3" s="38"/>
      <c r="C3" s="38" t="s">
        <v>2569</v>
      </c>
      <c r="D3" s="35"/>
      <c r="E3" s="37"/>
      <c r="F3" s="35"/>
      <c r="G3" s="35"/>
      <c r="H3" s="35"/>
      <c r="I3" s="35"/>
      <c r="J3" s="35"/>
      <c r="K3" s="668"/>
      <c r="L3" s="1671"/>
    </row>
    <row r="4" spans="2:12" ht="18">
      <c r="B4" s="38"/>
      <c r="C4" s="38" t="s">
        <v>2119</v>
      </c>
      <c r="D4" s="35"/>
      <c r="E4" s="37"/>
      <c r="F4" s="35"/>
      <c r="G4" s="35"/>
      <c r="H4" s="35"/>
      <c r="I4" s="35"/>
      <c r="J4" s="35"/>
      <c r="K4" s="668"/>
      <c r="L4" s="1671"/>
    </row>
    <row r="5" spans="2:12" ht="18">
      <c r="B5" s="38"/>
      <c r="C5" s="38" t="s">
        <v>2037</v>
      </c>
      <c r="D5" s="35"/>
      <c r="E5" s="37"/>
      <c r="F5" s="35"/>
      <c r="G5" s="35"/>
      <c r="H5" s="35"/>
      <c r="I5" s="35"/>
      <c r="J5" s="35"/>
      <c r="K5" s="668"/>
      <c r="L5" s="1671"/>
    </row>
    <row r="6" spans="2:12" ht="18">
      <c r="B6" s="38"/>
      <c r="C6" s="38" t="s">
        <v>2528</v>
      </c>
      <c r="D6" s="35"/>
      <c r="E6" s="37"/>
      <c r="F6" s="35"/>
      <c r="G6" s="35"/>
      <c r="H6" s="35"/>
      <c r="I6" s="35"/>
      <c r="J6" s="35"/>
      <c r="K6" s="668"/>
      <c r="L6" s="1671"/>
    </row>
    <row r="7" spans="2:12" ht="18">
      <c r="B7" s="38"/>
      <c r="C7" s="38" t="s">
        <v>2529</v>
      </c>
      <c r="D7" s="35"/>
      <c r="E7" s="37"/>
      <c r="F7" s="35"/>
      <c r="G7" s="35"/>
      <c r="H7" s="35"/>
      <c r="I7" s="35"/>
      <c r="J7" s="35"/>
      <c r="K7" s="668"/>
      <c r="L7" s="1671"/>
    </row>
    <row r="8" spans="2:12" ht="18">
      <c r="B8" s="38"/>
      <c r="C8" s="38" t="s">
        <v>1423</v>
      </c>
      <c r="D8" s="35"/>
      <c r="E8" s="37"/>
      <c r="F8" s="35"/>
      <c r="G8" s="35"/>
      <c r="H8" s="35"/>
      <c r="I8" s="35"/>
      <c r="J8" s="35"/>
      <c r="K8" s="668"/>
      <c r="L8" s="1671"/>
    </row>
    <row r="9" spans="2:12" ht="18">
      <c r="B9" s="38"/>
      <c r="C9" s="38" t="s">
        <v>216</v>
      </c>
      <c r="D9" s="35"/>
      <c r="E9" s="37"/>
      <c r="F9" s="35"/>
      <c r="G9" s="35"/>
      <c r="H9" s="35"/>
      <c r="I9" s="35"/>
      <c r="J9" s="35"/>
      <c r="K9" s="668"/>
      <c r="L9" s="1671"/>
    </row>
    <row r="10" spans="2:12" ht="18">
      <c r="B10" s="38"/>
      <c r="C10" s="38" t="s">
        <v>1526</v>
      </c>
      <c r="D10" s="35"/>
      <c r="E10" s="37"/>
      <c r="F10" s="35"/>
      <c r="G10" s="35"/>
      <c r="H10" s="35"/>
      <c r="I10" s="35"/>
      <c r="J10" s="35"/>
      <c r="K10" s="668"/>
      <c r="L10" s="1671"/>
    </row>
    <row r="11" spans="2:12" ht="18">
      <c r="B11" s="38"/>
      <c r="C11" s="38" t="s">
        <v>43</v>
      </c>
      <c r="D11" s="35"/>
      <c r="E11" s="37"/>
      <c r="F11" s="35"/>
      <c r="G11" s="35"/>
      <c r="H11" s="35"/>
      <c r="I11" s="35"/>
      <c r="J11" s="35"/>
      <c r="K11" s="668"/>
      <c r="L11" s="1671"/>
    </row>
    <row r="12" spans="2:12" ht="15.75">
      <c r="B12" s="39"/>
      <c r="C12" s="39"/>
      <c r="D12" s="39"/>
      <c r="E12" s="40"/>
      <c r="F12" s="39"/>
      <c r="G12" s="39"/>
      <c r="H12" s="39"/>
      <c r="I12" s="39"/>
      <c r="J12" s="39"/>
      <c r="K12" s="668"/>
      <c r="L12" s="1671"/>
    </row>
    <row r="13" spans="2:14" ht="36">
      <c r="B13" s="41" t="s">
        <v>1529</v>
      </c>
      <c r="C13" s="41" t="s">
        <v>2180</v>
      </c>
      <c r="D13" s="41" t="s">
        <v>2587</v>
      </c>
      <c r="E13" s="42" t="s">
        <v>1530</v>
      </c>
      <c r="F13" s="42" t="s">
        <v>1531</v>
      </c>
      <c r="G13" s="42" t="s">
        <v>1532</v>
      </c>
      <c r="H13" s="42" t="s">
        <v>1533</v>
      </c>
      <c r="I13" s="42" t="s">
        <v>2443</v>
      </c>
      <c r="J13" s="42" t="s">
        <v>2444</v>
      </c>
      <c r="K13" s="668"/>
      <c r="L13" s="1671"/>
      <c r="N13" s="956"/>
    </row>
    <row r="14" spans="2:12" ht="18">
      <c r="B14" s="346"/>
      <c r="C14" s="581" t="s">
        <v>2550</v>
      </c>
      <c r="D14" s="346"/>
      <c r="E14" s="582"/>
      <c r="F14" s="582"/>
      <c r="G14" s="582"/>
      <c r="H14" s="582"/>
      <c r="I14" s="582"/>
      <c r="J14" s="359"/>
      <c r="K14" s="668"/>
      <c r="L14" s="1671"/>
    </row>
    <row r="15" spans="2:12" ht="15.75">
      <c r="B15" s="43"/>
      <c r="C15" s="44"/>
      <c r="D15" s="43"/>
      <c r="E15" s="45"/>
      <c r="F15" s="44"/>
      <c r="G15" s="44"/>
      <c r="H15" s="44"/>
      <c r="I15" s="44"/>
      <c r="J15" s="668"/>
      <c r="K15" s="668"/>
      <c r="L15" s="1671"/>
    </row>
    <row r="16" spans="2:14" ht="18">
      <c r="B16" s="46"/>
      <c r="C16" s="47" t="s">
        <v>2446</v>
      </c>
      <c r="D16" s="330" t="s">
        <v>2445</v>
      </c>
      <c r="E16" s="267"/>
      <c r="F16" s="268" t="s">
        <v>458</v>
      </c>
      <c r="G16" s="268" t="s">
        <v>458</v>
      </c>
      <c r="H16" s="268" t="s">
        <v>458</v>
      </c>
      <c r="I16" s="269" t="s">
        <v>458</v>
      </c>
      <c r="J16" s="668"/>
      <c r="K16" s="668"/>
      <c r="L16" s="1671"/>
      <c r="N16" s="954"/>
    </row>
    <row r="17" spans="2:14" ht="18">
      <c r="B17" s="46"/>
      <c r="C17" s="48"/>
      <c r="D17" s="330"/>
      <c r="E17" s="45"/>
      <c r="F17" s="45"/>
      <c r="G17" s="44"/>
      <c r="H17" s="44"/>
      <c r="I17" s="44"/>
      <c r="J17" s="668"/>
      <c r="K17" s="668"/>
      <c r="L17" s="1671"/>
      <c r="N17" s="954"/>
    </row>
    <row r="18" spans="2:14" ht="18">
      <c r="B18" s="46" t="s">
        <v>2448</v>
      </c>
      <c r="C18" s="49" t="s">
        <v>1527</v>
      </c>
      <c r="D18" s="330" t="s">
        <v>2447</v>
      </c>
      <c r="E18" s="273"/>
      <c r="F18" s="274"/>
      <c r="G18" s="274"/>
      <c r="H18" s="274"/>
      <c r="I18" s="275"/>
      <c r="J18" s="670">
        <f>SUM(E18:I18)</f>
        <v>0</v>
      </c>
      <c r="K18" s="668"/>
      <c r="L18" s="1671"/>
      <c r="N18" s="954"/>
    </row>
    <row r="19" spans="2:14" ht="18">
      <c r="B19" s="46"/>
      <c r="C19" s="50"/>
      <c r="D19" s="330"/>
      <c r="E19" s="51"/>
      <c r="F19" s="48"/>
      <c r="G19" s="48"/>
      <c r="H19" s="48"/>
      <c r="I19" s="48"/>
      <c r="J19" s="675"/>
      <c r="K19" s="668"/>
      <c r="L19" s="1671"/>
      <c r="N19" s="954"/>
    </row>
    <row r="20" spans="2:14" ht="18">
      <c r="B20" s="46" t="s">
        <v>2450</v>
      </c>
      <c r="C20" s="49" t="s">
        <v>2123</v>
      </c>
      <c r="D20" s="330" t="s">
        <v>2449</v>
      </c>
      <c r="E20" s="270"/>
      <c r="F20" s="271"/>
      <c r="G20" s="271"/>
      <c r="H20" s="271"/>
      <c r="I20" s="272"/>
      <c r="J20" s="677">
        <f>SUM(E20:I20)</f>
        <v>0</v>
      </c>
      <c r="K20" s="668"/>
      <c r="L20" s="1671"/>
      <c r="N20" s="954"/>
    </row>
    <row r="21" spans="2:14" ht="18">
      <c r="B21" s="46"/>
      <c r="C21" s="50"/>
      <c r="D21" s="330"/>
      <c r="E21" s="51"/>
      <c r="F21" s="48"/>
      <c r="G21" s="48"/>
      <c r="H21" s="48"/>
      <c r="I21" s="48"/>
      <c r="J21" s="675"/>
      <c r="K21" s="668"/>
      <c r="L21" s="1671"/>
      <c r="N21" s="954"/>
    </row>
    <row r="22" spans="2:14" ht="18">
      <c r="B22" s="46" t="s">
        <v>2450</v>
      </c>
      <c r="C22" s="49" t="s">
        <v>399</v>
      </c>
      <c r="D22" s="330" t="s">
        <v>2451</v>
      </c>
      <c r="E22" s="270"/>
      <c r="F22" s="271"/>
      <c r="G22" s="271"/>
      <c r="H22" s="271"/>
      <c r="I22" s="272"/>
      <c r="J22" s="677">
        <f>SUM(E22:I22)</f>
        <v>0</v>
      </c>
      <c r="K22" s="668"/>
      <c r="L22" s="1671"/>
      <c r="N22" s="954"/>
    </row>
    <row r="23" spans="2:14" ht="18">
      <c r="B23" s="46"/>
      <c r="C23" s="50"/>
      <c r="D23" s="330"/>
      <c r="E23" s="51"/>
      <c r="F23" s="48"/>
      <c r="G23" s="48"/>
      <c r="H23" s="674"/>
      <c r="I23" s="48"/>
      <c r="J23" s="675"/>
      <c r="K23" s="668"/>
      <c r="L23" s="1671"/>
      <c r="N23" s="954"/>
    </row>
    <row r="24" spans="2:14" ht="18">
      <c r="B24" s="46" t="s">
        <v>2453</v>
      </c>
      <c r="C24" s="49" t="s">
        <v>400</v>
      </c>
      <c r="D24" s="330" t="s">
        <v>2452</v>
      </c>
      <c r="E24" s="270"/>
      <c r="F24" s="271"/>
      <c r="G24" s="271"/>
      <c r="H24" s="271"/>
      <c r="I24" s="272"/>
      <c r="J24" s="677">
        <f>SUM(E24:I24)</f>
        <v>0</v>
      </c>
      <c r="K24" s="668"/>
      <c r="L24" s="1671"/>
      <c r="N24" s="954"/>
    </row>
    <row r="25" spans="2:14" ht="18">
      <c r="B25" s="43" t="s">
        <v>204</v>
      </c>
      <c r="C25" s="50"/>
      <c r="D25" s="330"/>
      <c r="E25" s="51"/>
      <c r="F25" s="48"/>
      <c r="G25" s="48"/>
      <c r="H25" s="674"/>
      <c r="I25" s="48"/>
      <c r="J25" s="675"/>
      <c r="K25" s="668"/>
      <c r="L25" s="1671"/>
      <c r="N25" s="55"/>
    </row>
    <row r="26" spans="2:14" ht="18">
      <c r="B26" s="46" t="s">
        <v>2455</v>
      </c>
      <c r="C26" s="49" t="s">
        <v>402</v>
      </c>
      <c r="D26" s="330" t="s">
        <v>2454</v>
      </c>
      <c r="E26" s="270"/>
      <c r="F26" s="271"/>
      <c r="G26" s="271"/>
      <c r="H26" s="271"/>
      <c r="I26" s="272"/>
      <c r="J26" s="677">
        <f>IF((J67+J70)=0,SUM(E26:I26),0)</f>
        <v>0</v>
      </c>
      <c r="K26" s="668"/>
      <c r="L26" s="1671"/>
      <c r="N26" s="954"/>
    </row>
    <row r="27" spans="2:14" ht="18">
      <c r="B27" s="46"/>
      <c r="C27" s="50"/>
      <c r="D27" s="330"/>
      <c r="E27" s="51"/>
      <c r="F27" s="48"/>
      <c r="G27" s="48"/>
      <c r="H27" s="674"/>
      <c r="I27" s="48"/>
      <c r="J27" s="675"/>
      <c r="K27" s="668"/>
      <c r="L27" s="1671"/>
      <c r="N27" s="954"/>
    </row>
    <row r="28" spans="2:14" ht="18">
      <c r="B28" s="46" t="s">
        <v>2457</v>
      </c>
      <c r="C28" s="49" t="s">
        <v>1528</v>
      </c>
      <c r="D28" s="330" t="s">
        <v>2456</v>
      </c>
      <c r="E28" s="270"/>
      <c r="F28" s="271"/>
      <c r="G28" s="271"/>
      <c r="H28" s="271"/>
      <c r="I28" s="272"/>
      <c r="J28" s="677">
        <f>SUM(E28:I28)</f>
        <v>0</v>
      </c>
      <c r="K28" s="668"/>
      <c r="L28" s="1671"/>
      <c r="N28" s="954"/>
    </row>
    <row r="29" spans="2:14" ht="18">
      <c r="B29" s="46"/>
      <c r="C29" s="49"/>
      <c r="D29" s="330"/>
      <c r="E29" s="51"/>
      <c r="F29" s="48"/>
      <c r="G29" s="48"/>
      <c r="H29" s="674"/>
      <c r="I29" s="48"/>
      <c r="J29" s="675"/>
      <c r="K29" s="668"/>
      <c r="L29" s="1671"/>
      <c r="N29" s="954"/>
    </row>
    <row r="30" spans="2:14" ht="18">
      <c r="B30" s="46"/>
      <c r="C30" s="49" t="s">
        <v>2017</v>
      </c>
      <c r="D30" s="330" t="s">
        <v>2016</v>
      </c>
      <c r="E30" s="270"/>
      <c r="F30" s="271"/>
      <c r="G30" s="271"/>
      <c r="H30" s="271"/>
      <c r="I30" s="272"/>
      <c r="J30" s="668"/>
      <c r="K30" s="668"/>
      <c r="L30" s="1671"/>
      <c r="N30" s="954"/>
    </row>
    <row r="31" spans="2:14" ht="18">
      <c r="B31" s="46"/>
      <c r="C31" s="49"/>
      <c r="D31" s="330"/>
      <c r="E31" s="51"/>
      <c r="F31" s="48"/>
      <c r="G31" s="48"/>
      <c r="H31" s="674"/>
      <c r="I31" s="48"/>
      <c r="J31" s="675"/>
      <c r="K31" s="668"/>
      <c r="L31" s="1671"/>
      <c r="N31" s="954"/>
    </row>
    <row r="32" spans="2:14" ht="18">
      <c r="B32" s="56" t="s">
        <v>1113</v>
      </c>
      <c r="C32" s="49" t="s">
        <v>732</v>
      </c>
      <c r="D32" s="330" t="s">
        <v>2018</v>
      </c>
      <c r="E32" s="270"/>
      <c r="F32" s="271"/>
      <c r="G32" s="271"/>
      <c r="H32" s="271"/>
      <c r="I32" s="272"/>
      <c r="J32" s="668"/>
      <c r="K32" s="668"/>
      <c r="L32" s="1671"/>
      <c r="N32" s="955"/>
    </row>
    <row r="33" spans="2:14" ht="18">
      <c r="B33" s="56"/>
      <c r="C33" s="49"/>
      <c r="D33" s="330"/>
      <c r="E33" s="51"/>
      <c r="F33" s="48"/>
      <c r="G33" s="48"/>
      <c r="H33" s="674"/>
      <c r="I33" s="48"/>
      <c r="J33" s="668"/>
      <c r="K33" s="668"/>
      <c r="L33" s="1671"/>
      <c r="N33" s="955"/>
    </row>
    <row r="34" spans="2:14" ht="18">
      <c r="B34" s="56"/>
      <c r="C34" s="49" t="s">
        <v>1248</v>
      </c>
      <c r="D34" s="330" t="s">
        <v>1806</v>
      </c>
      <c r="E34" s="1213" t="s">
        <v>1058</v>
      </c>
      <c r="F34" s="1214" t="s">
        <v>1058</v>
      </c>
      <c r="G34" s="1214" t="s">
        <v>1058</v>
      </c>
      <c r="H34" s="1214" t="s">
        <v>1058</v>
      </c>
      <c r="I34" s="1214" t="s">
        <v>1058</v>
      </c>
      <c r="J34" s="668"/>
      <c r="K34" s="668"/>
      <c r="L34" s="1671"/>
      <c r="N34" s="955"/>
    </row>
    <row r="35" spans="2:14" ht="18">
      <c r="B35" s="56"/>
      <c r="C35" s="49" t="s">
        <v>1249</v>
      </c>
      <c r="D35" s="330" t="s">
        <v>1806</v>
      </c>
      <c r="E35" s="1213" t="s">
        <v>1058</v>
      </c>
      <c r="F35" s="1214" t="s">
        <v>1058</v>
      </c>
      <c r="G35" s="1214" t="s">
        <v>1058</v>
      </c>
      <c r="H35" s="1214" t="s">
        <v>1058</v>
      </c>
      <c r="I35" s="1214" t="s">
        <v>1058</v>
      </c>
      <c r="J35" s="668"/>
      <c r="K35" s="668"/>
      <c r="L35" s="1671"/>
      <c r="N35" s="955"/>
    </row>
    <row r="36" spans="2:14" ht="18">
      <c r="B36" s="56"/>
      <c r="C36" s="49" t="s">
        <v>1250</v>
      </c>
      <c r="D36" s="330" t="s">
        <v>1806</v>
      </c>
      <c r="E36" s="1213" t="s">
        <v>1058</v>
      </c>
      <c r="F36" s="1214" t="s">
        <v>1058</v>
      </c>
      <c r="G36" s="1214" t="s">
        <v>1058</v>
      </c>
      <c r="H36" s="1214" t="s">
        <v>1058</v>
      </c>
      <c r="I36" s="1214" t="s">
        <v>1058</v>
      </c>
      <c r="J36" s="668"/>
      <c r="K36" s="668"/>
      <c r="L36" s="1671"/>
      <c r="N36" s="955"/>
    </row>
    <row r="37" spans="2:14" ht="18">
      <c r="B37" s="46"/>
      <c r="C37" s="50"/>
      <c r="D37" s="330"/>
      <c r="E37" s="51"/>
      <c r="F37" s="48"/>
      <c r="G37" s="48"/>
      <c r="H37" s="674"/>
      <c r="I37" s="48"/>
      <c r="J37" s="675"/>
      <c r="K37" s="668"/>
      <c r="L37" s="1671"/>
      <c r="N37" s="954"/>
    </row>
    <row r="38" spans="2:14" ht="18">
      <c r="B38" s="46" t="s">
        <v>2580</v>
      </c>
      <c r="C38" s="52" t="s">
        <v>2459</v>
      </c>
      <c r="D38" s="330" t="s">
        <v>2458</v>
      </c>
      <c r="E38" s="270"/>
      <c r="F38" s="271"/>
      <c r="G38" s="271"/>
      <c r="H38" s="271"/>
      <c r="I38" s="272"/>
      <c r="J38" s="677">
        <f>SUM(E38:I38)</f>
        <v>0</v>
      </c>
      <c r="K38" s="668"/>
      <c r="L38" s="1671"/>
      <c r="N38" s="954"/>
    </row>
    <row r="39" spans="2:12" ht="18">
      <c r="B39" s="46"/>
      <c r="C39" s="53"/>
      <c r="D39" s="330"/>
      <c r="E39" s="51"/>
      <c r="F39" s="48"/>
      <c r="G39" s="48"/>
      <c r="H39" s="674"/>
      <c r="I39" s="48"/>
      <c r="J39" s="675"/>
      <c r="K39" s="668"/>
      <c r="L39" s="1671"/>
    </row>
    <row r="40" spans="2:15" ht="36">
      <c r="B40" s="46" t="s">
        <v>2582</v>
      </c>
      <c r="C40" s="52" t="s">
        <v>680</v>
      </c>
      <c r="D40" s="330" t="s">
        <v>2581</v>
      </c>
      <c r="E40" s="273"/>
      <c r="F40" s="274"/>
      <c r="G40" s="274"/>
      <c r="H40" s="274"/>
      <c r="I40" s="275"/>
      <c r="J40" s="670">
        <f>SUM(E40:I40)</f>
        <v>0</v>
      </c>
      <c r="K40" s="668"/>
      <c r="L40" s="1671"/>
      <c r="O40" s="954"/>
    </row>
    <row r="41" spans="2:15" ht="18">
      <c r="B41" s="46"/>
      <c r="C41" s="53"/>
      <c r="D41" s="330"/>
      <c r="E41" s="51"/>
      <c r="F41" s="48"/>
      <c r="G41" s="48"/>
      <c r="H41" s="674"/>
      <c r="I41" s="54"/>
      <c r="J41" s="678"/>
      <c r="K41" s="668"/>
      <c r="L41" s="1671"/>
      <c r="O41" s="954"/>
    </row>
    <row r="42" spans="2:15" ht="36">
      <c r="B42" s="46" t="s">
        <v>2582</v>
      </c>
      <c r="C42" s="52" t="s">
        <v>554</v>
      </c>
      <c r="D42" s="330" t="s">
        <v>2583</v>
      </c>
      <c r="E42" s="273"/>
      <c r="F42" s="274"/>
      <c r="G42" s="274"/>
      <c r="H42" s="274"/>
      <c r="I42" s="275"/>
      <c r="J42" s="670">
        <f>SUM(E42:I42)</f>
        <v>0</v>
      </c>
      <c r="K42" s="668"/>
      <c r="L42" s="1671"/>
      <c r="O42" s="954"/>
    </row>
    <row r="43" spans="2:15" ht="18">
      <c r="B43" s="46"/>
      <c r="C43" s="52"/>
      <c r="D43" s="330"/>
      <c r="E43" s="51"/>
      <c r="F43" s="48"/>
      <c r="G43" s="48"/>
      <c r="H43" s="674"/>
      <c r="I43" s="48"/>
      <c r="J43" s="675"/>
      <c r="K43" s="668"/>
      <c r="L43" s="1671"/>
      <c r="O43" s="954"/>
    </row>
    <row r="44" spans="2:15" ht="18">
      <c r="B44" s="46" t="s">
        <v>945</v>
      </c>
      <c r="C44" s="52" t="s">
        <v>215</v>
      </c>
      <c r="D44" s="330" t="s">
        <v>944</v>
      </c>
      <c r="E44" s="270"/>
      <c r="F44" s="271"/>
      <c r="G44" s="271"/>
      <c r="H44" s="271"/>
      <c r="I44" s="272"/>
      <c r="J44" s="677">
        <f>SUM(E44:I44)</f>
        <v>0</v>
      </c>
      <c r="K44" s="668"/>
      <c r="L44" s="1671"/>
      <c r="O44" s="954"/>
    </row>
    <row r="45" spans="2:15" ht="18">
      <c r="B45" s="46"/>
      <c r="C45" s="53"/>
      <c r="D45" s="330"/>
      <c r="E45" s="46"/>
      <c r="F45" s="46"/>
      <c r="G45" s="46"/>
      <c r="H45" s="46"/>
      <c r="I45" s="46"/>
      <c r="J45" s="675"/>
      <c r="K45" s="668"/>
      <c r="L45" s="1671"/>
      <c r="O45" s="954"/>
    </row>
    <row r="46" spans="2:15" ht="36">
      <c r="B46" s="46" t="s">
        <v>1446</v>
      </c>
      <c r="C46" s="52" t="s">
        <v>555</v>
      </c>
      <c r="D46" s="330" t="s">
        <v>1831</v>
      </c>
      <c r="E46" s="273"/>
      <c r="F46" s="274"/>
      <c r="G46" s="274"/>
      <c r="H46" s="274"/>
      <c r="I46" s="275"/>
      <c r="J46" s="670">
        <f>SUM(E46:I46)</f>
        <v>0</v>
      </c>
      <c r="K46" s="668"/>
      <c r="L46" s="1671"/>
      <c r="O46" s="954"/>
    </row>
    <row r="47" spans="2:15" ht="18">
      <c r="B47" s="46"/>
      <c r="C47" s="53"/>
      <c r="D47" s="330"/>
      <c r="E47" s="46"/>
      <c r="F47" s="46"/>
      <c r="G47" s="46"/>
      <c r="H47" s="46"/>
      <c r="I47" s="46"/>
      <c r="J47" s="675"/>
      <c r="K47" s="668"/>
      <c r="L47" s="1671"/>
      <c r="O47" s="954"/>
    </row>
    <row r="48" spans="2:15" ht="18">
      <c r="B48" s="46" t="s">
        <v>947</v>
      </c>
      <c r="C48" s="49" t="s">
        <v>401</v>
      </c>
      <c r="D48" s="330" t="s">
        <v>946</v>
      </c>
      <c r="E48" s="270"/>
      <c r="F48" s="271"/>
      <c r="G48" s="271"/>
      <c r="H48" s="271"/>
      <c r="I48" s="272"/>
      <c r="J48" s="677">
        <f>SUM(E48:I48)</f>
        <v>0</v>
      </c>
      <c r="K48" s="668"/>
      <c r="L48" s="1671"/>
      <c r="O48" s="954"/>
    </row>
    <row r="49" spans="2:15" ht="18">
      <c r="B49" s="46"/>
      <c r="C49" s="49"/>
      <c r="D49" s="330"/>
      <c r="E49" s="51"/>
      <c r="F49" s="48"/>
      <c r="G49" s="48"/>
      <c r="H49" s="674"/>
      <c r="I49" s="48"/>
      <c r="J49" s="675"/>
      <c r="K49" s="668"/>
      <c r="L49" s="1671"/>
      <c r="O49" s="954"/>
    </row>
    <row r="50" spans="2:15" ht="18">
      <c r="B50" s="56" t="s">
        <v>1565</v>
      </c>
      <c r="C50" s="49" t="s">
        <v>1007</v>
      </c>
      <c r="D50" s="330" t="s">
        <v>948</v>
      </c>
      <c r="E50" s="270"/>
      <c r="F50" s="271"/>
      <c r="G50" s="271"/>
      <c r="H50" s="271"/>
      <c r="I50" s="272"/>
      <c r="J50" s="677">
        <f>SUM(E50:I50)</f>
        <v>0</v>
      </c>
      <c r="K50" s="668"/>
      <c r="L50" s="1671"/>
      <c r="O50" s="955"/>
    </row>
    <row r="51" spans="2:15" ht="18">
      <c r="B51" s="46"/>
      <c r="C51" s="49"/>
      <c r="D51" s="330"/>
      <c r="E51" s="51"/>
      <c r="F51" s="48"/>
      <c r="G51" s="48"/>
      <c r="H51" s="674"/>
      <c r="I51" s="48"/>
      <c r="J51" s="675"/>
      <c r="K51" s="668"/>
      <c r="L51" s="1671"/>
      <c r="O51" s="954"/>
    </row>
    <row r="52" spans="2:15" ht="18">
      <c r="B52" s="46" t="s">
        <v>950</v>
      </c>
      <c r="C52" s="49" t="s">
        <v>1008</v>
      </c>
      <c r="D52" s="330" t="s">
        <v>949</v>
      </c>
      <c r="E52" s="270"/>
      <c r="F52" s="271"/>
      <c r="G52" s="271"/>
      <c r="H52" s="271"/>
      <c r="I52" s="272"/>
      <c r="J52" s="677">
        <f>SUM(E52:I52)</f>
        <v>0</v>
      </c>
      <c r="K52" s="668"/>
      <c r="L52" s="1671"/>
      <c r="O52" s="954"/>
    </row>
    <row r="53" spans="2:15" ht="18">
      <c r="B53" s="46"/>
      <c r="C53" s="49"/>
      <c r="D53" s="330"/>
      <c r="E53" s="51"/>
      <c r="F53" s="48"/>
      <c r="G53" s="48"/>
      <c r="H53" s="674"/>
      <c r="I53" s="48"/>
      <c r="J53" s="675"/>
      <c r="K53" s="668"/>
      <c r="L53" s="1671"/>
      <c r="O53" s="954"/>
    </row>
    <row r="54" spans="2:15" ht="18">
      <c r="B54" s="46" t="s">
        <v>953</v>
      </c>
      <c r="C54" s="49" t="s">
        <v>952</v>
      </c>
      <c r="D54" s="330" t="s">
        <v>951</v>
      </c>
      <c r="E54" s="270"/>
      <c r="F54" s="271"/>
      <c r="G54" s="271"/>
      <c r="H54" s="271"/>
      <c r="I54" s="272"/>
      <c r="J54" s="677">
        <f>SUM(E54:I54)</f>
        <v>0</v>
      </c>
      <c r="K54" s="668"/>
      <c r="L54" s="1671"/>
      <c r="O54" s="954"/>
    </row>
    <row r="55" spans="2:15" ht="18">
      <c r="B55" s="43" t="s">
        <v>240</v>
      </c>
      <c r="C55" s="48"/>
      <c r="D55" s="43"/>
      <c r="E55" s="51"/>
      <c r="F55" s="48"/>
      <c r="G55" s="48"/>
      <c r="H55" s="674"/>
      <c r="I55" s="48"/>
      <c r="J55" s="675"/>
      <c r="K55" s="668"/>
      <c r="L55" s="1671"/>
      <c r="O55" s="55"/>
    </row>
    <row r="56" spans="2:12" ht="15">
      <c r="B56" s="679"/>
      <c r="C56" s="668"/>
      <c r="D56" s="43"/>
      <c r="E56" s="668"/>
      <c r="F56" s="668"/>
      <c r="G56" s="668"/>
      <c r="H56" s="668"/>
      <c r="I56" s="668"/>
      <c r="J56" s="668"/>
      <c r="K56" s="668"/>
      <c r="L56" s="1671"/>
    </row>
    <row r="57" spans="2:12" ht="18">
      <c r="B57" s="945" t="s">
        <v>2453</v>
      </c>
      <c r="C57" s="675" t="s">
        <v>556</v>
      </c>
      <c r="D57" s="43"/>
      <c r="E57" s="668"/>
      <c r="F57" s="952" t="s">
        <v>1839</v>
      </c>
      <c r="G57" s="271"/>
      <c r="H57" s="271"/>
      <c r="I57" s="272"/>
      <c r="J57" s="677">
        <f>SUM(G57:I57)</f>
        <v>0</v>
      </c>
      <c r="K57" s="668"/>
      <c r="L57" s="1671"/>
    </row>
    <row r="58" spans="2:12" ht="18">
      <c r="B58" s="679"/>
      <c r="C58" s="675" t="s">
        <v>1251</v>
      </c>
      <c r="D58" s="43"/>
      <c r="E58" s="668"/>
      <c r="F58" s="668"/>
      <c r="G58" s="668"/>
      <c r="H58" s="668"/>
      <c r="I58" s="668"/>
      <c r="J58" s="668"/>
      <c r="K58" s="668"/>
      <c r="L58" s="1671"/>
    </row>
    <row r="59" spans="2:12" ht="18">
      <c r="B59" s="679"/>
      <c r="C59" s="675" t="s">
        <v>767</v>
      </c>
      <c r="D59" s="43"/>
      <c r="E59" s="668"/>
      <c r="F59" s="668"/>
      <c r="G59" s="668"/>
      <c r="H59" s="668"/>
      <c r="I59" s="668"/>
      <c r="J59" s="668"/>
      <c r="K59" s="668"/>
      <c r="L59" s="1671"/>
    </row>
    <row r="60" spans="2:12" ht="18">
      <c r="B60" s="679"/>
      <c r="C60" s="675"/>
      <c r="D60" s="43"/>
      <c r="E60" s="668"/>
      <c r="F60" s="668"/>
      <c r="G60" s="668"/>
      <c r="H60" s="668"/>
      <c r="I60" s="668"/>
      <c r="J60" s="668"/>
      <c r="K60" s="668"/>
      <c r="L60" s="1671"/>
    </row>
    <row r="61" spans="2:12" ht="18">
      <c r="B61" s="679"/>
      <c r="C61" s="947" t="s">
        <v>2090</v>
      </c>
      <c r="D61" s="43"/>
      <c r="E61" s="668"/>
      <c r="F61" s="952" t="s">
        <v>1840</v>
      </c>
      <c r="G61" s="271"/>
      <c r="H61" s="271"/>
      <c r="I61" s="272"/>
      <c r="J61" s="677">
        <f>SUM(G61:I61)</f>
        <v>0</v>
      </c>
      <c r="K61" s="668"/>
      <c r="L61" s="1671"/>
    </row>
    <row r="62" spans="2:12" ht="15">
      <c r="B62" s="679"/>
      <c r="C62" s="668"/>
      <c r="D62" s="43"/>
      <c r="E62" s="668"/>
      <c r="F62" s="668"/>
      <c r="G62" s="668"/>
      <c r="H62" s="668"/>
      <c r="I62" s="668"/>
      <c r="J62" s="668"/>
      <c r="K62" s="668"/>
      <c r="L62" s="1671"/>
    </row>
    <row r="63" spans="2:12" ht="18">
      <c r="B63" s="945" t="s">
        <v>2477</v>
      </c>
      <c r="C63" s="947" t="s">
        <v>836</v>
      </c>
      <c r="D63" s="43"/>
      <c r="E63" s="668"/>
      <c r="F63" s="952" t="s">
        <v>690</v>
      </c>
      <c r="G63" s="668"/>
      <c r="H63" s="675" t="s">
        <v>1389</v>
      </c>
      <c r="I63" s="668"/>
      <c r="J63" s="668"/>
      <c r="K63" s="668"/>
      <c r="L63" s="1671"/>
    </row>
    <row r="64" spans="2:12" ht="18">
      <c r="B64" s="679"/>
      <c r="C64" s="947" t="s">
        <v>837</v>
      </c>
      <c r="D64" s="43"/>
      <c r="E64" s="668"/>
      <c r="F64" s="951"/>
      <c r="G64" s="668"/>
      <c r="H64" s="675" t="s">
        <v>569</v>
      </c>
      <c r="I64" s="668"/>
      <c r="J64" s="668"/>
      <c r="K64" s="668"/>
      <c r="L64" s="1671"/>
    </row>
    <row r="65" spans="2:12" ht="18">
      <c r="B65" s="945" t="s">
        <v>2477</v>
      </c>
      <c r="C65" s="947" t="s">
        <v>564</v>
      </c>
      <c r="D65" s="43"/>
      <c r="E65" s="668"/>
      <c r="F65" s="952" t="s">
        <v>691</v>
      </c>
      <c r="G65" s="668"/>
      <c r="H65" s="675" t="s">
        <v>1389</v>
      </c>
      <c r="I65" s="668"/>
      <c r="J65" s="668"/>
      <c r="K65" s="668"/>
      <c r="L65" s="1671"/>
    </row>
    <row r="66" spans="2:12" ht="18">
      <c r="B66" s="679"/>
      <c r="C66" s="668"/>
      <c r="D66" s="43"/>
      <c r="E66" s="668"/>
      <c r="F66" s="951"/>
      <c r="G66" s="668"/>
      <c r="H66" s="675" t="s">
        <v>569</v>
      </c>
      <c r="I66" s="668"/>
      <c r="J66" s="668"/>
      <c r="K66" s="668"/>
      <c r="L66" s="1671"/>
    </row>
    <row r="67" spans="2:12" ht="18">
      <c r="B67" s="945" t="s">
        <v>2455</v>
      </c>
      <c r="C67" s="947" t="s">
        <v>558</v>
      </c>
      <c r="D67" s="43"/>
      <c r="E67" s="668"/>
      <c r="F67" s="952" t="s">
        <v>557</v>
      </c>
      <c r="G67" s="271"/>
      <c r="H67" s="271"/>
      <c r="I67" s="272"/>
      <c r="J67" s="677">
        <f>SUM(G67:I67)</f>
        <v>0</v>
      </c>
      <c r="K67" s="668"/>
      <c r="L67" s="1671"/>
    </row>
    <row r="68" spans="2:12" ht="18">
      <c r="B68" s="679"/>
      <c r="C68" s="675" t="s">
        <v>1391</v>
      </c>
      <c r="D68" s="43"/>
      <c r="E68" s="668"/>
      <c r="F68" s="951"/>
      <c r="G68" s="946" t="s">
        <v>1390</v>
      </c>
      <c r="H68" s="668"/>
      <c r="I68" s="668"/>
      <c r="J68" s="668"/>
      <c r="K68" s="668"/>
      <c r="L68" s="1671"/>
    </row>
    <row r="69" spans="2:12" ht="15.75">
      <c r="B69" s="679"/>
      <c r="C69" s="668"/>
      <c r="D69" s="43"/>
      <c r="E69" s="668"/>
      <c r="F69" s="951"/>
      <c r="G69" s="668"/>
      <c r="H69" s="668"/>
      <c r="I69" s="668"/>
      <c r="J69" s="668"/>
      <c r="K69" s="668"/>
      <c r="L69" s="1671"/>
    </row>
    <row r="70" spans="2:12" ht="18">
      <c r="B70" s="945" t="s">
        <v>2455</v>
      </c>
      <c r="C70" s="947" t="s">
        <v>560</v>
      </c>
      <c r="D70" s="43"/>
      <c r="E70" s="668"/>
      <c r="F70" s="952" t="s">
        <v>559</v>
      </c>
      <c r="G70" s="271"/>
      <c r="H70" s="271"/>
      <c r="I70" s="272"/>
      <c r="J70" s="677">
        <f>SUM(G70:I70)</f>
        <v>0</v>
      </c>
      <c r="K70" s="668"/>
      <c r="L70" s="1671"/>
    </row>
    <row r="71" spans="2:12" ht="18">
      <c r="B71" s="679"/>
      <c r="C71" s="675" t="s">
        <v>1391</v>
      </c>
      <c r="D71" s="43"/>
      <c r="E71" s="668"/>
      <c r="F71" s="951"/>
      <c r="G71" s="946" t="s">
        <v>1390</v>
      </c>
      <c r="H71" s="668"/>
      <c r="I71" s="668"/>
      <c r="J71" s="668"/>
      <c r="K71" s="668"/>
      <c r="L71" s="1671"/>
    </row>
    <row r="72" spans="2:12" ht="15.75">
      <c r="B72" s="679"/>
      <c r="C72" s="668"/>
      <c r="D72" s="43"/>
      <c r="E72" s="668"/>
      <c r="F72" s="951"/>
      <c r="G72" s="668"/>
      <c r="H72" s="668"/>
      <c r="I72" s="668"/>
      <c r="J72" s="668"/>
      <c r="K72" s="668"/>
      <c r="L72" s="1671"/>
    </row>
    <row r="73" spans="2:12" ht="18">
      <c r="B73" s="945" t="s">
        <v>162</v>
      </c>
      <c r="C73" s="947" t="s">
        <v>562</v>
      </c>
      <c r="D73" s="43"/>
      <c r="E73" s="668"/>
      <c r="F73" s="952" t="s">
        <v>561</v>
      </c>
      <c r="G73" s="271"/>
      <c r="H73" s="271"/>
      <c r="I73" s="272"/>
      <c r="J73" s="677">
        <f>SUM(G73:I73)</f>
        <v>0</v>
      </c>
      <c r="K73" s="668"/>
      <c r="L73" s="1671"/>
    </row>
    <row r="74" spans="2:12" ht="18">
      <c r="B74" s="679"/>
      <c r="C74" s="675" t="s">
        <v>563</v>
      </c>
      <c r="D74" s="43"/>
      <c r="E74" s="668"/>
      <c r="F74" s="953"/>
      <c r="G74" s="668"/>
      <c r="H74" s="668"/>
      <c r="I74" s="668"/>
      <c r="J74" s="668"/>
      <c r="K74" s="668"/>
      <c r="L74" s="1671"/>
    </row>
    <row r="75" spans="2:12" ht="18">
      <c r="B75" s="679"/>
      <c r="C75" s="675"/>
      <c r="D75" s="43"/>
      <c r="E75" s="668"/>
      <c r="F75" s="953"/>
      <c r="G75" s="668"/>
      <c r="H75" s="668"/>
      <c r="I75" s="668"/>
      <c r="J75" s="668"/>
      <c r="K75" s="668"/>
      <c r="L75" s="1671"/>
    </row>
    <row r="76" spans="2:12" ht="18">
      <c r="B76" s="945" t="s">
        <v>1654</v>
      </c>
      <c r="C76" s="947" t="s">
        <v>2098</v>
      </c>
      <c r="D76" s="43"/>
      <c r="E76" s="668"/>
      <c r="F76" s="952" t="s">
        <v>565</v>
      </c>
      <c r="G76" s="946" t="s">
        <v>2101</v>
      </c>
      <c r="H76" s="946"/>
      <c r="I76" s="668"/>
      <c r="J76" s="668"/>
      <c r="K76" s="668"/>
      <c r="L76" s="1671"/>
    </row>
    <row r="77" spans="2:12" ht="18">
      <c r="B77" s="945" t="s">
        <v>2107</v>
      </c>
      <c r="C77" s="675" t="s">
        <v>566</v>
      </c>
      <c r="D77" s="43"/>
      <c r="E77" s="668"/>
      <c r="F77" s="952"/>
      <c r="G77" s="946" t="s">
        <v>1388</v>
      </c>
      <c r="H77" s="946"/>
      <c r="I77" s="668"/>
      <c r="J77" s="668"/>
      <c r="K77" s="668"/>
      <c r="L77" s="1671"/>
    </row>
    <row r="78" spans="2:12" ht="15.75">
      <c r="B78" s="679"/>
      <c r="C78" s="668"/>
      <c r="D78" s="43"/>
      <c r="E78" s="668"/>
      <c r="F78" s="953"/>
      <c r="G78" s="668"/>
      <c r="H78" s="668"/>
      <c r="I78" s="668"/>
      <c r="J78" s="668"/>
      <c r="K78" s="668"/>
      <c r="L78" s="1671"/>
    </row>
    <row r="79" spans="2:12" ht="18">
      <c r="B79" s="945" t="s">
        <v>1654</v>
      </c>
      <c r="C79" s="947" t="s">
        <v>2099</v>
      </c>
      <c r="D79" s="43"/>
      <c r="E79" s="668"/>
      <c r="F79" s="952" t="s">
        <v>567</v>
      </c>
      <c r="G79" s="946" t="s">
        <v>2101</v>
      </c>
      <c r="H79" s="668"/>
      <c r="I79" s="668"/>
      <c r="J79" s="668"/>
      <c r="K79" s="668"/>
      <c r="L79" s="1671"/>
    </row>
    <row r="80" spans="2:12" ht="18">
      <c r="B80" s="945" t="s">
        <v>2107</v>
      </c>
      <c r="C80" s="675" t="s">
        <v>566</v>
      </c>
      <c r="D80" s="43"/>
      <c r="E80" s="668"/>
      <c r="F80" s="953"/>
      <c r="G80" s="946" t="s">
        <v>1388</v>
      </c>
      <c r="H80" s="668"/>
      <c r="I80" s="668"/>
      <c r="J80" s="668"/>
      <c r="K80" s="668"/>
      <c r="L80" s="1671"/>
    </row>
    <row r="81" spans="2:12" ht="15.75">
      <c r="B81" s="679"/>
      <c r="C81" s="668"/>
      <c r="D81" s="43"/>
      <c r="E81" s="668"/>
      <c r="F81" s="953"/>
      <c r="G81" s="668"/>
      <c r="H81" s="668"/>
      <c r="I81" s="668"/>
      <c r="J81" s="668"/>
      <c r="K81" s="668"/>
      <c r="L81" s="1671"/>
    </row>
    <row r="82" spans="2:12" ht="18">
      <c r="B82" s="945" t="s">
        <v>1654</v>
      </c>
      <c r="C82" s="947" t="s">
        <v>2100</v>
      </c>
      <c r="D82" s="43"/>
      <c r="E82" s="668"/>
      <c r="F82" s="952" t="s">
        <v>568</v>
      </c>
      <c r="G82" s="946" t="s">
        <v>2101</v>
      </c>
      <c r="H82" s="668"/>
      <c r="I82" s="668"/>
      <c r="J82" s="668"/>
      <c r="K82" s="668"/>
      <c r="L82" s="1671"/>
    </row>
    <row r="83" spans="2:12" ht="18">
      <c r="B83" s="945" t="s">
        <v>2107</v>
      </c>
      <c r="C83" s="675" t="s">
        <v>566</v>
      </c>
      <c r="D83" s="43"/>
      <c r="E83" s="668"/>
      <c r="F83" s="668"/>
      <c r="G83" s="946" t="s">
        <v>1388</v>
      </c>
      <c r="H83" s="668"/>
      <c r="I83" s="668"/>
      <c r="J83" s="668"/>
      <c r="K83" s="668"/>
      <c r="L83" s="1671"/>
    </row>
    <row r="84" spans="2:12" ht="18">
      <c r="B84" s="679"/>
      <c r="C84" s="675"/>
      <c r="D84" s="43"/>
      <c r="E84" s="668"/>
      <c r="F84" s="668"/>
      <c r="G84" s="946"/>
      <c r="H84" s="668"/>
      <c r="I84" s="668"/>
      <c r="J84" s="668"/>
      <c r="K84" s="668"/>
      <c r="L84" s="1671"/>
    </row>
    <row r="85" spans="2:12" ht="18">
      <c r="B85" s="945" t="s">
        <v>2106</v>
      </c>
      <c r="C85" s="947" t="s">
        <v>2094</v>
      </c>
      <c r="D85" s="43"/>
      <c r="E85" s="668"/>
      <c r="F85" s="952" t="s">
        <v>2091</v>
      </c>
      <c r="G85" s="946" t="s">
        <v>2102</v>
      </c>
      <c r="H85" s="946"/>
      <c r="I85" s="668"/>
      <c r="J85" s="668"/>
      <c r="K85" s="668"/>
      <c r="L85" s="1671"/>
    </row>
    <row r="86" spans="2:12" ht="18">
      <c r="B86" s="945" t="s">
        <v>158</v>
      </c>
      <c r="C86" s="675" t="s">
        <v>2097</v>
      </c>
      <c r="D86" s="43"/>
      <c r="E86" s="668"/>
      <c r="F86" s="952"/>
      <c r="G86" s="946" t="s">
        <v>2103</v>
      </c>
      <c r="H86" s="946"/>
      <c r="I86" s="668"/>
      <c r="J86" s="668"/>
      <c r="K86" s="668"/>
      <c r="L86" s="1671"/>
    </row>
    <row r="87" spans="2:12" ht="15.75">
      <c r="B87" s="679"/>
      <c r="C87" s="668"/>
      <c r="D87" s="43"/>
      <c r="E87" s="668"/>
      <c r="F87" s="953"/>
      <c r="G87" s="668"/>
      <c r="H87" s="668"/>
      <c r="I87" s="668"/>
      <c r="J87" s="668"/>
      <c r="K87" s="668"/>
      <c r="L87" s="1671"/>
    </row>
    <row r="88" spans="2:12" ht="18">
      <c r="B88" s="945" t="s">
        <v>2106</v>
      </c>
      <c r="C88" s="947" t="s">
        <v>2095</v>
      </c>
      <c r="D88" s="43"/>
      <c r="E88" s="668"/>
      <c r="F88" s="952" t="s">
        <v>2092</v>
      </c>
      <c r="G88" s="946" t="s">
        <v>2102</v>
      </c>
      <c r="H88" s="668"/>
      <c r="I88" s="668"/>
      <c r="J88" s="668"/>
      <c r="K88" s="668"/>
      <c r="L88" s="1671"/>
    </row>
    <row r="89" spans="2:12" ht="18">
      <c r="B89" s="945" t="s">
        <v>158</v>
      </c>
      <c r="C89" s="675" t="s">
        <v>2097</v>
      </c>
      <c r="D89" s="43"/>
      <c r="E89" s="668"/>
      <c r="F89" s="953"/>
      <c r="G89" s="946" t="s">
        <v>2103</v>
      </c>
      <c r="H89" s="668"/>
      <c r="I89" s="668"/>
      <c r="J89" s="668"/>
      <c r="K89" s="668"/>
      <c r="L89" s="1671"/>
    </row>
    <row r="90" spans="2:12" ht="15.75">
      <c r="B90" s="679"/>
      <c r="C90" s="668"/>
      <c r="D90" s="43"/>
      <c r="E90" s="668"/>
      <c r="F90" s="953"/>
      <c r="G90" s="668"/>
      <c r="H90" s="668"/>
      <c r="I90" s="668"/>
      <c r="J90" s="668"/>
      <c r="K90" s="668"/>
      <c r="L90" s="1671"/>
    </row>
    <row r="91" spans="2:12" ht="18">
      <c r="B91" s="945" t="s">
        <v>2106</v>
      </c>
      <c r="C91" s="947" t="s">
        <v>2096</v>
      </c>
      <c r="D91" s="43"/>
      <c r="E91" s="668"/>
      <c r="F91" s="952" t="s">
        <v>2093</v>
      </c>
      <c r="G91" s="946" t="s">
        <v>2102</v>
      </c>
      <c r="H91" s="668"/>
      <c r="I91" s="668"/>
      <c r="J91" s="668"/>
      <c r="K91" s="668"/>
      <c r="L91" s="1671"/>
    </row>
    <row r="92" spans="2:12" ht="18">
      <c r="B92" s="945" t="s">
        <v>158</v>
      </c>
      <c r="C92" s="675" t="s">
        <v>2097</v>
      </c>
      <c r="D92" s="43"/>
      <c r="E92" s="668"/>
      <c r="F92" s="668"/>
      <c r="G92" s="946" t="s">
        <v>2103</v>
      </c>
      <c r="H92" s="668"/>
      <c r="I92" s="668"/>
      <c r="J92" s="668"/>
      <c r="K92" s="668"/>
      <c r="L92" s="1671"/>
    </row>
    <row r="93" spans="2:12" ht="18">
      <c r="B93" s="679"/>
      <c r="C93" s="675"/>
      <c r="D93" s="43"/>
      <c r="E93" s="668"/>
      <c r="F93" s="668"/>
      <c r="G93" s="946"/>
      <c r="H93" s="668"/>
      <c r="I93" s="668"/>
      <c r="J93" s="668"/>
      <c r="K93" s="668"/>
      <c r="L93" s="1671"/>
    </row>
    <row r="94" spans="2:12" ht="18">
      <c r="B94" s="945" t="s">
        <v>2104</v>
      </c>
      <c r="C94" s="947" t="s">
        <v>772</v>
      </c>
      <c r="D94" s="43"/>
      <c r="E94" s="668"/>
      <c r="F94" s="952" t="s">
        <v>2105</v>
      </c>
      <c r="G94" s="271"/>
      <c r="H94" s="271"/>
      <c r="I94" s="272"/>
      <c r="J94" s="677">
        <f>SUM(G94:I94)</f>
        <v>0</v>
      </c>
      <c r="K94" s="668"/>
      <c r="L94" s="1671"/>
    </row>
    <row r="95" spans="2:12" ht="18">
      <c r="B95" s="679"/>
      <c r="C95" s="675"/>
      <c r="D95" s="43"/>
      <c r="E95" s="668"/>
      <c r="F95" s="668"/>
      <c r="G95" s="946"/>
      <c r="H95" s="668"/>
      <c r="I95" s="668"/>
      <c r="J95" s="668"/>
      <c r="K95" s="668"/>
      <c r="L95" s="1671"/>
    </row>
    <row r="96" spans="2:12" ht="18">
      <c r="B96" s="945" t="s">
        <v>2109</v>
      </c>
      <c r="C96" s="947" t="s">
        <v>2111</v>
      </c>
      <c r="D96" s="43"/>
      <c r="E96" s="668"/>
      <c r="F96" s="952" t="s">
        <v>2110</v>
      </c>
      <c r="G96" s="271"/>
      <c r="H96" s="271"/>
      <c r="I96" s="272"/>
      <c r="J96" s="677">
        <f>SUM(G96:I96)</f>
        <v>0</v>
      </c>
      <c r="K96" s="668"/>
      <c r="L96" s="1671"/>
    </row>
    <row r="97" spans="2:12" ht="18">
      <c r="B97" s="945"/>
      <c r="C97" s="675" t="s">
        <v>2108</v>
      </c>
      <c r="D97" s="43"/>
      <c r="E97" s="668"/>
      <c r="F97" s="952"/>
      <c r="G97" s="946"/>
      <c r="H97" s="668"/>
      <c r="I97" s="668"/>
      <c r="J97" s="668"/>
      <c r="K97" s="668"/>
      <c r="L97" s="1671"/>
    </row>
    <row r="98" spans="2:12" ht="18">
      <c r="B98" s="945"/>
      <c r="C98" s="675"/>
      <c r="D98" s="43"/>
      <c r="E98" s="668"/>
      <c r="F98" s="952"/>
      <c r="G98" s="946"/>
      <c r="H98" s="668"/>
      <c r="I98" s="668"/>
      <c r="J98" s="668"/>
      <c r="K98" s="668"/>
      <c r="L98" s="1671"/>
    </row>
    <row r="99" spans="2:12" ht="18">
      <c r="B99" s="945"/>
      <c r="C99" s="947" t="s">
        <v>1750</v>
      </c>
      <c r="D99" s="43"/>
      <c r="E99" s="668"/>
      <c r="F99" s="952"/>
      <c r="G99" s="946"/>
      <c r="H99" s="668"/>
      <c r="I99" s="668"/>
      <c r="J99" s="668"/>
      <c r="K99" s="668"/>
      <c r="L99" s="1671"/>
    </row>
    <row r="100" spans="2:12" ht="18">
      <c r="B100" s="945"/>
      <c r="C100" s="675" t="s">
        <v>1751</v>
      </c>
      <c r="D100" s="43"/>
      <c r="E100" s="668"/>
      <c r="F100" s="952"/>
      <c r="G100" s="946"/>
      <c r="H100" s="668"/>
      <c r="I100" s="668"/>
      <c r="J100" s="668"/>
      <c r="K100" s="668"/>
      <c r="L100" s="1671"/>
    </row>
    <row r="101" spans="2:12" ht="15.75" thickBot="1">
      <c r="B101" s="680"/>
      <c r="C101" s="673"/>
      <c r="D101" s="327"/>
      <c r="E101" s="673"/>
      <c r="F101" s="673"/>
      <c r="G101" s="673"/>
      <c r="H101" s="673"/>
      <c r="I101" s="673"/>
      <c r="J101" s="673"/>
      <c r="K101" s="668"/>
      <c r="L101" s="1671"/>
    </row>
    <row r="102" spans="2:12" ht="18">
      <c r="B102" s="679"/>
      <c r="C102" s="33" t="str">
        <f>"T4-"&amp;yeartext&amp;" DATA SUMMARY"</f>
        <v>T4-2007 DATA SUMMARY</v>
      </c>
      <c r="D102" s="33"/>
      <c r="E102" s="34" t="s">
        <v>2568</v>
      </c>
      <c r="F102" s="35"/>
      <c r="G102" s="35"/>
      <c r="H102" s="36"/>
      <c r="I102" s="35"/>
      <c r="J102" s="36" t="str">
        <f>yeartext</f>
        <v>2007</v>
      </c>
      <c r="K102" s="668"/>
      <c r="L102" s="1671"/>
    </row>
    <row r="103" spans="2:12" ht="15">
      <c r="B103" s="679"/>
      <c r="C103" s="668"/>
      <c r="D103" s="43"/>
      <c r="E103" s="668"/>
      <c r="F103" s="668"/>
      <c r="G103" s="668"/>
      <c r="H103" s="668"/>
      <c r="I103" s="668"/>
      <c r="J103" s="668"/>
      <c r="K103" s="668"/>
      <c r="L103" s="1671"/>
    </row>
    <row r="104" spans="2:12" ht="18">
      <c r="B104" s="679"/>
      <c r="C104" s="41" t="s">
        <v>1903</v>
      </c>
      <c r="D104" s="41" t="s">
        <v>1529</v>
      </c>
      <c r="E104" s="41" t="s">
        <v>1904</v>
      </c>
      <c r="F104" s="668"/>
      <c r="G104" s="668"/>
      <c r="H104" s="668"/>
      <c r="I104" s="668"/>
      <c r="J104" s="668"/>
      <c r="K104" s="668"/>
      <c r="L104" s="1671"/>
    </row>
    <row r="105" spans="2:12" ht="15">
      <c r="B105" s="679"/>
      <c r="C105" s="668"/>
      <c r="D105" s="43"/>
      <c r="E105" s="668"/>
      <c r="F105" s="668"/>
      <c r="G105" s="668"/>
      <c r="H105" s="668"/>
      <c r="I105" s="668"/>
      <c r="J105" s="668"/>
      <c r="K105" s="668"/>
      <c r="L105" s="1671"/>
    </row>
    <row r="106" spans="2:12" ht="18">
      <c r="B106" s="679"/>
      <c r="C106" s="315" t="s">
        <v>1902</v>
      </c>
      <c r="D106" s="316" t="s">
        <v>2448</v>
      </c>
      <c r="E106" s="351">
        <f>J18</f>
        <v>0</v>
      </c>
      <c r="F106" s="668"/>
      <c r="G106" s="668"/>
      <c r="H106" s="668"/>
      <c r="I106" s="668"/>
      <c r="J106" s="668"/>
      <c r="K106" s="668"/>
      <c r="L106" s="1671"/>
    </row>
    <row r="107" spans="2:12" ht="18">
      <c r="B107" s="679"/>
      <c r="C107" s="309" t="s">
        <v>1902</v>
      </c>
      <c r="D107" s="310" t="s">
        <v>945</v>
      </c>
      <c r="E107" s="351">
        <f>J44</f>
        <v>0</v>
      </c>
      <c r="F107" s="668"/>
      <c r="G107" s="668"/>
      <c r="H107" s="668"/>
      <c r="I107" s="668"/>
      <c r="J107" s="668"/>
      <c r="K107" s="668"/>
      <c r="L107" s="1671"/>
    </row>
    <row r="108" spans="2:12" ht="18">
      <c r="B108" s="679"/>
      <c r="C108" s="309" t="s">
        <v>1906</v>
      </c>
      <c r="D108" s="310" t="s">
        <v>950</v>
      </c>
      <c r="E108" s="681">
        <f>J52</f>
        <v>0</v>
      </c>
      <c r="F108" s="668"/>
      <c r="G108" s="357" t="s">
        <v>70</v>
      </c>
      <c r="H108" s="668"/>
      <c r="I108" s="668"/>
      <c r="J108" s="668"/>
      <c r="K108" s="668"/>
      <c r="L108" s="1671"/>
    </row>
    <row r="109" spans="2:12" ht="18">
      <c r="B109" s="679"/>
      <c r="C109" s="309" t="s">
        <v>1906</v>
      </c>
      <c r="D109" s="310" t="s">
        <v>2455</v>
      </c>
      <c r="E109" s="681">
        <f>J26</f>
        <v>0</v>
      </c>
      <c r="F109" s="668"/>
      <c r="G109" s="357" t="s">
        <v>71</v>
      </c>
      <c r="H109" s="668"/>
      <c r="I109" s="668"/>
      <c r="J109" s="668"/>
      <c r="K109" s="668"/>
      <c r="L109" s="1671"/>
    </row>
    <row r="110" spans="2:12" ht="18">
      <c r="B110" s="668"/>
      <c r="C110" s="309" t="s">
        <v>1906</v>
      </c>
      <c r="D110" s="310" t="s">
        <v>947</v>
      </c>
      <c r="E110" s="681">
        <f>J48</f>
        <v>0</v>
      </c>
      <c r="F110" s="668"/>
      <c r="G110" s="357"/>
      <c r="H110" s="668"/>
      <c r="I110" s="668"/>
      <c r="J110" s="668"/>
      <c r="K110" s="668"/>
      <c r="L110" s="1671"/>
    </row>
    <row r="111" spans="2:12" ht="18">
      <c r="B111" s="668"/>
      <c r="C111" s="309" t="s">
        <v>1906</v>
      </c>
      <c r="D111" s="310" t="s">
        <v>162</v>
      </c>
      <c r="E111" s="681">
        <f>J73</f>
        <v>0</v>
      </c>
      <c r="F111" s="668"/>
      <c r="G111" s="357"/>
      <c r="H111" s="668"/>
      <c r="I111" s="668"/>
      <c r="J111" s="668"/>
      <c r="K111" s="668"/>
      <c r="L111" s="1671"/>
    </row>
    <row r="112" spans="2:12" ht="18">
      <c r="B112" s="668"/>
      <c r="C112" s="309" t="s">
        <v>1906</v>
      </c>
      <c r="D112" s="310" t="s">
        <v>1446</v>
      </c>
      <c r="E112" s="681">
        <f>J46</f>
        <v>0</v>
      </c>
      <c r="F112" s="668"/>
      <c r="G112" s="357"/>
      <c r="H112" s="668"/>
      <c r="I112" s="668"/>
      <c r="J112" s="668"/>
      <c r="K112" s="668"/>
      <c r="L112" s="1671"/>
    </row>
    <row r="113" spans="2:12" ht="18">
      <c r="B113" s="668"/>
      <c r="C113" s="309" t="s">
        <v>1906</v>
      </c>
      <c r="D113" s="310" t="s">
        <v>2580</v>
      </c>
      <c r="E113" s="681">
        <f>J38</f>
        <v>0</v>
      </c>
      <c r="F113" s="668"/>
      <c r="G113" s="347" t="s">
        <v>2584</v>
      </c>
      <c r="H113" s="668"/>
      <c r="I113" s="668"/>
      <c r="J113" s="668"/>
      <c r="K113" s="668"/>
      <c r="L113" s="1671"/>
    </row>
    <row r="114" spans="2:12" ht="18">
      <c r="B114" s="668"/>
      <c r="C114" s="309" t="s">
        <v>1906</v>
      </c>
      <c r="D114" s="310" t="s">
        <v>2582</v>
      </c>
      <c r="E114" s="681">
        <f>J40+J42</f>
        <v>0</v>
      </c>
      <c r="F114" s="668"/>
      <c r="G114" s="347" t="s">
        <v>2585</v>
      </c>
      <c r="H114" s="668"/>
      <c r="I114" s="668"/>
      <c r="J114" s="668"/>
      <c r="K114" s="668"/>
      <c r="L114" s="1671"/>
    </row>
    <row r="115" spans="2:12" ht="18">
      <c r="B115" s="668"/>
      <c r="C115" s="309" t="s">
        <v>1048</v>
      </c>
      <c r="D115" s="310" t="s">
        <v>2457</v>
      </c>
      <c r="E115" s="681">
        <f>J28</f>
        <v>0</v>
      </c>
      <c r="F115" s="668"/>
      <c r="G115" s="347" t="s">
        <v>94</v>
      </c>
      <c r="H115" s="668"/>
      <c r="I115" s="668"/>
      <c r="J115" s="668"/>
      <c r="K115" s="668"/>
      <c r="L115" s="1671"/>
    </row>
    <row r="116" spans="2:12" ht="18">
      <c r="B116" s="668"/>
      <c r="C116" s="309" t="s">
        <v>416</v>
      </c>
      <c r="D116" s="310" t="s">
        <v>2109</v>
      </c>
      <c r="E116" s="681">
        <f>J96</f>
        <v>0</v>
      </c>
      <c r="F116" s="668"/>
      <c r="G116" s="347"/>
      <c r="H116" s="668"/>
      <c r="I116" s="668"/>
      <c r="J116" s="668"/>
      <c r="K116" s="668"/>
      <c r="L116" s="1671"/>
    </row>
    <row r="117" spans="2:12" ht="18">
      <c r="B117" s="668"/>
      <c r="C117" s="309" t="s">
        <v>416</v>
      </c>
      <c r="D117" s="310" t="s">
        <v>2104</v>
      </c>
      <c r="E117" s="677">
        <f>J94</f>
        <v>0</v>
      </c>
      <c r="F117" s="668"/>
      <c r="G117" s="347"/>
      <c r="H117" s="668"/>
      <c r="I117" s="668"/>
      <c r="J117" s="668"/>
      <c r="K117" s="668"/>
      <c r="L117" s="1671"/>
    </row>
    <row r="118" spans="2:12" ht="18">
      <c r="B118" s="668"/>
      <c r="C118" s="309" t="s">
        <v>417</v>
      </c>
      <c r="D118" s="310" t="s">
        <v>700</v>
      </c>
      <c r="E118" s="681">
        <f>IF(E32=0,E18,E32)+IF(F32=0,F18,F32)+IF(G32=0,G18,G32)+IF(H32=0,H18,H32)+IF(I32=0,I18,I32)</f>
        <v>0</v>
      </c>
      <c r="F118" s="668"/>
      <c r="G118" s="347" t="s">
        <v>69</v>
      </c>
      <c r="H118" s="668"/>
      <c r="I118" s="668"/>
      <c r="J118" s="668"/>
      <c r="K118" s="668"/>
      <c r="L118" s="1671"/>
    </row>
    <row r="119" spans="2:12" ht="18">
      <c r="B119" s="668"/>
      <c r="C119" s="309" t="s">
        <v>417</v>
      </c>
      <c r="D119" s="310" t="s">
        <v>2288</v>
      </c>
      <c r="E119" s="681">
        <f>J20+J22</f>
        <v>0</v>
      </c>
      <c r="F119" s="668"/>
      <c r="G119" s="347"/>
      <c r="H119" s="668"/>
      <c r="I119" s="668"/>
      <c r="J119" s="668"/>
      <c r="K119" s="668"/>
      <c r="L119" s="1671"/>
    </row>
    <row r="120" spans="2:12" ht="18">
      <c r="B120" s="668"/>
      <c r="C120" s="309" t="s">
        <v>1049</v>
      </c>
      <c r="D120" s="310" t="s">
        <v>661</v>
      </c>
      <c r="E120" s="681">
        <f>J50</f>
        <v>0</v>
      </c>
      <c r="F120" s="668"/>
      <c r="G120" s="668"/>
      <c r="H120" s="668"/>
      <c r="I120" s="668"/>
      <c r="J120" s="668"/>
      <c r="K120" s="668"/>
      <c r="L120" s="1671"/>
    </row>
    <row r="121" spans="2:12" ht="18">
      <c r="B121" s="668"/>
      <c r="C121" s="309" t="s">
        <v>892</v>
      </c>
      <c r="D121" s="310" t="s">
        <v>953</v>
      </c>
      <c r="E121" s="681">
        <f>J54</f>
        <v>0</v>
      </c>
      <c r="F121" s="668"/>
      <c r="G121" s="668"/>
      <c r="H121" s="668"/>
      <c r="I121" s="668"/>
      <c r="J121" s="668"/>
      <c r="K121" s="668"/>
      <c r="L121" s="1671"/>
    </row>
    <row r="122" spans="2:12" ht="18">
      <c r="B122" s="668"/>
      <c r="C122" s="309" t="s">
        <v>204</v>
      </c>
      <c r="D122" s="310" t="s">
        <v>1687</v>
      </c>
      <c r="E122" s="681">
        <f>IF(E32=0,E18,E32)+IF(F32=0,F18,F32)+IF(G32=0,G18,G32)+IF(H32=0,H18,H32)+IF(I32=0,I18,I32)</f>
        <v>0</v>
      </c>
      <c r="F122" s="668"/>
      <c r="G122" s="668"/>
      <c r="H122" s="668"/>
      <c r="I122" s="668"/>
      <c r="J122" s="668"/>
      <c r="K122" s="668"/>
      <c r="L122" s="1671"/>
    </row>
    <row r="123" spans="2:12" ht="18">
      <c r="B123" s="668"/>
      <c r="C123" s="309" t="s">
        <v>204</v>
      </c>
      <c r="D123" s="310" t="s">
        <v>281</v>
      </c>
      <c r="E123" s="681">
        <f>J20+J22</f>
        <v>0</v>
      </c>
      <c r="F123" s="668"/>
      <c r="G123" s="668"/>
      <c r="H123" s="668"/>
      <c r="I123" s="668"/>
      <c r="J123" s="668"/>
      <c r="K123" s="668"/>
      <c r="L123" s="1671"/>
    </row>
    <row r="124" spans="2:12" ht="18">
      <c r="B124" s="668"/>
      <c r="C124" s="309" t="s">
        <v>204</v>
      </c>
      <c r="D124" s="310" t="s">
        <v>538</v>
      </c>
      <c r="E124" s="681">
        <f>IF(E30=0,E18,E30)+IF(F30=0,F18,F30)+IF(G30=0,G18,G30)+IF(H30=0,H18,H30)+IF(I30=0,I18,I30)</f>
        <v>0</v>
      </c>
      <c r="F124" s="668"/>
      <c r="G124" s="668"/>
      <c r="H124" s="668"/>
      <c r="I124" s="668"/>
      <c r="J124" s="668"/>
      <c r="K124" s="668"/>
      <c r="L124" s="1671"/>
    </row>
    <row r="125" spans="2:12" ht="18">
      <c r="B125" s="668"/>
      <c r="C125" s="309" t="s">
        <v>204</v>
      </c>
      <c r="D125" s="310" t="s">
        <v>427</v>
      </c>
      <c r="E125" s="681">
        <f>J24+J57</f>
        <v>0</v>
      </c>
      <c r="F125" s="668"/>
      <c r="G125" s="668"/>
      <c r="H125" s="668"/>
      <c r="I125" s="668"/>
      <c r="J125" s="668"/>
      <c r="K125" s="668"/>
      <c r="L125" s="1671"/>
    </row>
    <row r="126" spans="2:12" ht="18">
      <c r="B126" s="668"/>
      <c r="C126" s="330"/>
      <c r="D126" s="46"/>
      <c r="E126" s="682"/>
      <c r="F126" s="668"/>
      <c r="G126" s="668"/>
      <c r="H126" s="668"/>
      <c r="I126" s="668"/>
      <c r="J126" s="668"/>
      <c r="K126" s="668"/>
      <c r="L126" s="1671"/>
    </row>
  </sheetData>
  <sheetProtection password="EC35" sheet="1" objects="1" scenarios="1"/>
  <mergeCells count="1">
    <mergeCell ref="L1:L126"/>
  </mergeCells>
  <dataValidations count="1">
    <dataValidation type="list" allowBlank="1" showInputMessage="1" showErrorMessage="1" sqref="E34:I36">
      <formula1>"Yes,No"</formula1>
    </dataValidation>
  </dataValidations>
  <hyperlinks>
    <hyperlink ref="L1:L126" location="'GO TO'!G7" display=" "/>
  </hyperlinks>
  <printOptions horizontalCentered="1"/>
  <pageMargins left="0" right="0" top="0" bottom="0" header="0.5" footer="0.5"/>
  <pageSetup fitToHeight="0" fitToWidth="1" horizontalDpi="600" verticalDpi="600" orientation="portrait" scale="56" r:id="rId3"/>
  <ignoredErrors>
    <ignoredError sqref="D54 D52 D50 D48 D46 D38 D40 D42 D44 D32 D30 D28 D26 D24 D22 D20 D18 D16" numberStoredAsText="1"/>
  </ignoredErrors>
  <legacyDrawing r:id="rId2"/>
</worksheet>
</file>

<file path=xl/worksheets/sheet26.xml><?xml version="1.0" encoding="utf-8"?>
<worksheet xmlns="http://schemas.openxmlformats.org/spreadsheetml/2006/main" xmlns:r="http://schemas.openxmlformats.org/officeDocument/2006/relationships">
  <sheetPr codeName="Sheet211">
    <pageSetUpPr fitToPage="1"/>
  </sheetPr>
  <dimension ref="A1:R80"/>
  <sheetViews>
    <sheetView showGridLines="0" zoomScale="65" zoomScaleNormal="65" workbookViewId="0" topLeftCell="B1">
      <selection activeCell="B2" sqref="B2"/>
    </sheetView>
  </sheetViews>
  <sheetFormatPr defaultColWidth="8.88671875" defaultRowHeight="15"/>
  <cols>
    <col min="1" max="1" width="5.21484375" style="669" customWidth="1"/>
    <col min="2" max="2" width="8.3359375" style="669" customWidth="1"/>
    <col min="3" max="3" width="38.77734375" style="669" customWidth="1"/>
    <col min="4" max="4" width="7.99609375" style="669" customWidth="1"/>
    <col min="5" max="10" width="12.21484375" style="669" customWidth="1"/>
    <col min="11" max="11" width="3.4453125" style="669" customWidth="1"/>
    <col min="12" max="12" width="11.4453125" style="669" customWidth="1"/>
    <col min="13" max="16384" width="8.88671875" style="669" customWidth="1"/>
  </cols>
  <sheetData>
    <row r="1" spans="2:12" ht="18">
      <c r="B1" s="35"/>
      <c r="C1" s="33" t="str">
        <f>"T4A-"&amp;yeartext&amp;" SLIPS DATA ENTRY FORM"</f>
        <v>T4A-2007 SLIPS DATA ENTRY FORM</v>
      </c>
      <c r="D1" s="33"/>
      <c r="E1" s="817"/>
      <c r="F1" s="35"/>
      <c r="G1" s="35"/>
      <c r="H1" s="36"/>
      <c r="I1" s="360" t="s">
        <v>985</v>
      </c>
      <c r="J1" s="36" t="str">
        <f>yeartext</f>
        <v>2007</v>
      </c>
      <c r="K1" s="668"/>
      <c r="L1" s="1671" t="s">
        <v>1659</v>
      </c>
    </row>
    <row r="2" spans="2:12" ht="15.75">
      <c r="B2" s="35"/>
      <c r="C2" s="35"/>
      <c r="D2" s="37"/>
      <c r="E2" s="668"/>
      <c r="F2" s="35"/>
      <c r="G2" s="35"/>
      <c r="H2" s="35"/>
      <c r="I2" s="35"/>
      <c r="J2" s="35"/>
      <c r="K2" s="668"/>
      <c r="L2" s="1671"/>
    </row>
    <row r="3" spans="2:12" ht="18">
      <c r="B3" s="38"/>
      <c r="C3" s="38" t="s">
        <v>986</v>
      </c>
      <c r="D3" s="35"/>
      <c r="E3" s="37"/>
      <c r="F3" s="35"/>
      <c r="G3" s="35"/>
      <c r="H3" s="35"/>
      <c r="I3" s="35"/>
      <c r="J3" s="35"/>
      <c r="K3" s="668"/>
      <c r="L3" s="1671"/>
    </row>
    <row r="4" spans="2:12" ht="18">
      <c r="B4" s="38"/>
      <c r="C4" s="38" t="s">
        <v>41</v>
      </c>
      <c r="D4" s="35"/>
      <c r="E4" s="37"/>
      <c r="F4" s="35"/>
      <c r="G4" s="35"/>
      <c r="H4" s="35"/>
      <c r="I4" s="35"/>
      <c r="J4" s="35"/>
      <c r="K4" s="668"/>
      <c r="L4" s="1671"/>
    </row>
    <row r="5" spans="2:12" ht="18">
      <c r="B5" s="38"/>
      <c r="C5" s="38" t="s">
        <v>2038</v>
      </c>
      <c r="D5" s="35"/>
      <c r="E5" s="37"/>
      <c r="F5" s="35"/>
      <c r="G5" s="35"/>
      <c r="H5" s="35"/>
      <c r="I5" s="35"/>
      <c r="J5" s="35"/>
      <c r="K5" s="668"/>
      <c r="L5" s="1671"/>
    </row>
    <row r="6" spans="2:12" ht="18">
      <c r="B6" s="38"/>
      <c r="C6" s="38" t="s">
        <v>548</v>
      </c>
      <c r="D6" s="35"/>
      <c r="E6" s="37"/>
      <c r="F6" s="35"/>
      <c r="G6" s="35"/>
      <c r="H6" s="35"/>
      <c r="I6" s="35"/>
      <c r="J6" s="35"/>
      <c r="K6" s="668"/>
      <c r="L6" s="1671"/>
    </row>
    <row r="7" spans="2:12" ht="18">
      <c r="B7" s="38"/>
      <c r="C7" s="38" t="s">
        <v>705</v>
      </c>
      <c r="D7" s="35"/>
      <c r="E7" s="37"/>
      <c r="F7" s="35"/>
      <c r="G7" s="35"/>
      <c r="H7" s="35"/>
      <c r="I7" s="35"/>
      <c r="J7" s="35"/>
      <c r="K7" s="668"/>
      <c r="L7" s="1671"/>
    </row>
    <row r="8" spans="2:12" ht="18">
      <c r="B8" s="38"/>
      <c r="C8" s="38" t="s">
        <v>1399</v>
      </c>
      <c r="D8" s="35"/>
      <c r="E8" s="37"/>
      <c r="F8" s="35"/>
      <c r="G8" s="35"/>
      <c r="H8" s="35"/>
      <c r="I8" s="35"/>
      <c r="J8" s="35"/>
      <c r="K8" s="668"/>
      <c r="L8" s="1671"/>
    </row>
    <row r="9" spans="2:12" ht="18">
      <c r="B9" s="38"/>
      <c r="C9" s="38" t="s">
        <v>2125</v>
      </c>
      <c r="D9" s="35"/>
      <c r="E9" s="37"/>
      <c r="F9" s="35"/>
      <c r="G9" s="35"/>
      <c r="H9" s="35"/>
      <c r="I9" s="35"/>
      <c r="J9" s="35"/>
      <c r="K9" s="668"/>
      <c r="L9" s="1671"/>
    </row>
    <row r="10" spans="2:12" ht="18">
      <c r="B10" s="38"/>
      <c r="C10" s="38" t="s">
        <v>1526</v>
      </c>
      <c r="D10" s="35"/>
      <c r="E10" s="37"/>
      <c r="F10" s="35"/>
      <c r="G10" s="35"/>
      <c r="H10" s="35"/>
      <c r="I10" s="35"/>
      <c r="J10" s="35"/>
      <c r="K10" s="668"/>
      <c r="L10" s="1671"/>
    </row>
    <row r="11" spans="2:12" ht="18">
      <c r="B11" s="38"/>
      <c r="C11" s="38" t="s">
        <v>43</v>
      </c>
      <c r="D11" s="35"/>
      <c r="E11" s="37"/>
      <c r="F11" s="35"/>
      <c r="G11" s="35"/>
      <c r="H11" s="35"/>
      <c r="I11" s="35"/>
      <c r="J11" s="35"/>
      <c r="K11" s="668"/>
      <c r="L11" s="1671"/>
    </row>
    <row r="12" spans="2:12" ht="15.75">
      <c r="B12" s="39"/>
      <c r="C12" s="39"/>
      <c r="D12" s="39"/>
      <c r="E12" s="40"/>
      <c r="F12" s="39"/>
      <c r="G12" s="39"/>
      <c r="H12" s="39"/>
      <c r="I12" s="39"/>
      <c r="J12" s="39"/>
      <c r="K12" s="668"/>
      <c r="L12" s="1671"/>
    </row>
    <row r="13" spans="2:12" ht="42" customHeight="1">
      <c r="B13" s="41" t="s">
        <v>1529</v>
      </c>
      <c r="C13" s="41" t="s">
        <v>2180</v>
      </c>
      <c r="D13" s="41" t="s">
        <v>2587</v>
      </c>
      <c r="E13" s="42" t="s">
        <v>1400</v>
      </c>
      <c r="F13" s="42" t="s">
        <v>1401</v>
      </c>
      <c r="G13" s="42" t="s">
        <v>1402</v>
      </c>
      <c r="H13" s="42" t="s">
        <v>1403</v>
      </c>
      <c r="I13" s="42" t="s">
        <v>1404</v>
      </c>
      <c r="J13" s="42" t="s">
        <v>2444</v>
      </c>
      <c r="K13" s="668"/>
      <c r="L13" s="1671"/>
    </row>
    <row r="14" spans="2:12" ht="15.75">
      <c r="B14" s="43"/>
      <c r="C14" s="44"/>
      <c r="D14" s="43"/>
      <c r="E14" s="45"/>
      <c r="F14" s="44"/>
      <c r="G14" s="44"/>
      <c r="H14" s="44"/>
      <c r="I14" s="44"/>
      <c r="J14" s="668"/>
      <c r="K14" s="668"/>
      <c r="L14" s="1671"/>
    </row>
    <row r="15" spans="2:12" ht="18">
      <c r="B15" s="46" t="s">
        <v>621</v>
      </c>
      <c r="C15" s="47" t="s">
        <v>1406</v>
      </c>
      <c r="D15" s="330" t="s">
        <v>2449</v>
      </c>
      <c r="E15" s="273"/>
      <c r="F15" s="274"/>
      <c r="G15" s="274"/>
      <c r="H15" s="274"/>
      <c r="I15" s="275"/>
      <c r="J15" s="670">
        <f>SUM(E15:I15)</f>
        <v>0</v>
      </c>
      <c r="K15" s="668"/>
      <c r="L15" s="1671"/>
    </row>
    <row r="16" spans="2:12" ht="18">
      <c r="B16" s="46"/>
      <c r="C16" s="48"/>
      <c r="D16" s="330"/>
      <c r="E16" s="45"/>
      <c r="F16" s="45"/>
      <c r="G16" s="44"/>
      <c r="H16" s="44"/>
      <c r="I16" s="44"/>
      <c r="J16" s="668"/>
      <c r="K16" s="668"/>
      <c r="L16" s="1671"/>
    </row>
    <row r="17" spans="2:12" ht="18">
      <c r="B17" s="46" t="s">
        <v>976</v>
      </c>
      <c r="C17" s="49" t="s">
        <v>1407</v>
      </c>
      <c r="D17" s="330" t="s">
        <v>2452</v>
      </c>
      <c r="E17" s="273"/>
      <c r="F17" s="274"/>
      <c r="G17" s="274"/>
      <c r="H17" s="274"/>
      <c r="I17" s="275"/>
      <c r="J17" s="670">
        <f>SUM(E17:I17)</f>
        <v>0</v>
      </c>
      <c r="K17" s="668"/>
      <c r="L17" s="1671"/>
    </row>
    <row r="18" spans="2:12" ht="18">
      <c r="B18" s="46"/>
      <c r="C18" s="50"/>
      <c r="D18" s="330"/>
      <c r="E18" s="51"/>
      <c r="F18" s="48"/>
      <c r="G18" s="48"/>
      <c r="H18" s="48"/>
      <c r="I18" s="48"/>
      <c r="J18" s="675"/>
      <c r="K18" s="668"/>
      <c r="L18" s="1671"/>
    </row>
    <row r="19" spans="2:12" ht="18">
      <c r="B19" s="46" t="s">
        <v>977</v>
      </c>
      <c r="C19" s="326" t="s">
        <v>423</v>
      </c>
      <c r="D19" s="330" t="s">
        <v>2454</v>
      </c>
      <c r="E19" s="270"/>
      <c r="F19" s="271"/>
      <c r="G19" s="271"/>
      <c r="H19" s="271"/>
      <c r="I19" s="272"/>
      <c r="J19" s="677">
        <f>SUM(E19:I19)</f>
        <v>0</v>
      </c>
      <c r="K19" s="668"/>
      <c r="L19" s="1671"/>
    </row>
    <row r="20" spans="2:12" ht="18">
      <c r="B20" s="46" t="s">
        <v>425</v>
      </c>
      <c r="C20" s="326" t="s">
        <v>424</v>
      </c>
      <c r="D20" s="330"/>
      <c r="E20" s="982">
        <f>E19</f>
        <v>0</v>
      </c>
      <c r="F20" s="272">
        <f>F19</f>
        <v>0</v>
      </c>
      <c r="G20" s="272">
        <f>G19</f>
        <v>0</v>
      </c>
      <c r="H20" s="272">
        <f>H19</f>
        <v>0</v>
      </c>
      <c r="I20" s="272">
        <f>I19</f>
        <v>0</v>
      </c>
      <c r="J20" s="677">
        <f>SUM(E20:I20)</f>
        <v>0</v>
      </c>
      <c r="K20" s="668"/>
      <c r="L20" s="1671"/>
    </row>
    <row r="21" spans="2:12" ht="18">
      <c r="B21" s="46"/>
      <c r="C21" s="50"/>
      <c r="D21" s="330"/>
      <c r="E21" s="51"/>
      <c r="F21" s="48"/>
      <c r="G21" s="48"/>
      <c r="H21" s="48"/>
      <c r="I21" s="48"/>
      <c r="J21" s="675"/>
      <c r="K21" s="668"/>
      <c r="L21" s="1671"/>
    </row>
    <row r="22" spans="2:12" ht="18">
      <c r="B22" s="46" t="s">
        <v>2457</v>
      </c>
      <c r="C22" s="49" t="s">
        <v>1408</v>
      </c>
      <c r="D22" s="330" t="s">
        <v>2456</v>
      </c>
      <c r="E22" s="270"/>
      <c r="F22" s="271"/>
      <c r="G22" s="271"/>
      <c r="H22" s="271"/>
      <c r="I22" s="272"/>
      <c r="J22" s="677">
        <f>SUM(E22:I22)</f>
        <v>0</v>
      </c>
      <c r="K22" s="668"/>
      <c r="L22" s="1671"/>
    </row>
    <row r="23" spans="2:12" ht="18">
      <c r="B23" s="46"/>
      <c r="C23" s="50"/>
      <c r="D23" s="330"/>
      <c r="E23" s="51"/>
      <c r="F23" s="48"/>
      <c r="G23" s="48"/>
      <c r="H23" s="674"/>
      <c r="I23" s="48"/>
      <c r="J23" s="675"/>
      <c r="K23" s="668"/>
      <c r="L23" s="1671"/>
    </row>
    <row r="24" spans="2:12" ht="36">
      <c r="B24" s="316" t="s">
        <v>1086</v>
      </c>
      <c r="C24" s="565" t="s">
        <v>1207</v>
      </c>
      <c r="D24" s="315" t="s">
        <v>2016</v>
      </c>
      <c r="E24" s="340"/>
      <c r="F24" s="341"/>
      <c r="G24" s="341"/>
      <c r="H24" s="341"/>
      <c r="I24" s="342"/>
      <c r="J24" s="683">
        <f>SUM(E24:I24)</f>
        <v>0</v>
      </c>
      <c r="K24" s="668"/>
      <c r="L24" s="1671"/>
    </row>
    <row r="25" spans="2:12" ht="36">
      <c r="B25" s="46" t="s">
        <v>621</v>
      </c>
      <c r="C25" s="52" t="s">
        <v>840</v>
      </c>
      <c r="D25" s="330" t="s">
        <v>2016</v>
      </c>
      <c r="E25" s="273"/>
      <c r="F25" s="274"/>
      <c r="G25" s="274"/>
      <c r="H25" s="274"/>
      <c r="I25" s="275"/>
      <c r="J25" s="670">
        <f>SUM(E25:I25)</f>
        <v>0</v>
      </c>
      <c r="K25" s="668"/>
      <c r="L25" s="1671"/>
    </row>
    <row r="26" spans="2:12" ht="18">
      <c r="B26" s="46"/>
      <c r="C26" s="50"/>
      <c r="D26" s="330"/>
      <c r="E26" s="51"/>
      <c r="F26" s="48"/>
      <c r="G26" s="48"/>
      <c r="H26" s="674"/>
      <c r="I26" s="48"/>
      <c r="J26" s="675"/>
      <c r="K26" s="668"/>
      <c r="L26" s="1671"/>
    </row>
    <row r="27" spans="2:12" ht="18">
      <c r="B27" s="46" t="s">
        <v>976</v>
      </c>
      <c r="C27" s="49" t="s">
        <v>1409</v>
      </c>
      <c r="D27" s="330" t="s">
        <v>2018</v>
      </c>
      <c r="E27" s="270"/>
      <c r="F27" s="271"/>
      <c r="G27" s="271"/>
      <c r="H27" s="271"/>
      <c r="I27" s="272"/>
      <c r="J27" s="677">
        <f>SUM(E27:I27)</f>
        <v>0</v>
      </c>
      <c r="K27" s="668"/>
      <c r="L27" s="1671"/>
    </row>
    <row r="28" spans="2:12" ht="18">
      <c r="B28" s="46"/>
      <c r="C28" s="50"/>
      <c r="D28" s="330"/>
      <c r="E28" s="51"/>
      <c r="F28" s="48"/>
      <c r="G28" s="48"/>
      <c r="H28" s="674"/>
      <c r="I28" s="48"/>
      <c r="J28" s="675"/>
      <c r="K28" s="668"/>
      <c r="L28" s="1671"/>
    </row>
    <row r="29" spans="2:12" ht="18">
      <c r="B29" s="46" t="s">
        <v>976</v>
      </c>
      <c r="C29" s="49" t="s">
        <v>1267</v>
      </c>
      <c r="D29" s="330" t="s">
        <v>1805</v>
      </c>
      <c r="E29" s="270"/>
      <c r="F29" s="271"/>
      <c r="G29" s="271"/>
      <c r="H29" s="271"/>
      <c r="I29" s="272"/>
      <c r="J29" s="677">
        <f>SUM(E29:I29)</f>
        <v>0</v>
      </c>
      <c r="K29" s="668"/>
      <c r="L29" s="1671"/>
    </row>
    <row r="30" spans="2:12" ht="18">
      <c r="B30" s="46"/>
      <c r="C30" s="49"/>
      <c r="D30" s="330"/>
      <c r="E30" s="51"/>
      <c r="F30" s="48"/>
      <c r="G30" s="48"/>
      <c r="H30" s="674"/>
      <c r="I30" s="48"/>
      <c r="J30" s="675"/>
      <c r="K30" s="668"/>
      <c r="L30" s="1671"/>
    </row>
    <row r="31" spans="2:12" ht="18">
      <c r="B31" s="46" t="s">
        <v>978</v>
      </c>
      <c r="C31" s="49" t="s">
        <v>488</v>
      </c>
      <c r="D31" s="330" t="s">
        <v>1806</v>
      </c>
      <c r="E31" s="982"/>
      <c r="F31" s="272"/>
      <c r="G31" s="272"/>
      <c r="H31" s="272"/>
      <c r="I31" s="272"/>
      <c r="J31" s="677">
        <f>SUM(E31:I31)</f>
        <v>0</v>
      </c>
      <c r="K31" s="668"/>
      <c r="L31" s="1671"/>
    </row>
    <row r="32" spans="2:12" ht="18">
      <c r="B32" s="46"/>
      <c r="C32" s="49"/>
      <c r="D32" s="330"/>
      <c r="E32" s="51"/>
      <c r="F32" s="48"/>
      <c r="G32" s="48"/>
      <c r="H32" s="674"/>
      <c r="I32" s="48"/>
      <c r="J32" s="675"/>
      <c r="K32" s="668"/>
      <c r="L32" s="1671"/>
    </row>
    <row r="33" spans="2:12" ht="18">
      <c r="B33" s="56" t="s">
        <v>976</v>
      </c>
      <c r="C33" s="49" t="s">
        <v>1410</v>
      </c>
      <c r="D33" s="330" t="s">
        <v>1456</v>
      </c>
      <c r="E33" s="270"/>
      <c r="F33" s="271"/>
      <c r="G33" s="271"/>
      <c r="H33" s="271"/>
      <c r="I33" s="272"/>
      <c r="J33" s="677">
        <f>SUM(E33:I33)</f>
        <v>0</v>
      </c>
      <c r="K33" s="668"/>
      <c r="L33" s="1671"/>
    </row>
    <row r="34" spans="2:12" ht="18">
      <c r="B34" s="46"/>
      <c r="C34" s="50"/>
      <c r="D34" s="330"/>
      <c r="E34" s="51"/>
      <c r="F34" s="48"/>
      <c r="G34" s="48"/>
      <c r="H34" s="674"/>
      <c r="I34" s="48"/>
      <c r="J34" s="675"/>
      <c r="K34" s="668"/>
      <c r="L34" s="1671"/>
    </row>
    <row r="35" spans="2:12" ht="36">
      <c r="B35" s="46" t="s">
        <v>2455</v>
      </c>
      <c r="C35" s="52" t="s">
        <v>1411</v>
      </c>
      <c r="D35" s="330" t="s">
        <v>1458</v>
      </c>
      <c r="E35" s="270"/>
      <c r="F35" s="271"/>
      <c r="G35" s="271"/>
      <c r="H35" s="271"/>
      <c r="I35" s="272"/>
      <c r="J35" s="677">
        <f>SUM(E35:I35)</f>
        <v>0</v>
      </c>
      <c r="K35" s="668"/>
      <c r="L35" s="1671"/>
    </row>
    <row r="36" spans="2:12" ht="18">
      <c r="B36" s="46"/>
      <c r="C36" s="53"/>
      <c r="D36" s="330"/>
      <c r="E36" s="51"/>
      <c r="F36" s="48"/>
      <c r="G36" s="48"/>
      <c r="H36" s="674"/>
      <c r="I36" s="48"/>
      <c r="J36" s="675"/>
      <c r="K36" s="668"/>
      <c r="L36" s="1671"/>
    </row>
    <row r="37" spans="2:12" ht="18">
      <c r="B37" s="46" t="s">
        <v>950</v>
      </c>
      <c r="C37" s="52" t="s">
        <v>1008</v>
      </c>
      <c r="D37" s="330" t="s">
        <v>532</v>
      </c>
      <c r="E37" s="273"/>
      <c r="F37" s="274"/>
      <c r="G37" s="274"/>
      <c r="H37" s="274"/>
      <c r="I37" s="275"/>
      <c r="J37" s="670">
        <f>SUM(E37:I37)</f>
        <v>0</v>
      </c>
      <c r="K37" s="668"/>
      <c r="L37" s="1671"/>
    </row>
    <row r="38" spans="2:12" ht="18">
      <c r="B38" s="46"/>
      <c r="C38" s="53"/>
      <c r="D38" s="330"/>
      <c r="E38" s="51"/>
      <c r="F38" s="48"/>
      <c r="G38" s="48"/>
      <c r="H38" s="674"/>
      <c r="I38" s="54"/>
      <c r="J38" s="678"/>
      <c r="K38" s="668"/>
      <c r="L38" s="1671"/>
    </row>
    <row r="39" spans="2:12" ht="36">
      <c r="B39" s="320" t="s">
        <v>2063</v>
      </c>
      <c r="C39" s="52" t="s">
        <v>1412</v>
      </c>
      <c r="D39" s="330" t="s">
        <v>1789</v>
      </c>
      <c r="E39" s="273"/>
      <c r="F39" s="274"/>
      <c r="G39" s="274"/>
      <c r="H39" s="274"/>
      <c r="I39" s="275"/>
      <c r="J39" s="670">
        <f>SUM(E39:I39)</f>
        <v>0</v>
      </c>
      <c r="K39" s="668"/>
      <c r="L39" s="1671"/>
    </row>
    <row r="40" spans="2:12" ht="18">
      <c r="B40" s="46"/>
      <c r="C40" s="52"/>
      <c r="D40" s="330"/>
      <c r="E40" s="51"/>
      <c r="F40" s="48"/>
      <c r="G40" s="48"/>
      <c r="H40" s="674"/>
      <c r="I40" s="48"/>
      <c r="J40" s="675"/>
      <c r="K40" s="668"/>
      <c r="L40" s="1671"/>
    </row>
    <row r="41" spans="2:12" ht="36">
      <c r="B41" s="46" t="s">
        <v>976</v>
      </c>
      <c r="C41" s="52" t="s">
        <v>1413</v>
      </c>
      <c r="D41" s="330" t="s">
        <v>944</v>
      </c>
      <c r="E41" s="270"/>
      <c r="F41" s="271"/>
      <c r="G41" s="271"/>
      <c r="H41" s="271"/>
      <c r="I41" s="272"/>
      <c r="J41" s="677">
        <f>SUM(E41:I41)</f>
        <v>0</v>
      </c>
      <c r="K41" s="668"/>
      <c r="L41" s="1671"/>
    </row>
    <row r="42" spans="2:12" ht="18">
      <c r="B42" s="46"/>
      <c r="C42" s="53"/>
      <c r="D42" s="330"/>
      <c r="E42" s="46"/>
      <c r="F42" s="46"/>
      <c r="G42" s="46"/>
      <c r="H42" s="46"/>
      <c r="I42" s="46"/>
      <c r="J42" s="675"/>
      <c r="K42" s="668"/>
      <c r="L42" s="1671"/>
    </row>
    <row r="43" spans="2:12" ht="18">
      <c r="B43" s="56" t="s">
        <v>1565</v>
      </c>
      <c r="C43" s="49" t="s">
        <v>1007</v>
      </c>
      <c r="D43" s="330" t="s">
        <v>948</v>
      </c>
      <c r="E43" s="270"/>
      <c r="F43" s="271"/>
      <c r="G43" s="271"/>
      <c r="H43" s="271"/>
      <c r="I43" s="272"/>
      <c r="J43" s="677">
        <f>SUM(E43:I43)</f>
        <v>0</v>
      </c>
      <c r="K43" s="668"/>
      <c r="L43" s="1671"/>
    </row>
    <row r="44" spans="2:12" ht="18">
      <c r="B44" s="46"/>
      <c r="C44" s="49"/>
      <c r="D44" s="330"/>
      <c r="E44" s="51"/>
      <c r="F44" s="1413">
        <f>IF(AND(F31&gt;0,F45=0),"Footnote Code Missing","")</f>
      </c>
      <c r="G44" s="48"/>
      <c r="H44" s="1413">
        <f>IF(AND(H31&gt;0,H45=0),"Footnote Code Missing","")</f>
      </c>
      <c r="I44" s="48"/>
      <c r="J44" s="675"/>
      <c r="K44" s="668"/>
      <c r="L44" s="1671"/>
    </row>
    <row r="45" spans="2:12" ht="18">
      <c r="B45" s="46" t="s">
        <v>950</v>
      </c>
      <c r="C45" s="49" t="s">
        <v>1405</v>
      </c>
      <c r="D45" s="330" t="s">
        <v>1787</v>
      </c>
      <c r="E45" s="306"/>
      <c r="F45" s="307"/>
      <c r="G45" s="307"/>
      <c r="H45" s="307"/>
      <c r="I45" s="308"/>
      <c r="J45" s="675"/>
      <c r="K45" s="668"/>
      <c r="L45" s="1671"/>
    </row>
    <row r="46" spans="2:12" ht="18">
      <c r="B46" s="46"/>
      <c r="C46" s="365" t="s">
        <v>484</v>
      </c>
      <c r="D46" s="46"/>
      <c r="E46" s="983">
        <f>IF(E45=5,E31,0)</f>
        <v>0</v>
      </c>
      <c r="F46" s="984">
        <f>IF(F45=5,F31,0)</f>
        <v>0</v>
      </c>
      <c r="G46" s="984">
        <f>IF(G45=5,G31,0)</f>
        <v>0</v>
      </c>
      <c r="H46" s="984">
        <f>IF(H45=5,H31,0)</f>
        <v>0</v>
      </c>
      <c r="I46" s="984">
        <f>IF(I45=5,I31,0)</f>
        <v>0</v>
      </c>
      <c r="J46" s="985">
        <f>MIN(3000,SUM(E46:I46))</f>
        <v>0</v>
      </c>
      <c r="K46" s="668"/>
      <c r="L46" s="1671"/>
    </row>
    <row r="47" spans="2:12" ht="18.75" thickBot="1">
      <c r="B47" s="311"/>
      <c r="C47" s="312"/>
      <c r="D47" s="311"/>
      <c r="E47" s="671">
        <f>IF(AND(E31&gt;0,E45=0),"Footnote Code Missing","")</f>
      </c>
      <c r="F47" s="671"/>
      <c r="G47" s="671">
        <f>IF(AND(G31&gt;0,G45=0),"Footnote Code Missing","")</f>
      </c>
      <c r="H47" s="671"/>
      <c r="I47" s="671">
        <f>IF(AND(I31&gt;0,I45=0),"Footnote Code Missing","")</f>
      </c>
      <c r="J47" s="672"/>
      <c r="K47" s="673"/>
      <c r="L47" s="1671"/>
    </row>
    <row r="48" spans="2:12" ht="18">
      <c r="B48" s="46"/>
      <c r="C48" s="33" t="str">
        <f>"T4A-"&amp;yeartext&amp;" DATA SUMMARY"</f>
        <v>T4A-2007 DATA SUMMARY</v>
      </c>
      <c r="D48" s="817" t="s">
        <v>985</v>
      </c>
      <c r="E48" s="34"/>
      <c r="F48" s="35"/>
      <c r="G48" s="35"/>
      <c r="H48" s="36"/>
      <c r="I48" s="35"/>
      <c r="J48" s="36" t="str">
        <f>yeartext</f>
        <v>2007</v>
      </c>
      <c r="K48" s="668"/>
      <c r="L48" s="1671"/>
    </row>
    <row r="49" spans="2:12" ht="18">
      <c r="B49" s="46"/>
      <c r="C49" s="49"/>
      <c r="D49" s="46"/>
      <c r="E49" s="51"/>
      <c r="F49" s="48"/>
      <c r="G49" s="48"/>
      <c r="H49" s="674"/>
      <c r="I49" s="48"/>
      <c r="J49" s="675"/>
      <c r="K49" s="668"/>
      <c r="L49" s="1671"/>
    </row>
    <row r="50" spans="2:12" ht="18">
      <c r="B50" s="46"/>
      <c r="C50" s="41" t="s">
        <v>1903</v>
      </c>
      <c r="D50" s="41" t="s">
        <v>1529</v>
      </c>
      <c r="E50" s="41" t="s">
        <v>1904</v>
      </c>
      <c r="F50" s="48"/>
      <c r="G50" s="48"/>
      <c r="H50" s="674"/>
      <c r="I50" s="48"/>
      <c r="J50" s="675"/>
      <c r="K50" s="668"/>
      <c r="L50" s="1671"/>
    </row>
    <row r="51" spans="2:12" ht="18">
      <c r="B51" s="46"/>
      <c r="C51" s="317"/>
      <c r="D51" s="318"/>
      <c r="E51" s="319"/>
      <c r="F51" s="48"/>
      <c r="G51" s="321"/>
      <c r="H51" s="674"/>
      <c r="I51" s="48"/>
      <c r="J51" s="675"/>
      <c r="K51" s="668"/>
      <c r="L51" s="1671"/>
    </row>
    <row r="52" spans="2:12" ht="18">
      <c r="B52" s="46"/>
      <c r="C52" s="315" t="s">
        <v>1902</v>
      </c>
      <c r="D52" s="316" t="s">
        <v>1905</v>
      </c>
      <c r="E52" s="351">
        <f>E31*HLOOKUP(E45,A65:R67,2,FALSE)+F31*HLOOKUP(F45,A65:R67,2,FALSE)+G31*HLOOKUP(G45,A65:R67,2,FALSE)+H31*HLOOKUP(H45,A65:R67,2,FALSE)+I31*HLOOKUP(I45,A65:R67,2,FALSE)</f>
        <v>0</v>
      </c>
      <c r="F52" s="48"/>
      <c r="G52" s="48"/>
      <c r="H52" s="674"/>
      <c r="I52" s="48"/>
      <c r="J52" s="675"/>
      <c r="K52" s="668"/>
      <c r="L52" s="1671"/>
    </row>
    <row r="53" spans="2:12" ht="18">
      <c r="B53" s="46"/>
      <c r="C53" s="309" t="s">
        <v>1902</v>
      </c>
      <c r="D53" s="310" t="s">
        <v>621</v>
      </c>
      <c r="E53" s="351">
        <f>J15+J25+IF((age&gt;64),$J$24,0)</f>
        <v>0</v>
      </c>
      <c r="F53" s="48"/>
      <c r="G53" s="357" t="s">
        <v>70</v>
      </c>
      <c r="H53" s="674"/>
      <c r="I53" s="48"/>
      <c r="J53" s="675"/>
      <c r="K53" s="668"/>
      <c r="L53" s="1671"/>
    </row>
    <row r="54" spans="2:12" ht="18">
      <c r="B54" s="46"/>
      <c r="C54" s="309" t="s">
        <v>1902</v>
      </c>
      <c r="D54" s="310" t="s">
        <v>976</v>
      </c>
      <c r="E54" s="681">
        <f>J17+J27+J29+J33+J39+J41+IF(age&lt;65,$J$24,0)+E31*HLOOKUP(E45,A65:R67,3,FALSE)+F31*HLOOKUP(F45,A65:R67,3,FALSE)+G31*HLOOKUP(G45,A65:R67,3,FALSE)+H31*HLOOKUP(H45,A65:R67,3,FALSE)+I31*HLOOKUP(I45,A65:R67,3,FALSE)-exemption</f>
        <v>0</v>
      </c>
      <c r="F54" s="48"/>
      <c r="G54" s="357" t="s">
        <v>71</v>
      </c>
      <c r="H54" s="674"/>
      <c r="I54" s="48"/>
      <c r="J54" s="675"/>
      <c r="K54" s="668"/>
      <c r="L54" s="1671"/>
    </row>
    <row r="55" spans="2:12" ht="18">
      <c r="B55" s="46"/>
      <c r="C55" s="309" t="s">
        <v>1902</v>
      </c>
      <c r="D55" s="310" t="s">
        <v>425</v>
      </c>
      <c r="E55" s="681">
        <f>J20</f>
        <v>0</v>
      </c>
      <c r="F55" s="48"/>
      <c r="G55" s="357"/>
      <c r="H55" s="674"/>
      <c r="I55" s="48"/>
      <c r="J55" s="675"/>
      <c r="K55" s="668"/>
      <c r="L55" s="1671"/>
    </row>
    <row r="56" spans="2:12" ht="18">
      <c r="B56" s="46"/>
      <c r="C56" s="309" t="s">
        <v>1902</v>
      </c>
      <c r="D56" s="310" t="s">
        <v>977</v>
      </c>
      <c r="E56" s="681">
        <f>J19</f>
        <v>0</v>
      </c>
      <c r="F56" s="48"/>
      <c r="G56" s="347" t="s">
        <v>2584</v>
      </c>
      <c r="H56" s="674"/>
      <c r="I56" s="48"/>
      <c r="J56" s="675"/>
      <c r="K56" s="668"/>
      <c r="L56" s="1671"/>
    </row>
    <row r="57" spans="2:12" ht="18">
      <c r="B57" s="46"/>
      <c r="C57" s="309" t="s">
        <v>1906</v>
      </c>
      <c r="D57" s="310" t="s">
        <v>950</v>
      </c>
      <c r="E57" s="681">
        <f>J37</f>
        <v>0</v>
      </c>
      <c r="F57" s="48"/>
      <c r="G57" s="347" t="s">
        <v>2585</v>
      </c>
      <c r="H57" s="674"/>
      <c r="I57" s="48"/>
      <c r="J57" s="675"/>
      <c r="K57" s="668"/>
      <c r="L57" s="1671"/>
    </row>
    <row r="58" spans="2:12" ht="18">
      <c r="B58" s="46"/>
      <c r="C58" s="309" t="s">
        <v>1906</v>
      </c>
      <c r="D58" s="310" t="s">
        <v>2455</v>
      </c>
      <c r="E58" s="681">
        <f>J35</f>
        <v>0</v>
      </c>
      <c r="F58" s="48"/>
      <c r="G58" s="347"/>
      <c r="H58" s="674"/>
      <c r="I58" s="48"/>
      <c r="J58" s="675"/>
      <c r="K58" s="668"/>
      <c r="L58" s="1671"/>
    </row>
    <row r="59" spans="2:12" ht="18">
      <c r="B59" s="46"/>
      <c r="C59" s="309"/>
      <c r="D59" s="310"/>
      <c r="E59" s="51"/>
      <c r="F59" s="48"/>
      <c r="G59" s="347" t="s">
        <v>94</v>
      </c>
      <c r="H59" s="674"/>
      <c r="I59" s="48"/>
      <c r="J59" s="675"/>
      <c r="K59" s="668"/>
      <c r="L59" s="1671"/>
    </row>
    <row r="60" spans="2:12" ht="18">
      <c r="B60" s="46"/>
      <c r="C60" s="309" t="s">
        <v>1048</v>
      </c>
      <c r="D60" s="310" t="s">
        <v>2457</v>
      </c>
      <c r="E60" s="681">
        <f>J22</f>
        <v>0</v>
      </c>
      <c r="F60" s="48"/>
      <c r="G60" s="347" t="s">
        <v>69</v>
      </c>
      <c r="H60" s="674"/>
      <c r="I60" s="48"/>
      <c r="J60" s="675"/>
      <c r="K60" s="668"/>
      <c r="L60" s="1671"/>
    </row>
    <row r="61" spans="2:12" ht="18">
      <c r="B61" s="46"/>
      <c r="C61" s="309" t="s">
        <v>1049</v>
      </c>
      <c r="D61" s="310" t="s">
        <v>661</v>
      </c>
      <c r="E61" s="681">
        <f>J43</f>
        <v>0</v>
      </c>
      <c r="F61" s="48"/>
      <c r="G61" s="48"/>
      <c r="H61" s="674"/>
      <c r="I61" s="48"/>
      <c r="J61" s="675"/>
      <c r="K61" s="668"/>
      <c r="L61" s="1671"/>
    </row>
    <row r="62" spans="2:12" ht="18">
      <c r="B62" s="46"/>
      <c r="C62" s="309" t="s">
        <v>1853</v>
      </c>
      <c r="D62" s="310"/>
      <c r="E62" s="681">
        <f>J39</f>
        <v>0</v>
      </c>
      <c r="F62" s="48"/>
      <c r="G62" s="48"/>
      <c r="H62" s="674"/>
      <c r="I62" s="48"/>
      <c r="J62" s="675"/>
      <c r="K62" s="668"/>
      <c r="L62" s="1671"/>
    </row>
    <row r="63" spans="2:12" ht="18">
      <c r="B63" s="46"/>
      <c r="C63" s="49"/>
      <c r="D63" s="46"/>
      <c r="E63" s="51"/>
      <c r="F63" s="48"/>
      <c r="G63" s="48"/>
      <c r="H63" s="674"/>
      <c r="I63" s="48"/>
      <c r="J63" s="675"/>
      <c r="K63" s="668"/>
      <c r="L63" s="1671"/>
    </row>
    <row r="64" spans="2:12" ht="18">
      <c r="B64" s="46"/>
      <c r="C64" s="49"/>
      <c r="D64" s="46"/>
      <c r="E64" s="51"/>
      <c r="F64" s="48"/>
      <c r="G64" s="48"/>
      <c r="H64" s="674"/>
      <c r="I64" s="48"/>
      <c r="J64" s="675"/>
      <c r="K64" s="668"/>
      <c r="L64" s="1671"/>
    </row>
    <row r="65" spans="1:18" ht="15">
      <c r="A65" s="684">
        <v>0</v>
      </c>
      <c r="B65" s="685">
        <v>4</v>
      </c>
      <c r="C65" s="686">
        <v>5</v>
      </c>
      <c r="D65" s="685">
        <v>6</v>
      </c>
      <c r="E65" s="687">
        <v>7</v>
      </c>
      <c r="F65" s="687">
        <v>8</v>
      </c>
      <c r="G65" s="687">
        <v>9</v>
      </c>
      <c r="H65" s="687">
        <v>15</v>
      </c>
      <c r="I65" s="687">
        <v>16</v>
      </c>
      <c r="J65" s="687">
        <v>17</v>
      </c>
      <c r="K65" s="687">
        <v>18</v>
      </c>
      <c r="L65" s="687">
        <v>19</v>
      </c>
      <c r="M65" s="688">
        <v>23</v>
      </c>
      <c r="N65" s="688">
        <v>25</v>
      </c>
      <c r="O65" s="688">
        <v>26</v>
      </c>
      <c r="P65" s="688">
        <v>27</v>
      </c>
      <c r="Q65" s="688">
        <v>29</v>
      </c>
      <c r="R65" s="688">
        <v>30</v>
      </c>
    </row>
    <row r="66" spans="1:18" ht="15">
      <c r="A66" s="684">
        <v>0</v>
      </c>
      <c r="B66" s="685">
        <v>1</v>
      </c>
      <c r="C66" s="686">
        <v>0</v>
      </c>
      <c r="D66" s="685">
        <v>0</v>
      </c>
      <c r="E66" s="687">
        <v>1</v>
      </c>
      <c r="F66" s="687">
        <v>0</v>
      </c>
      <c r="G66" s="687">
        <v>0</v>
      </c>
      <c r="H66" s="687">
        <v>0</v>
      </c>
      <c r="I66" s="687">
        <v>0</v>
      </c>
      <c r="J66" s="687">
        <v>0</v>
      </c>
      <c r="K66" s="687">
        <v>1</v>
      </c>
      <c r="L66" s="687">
        <v>1</v>
      </c>
      <c r="M66" s="688">
        <v>0</v>
      </c>
      <c r="N66" s="688">
        <v>0</v>
      </c>
      <c r="O66" s="688">
        <v>0</v>
      </c>
      <c r="P66" s="688">
        <v>1</v>
      </c>
      <c r="Q66" s="688">
        <v>0</v>
      </c>
      <c r="R66" s="688">
        <v>0</v>
      </c>
    </row>
    <row r="67" spans="1:18" ht="15">
      <c r="A67" s="684">
        <v>0</v>
      </c>
      <c r="B67" s="685">
        <v>0</v>
      </c>
      <c r="C67" s="686">
        <v>1</v>
      </c>
      <c r="D67" s="685">
        <v>1</v>
      </c>
      <c r="E67" s="687">
        <v>0</v>
      </c>
      <c r="F67" s="687">
        <v>0</v>
      </c>
      <c r="G67" s="687">
        <v>0</v>
      </c>
      <c r="H67" s="687">
        <v>0</v>
      </c>
      <c r="I67" s="687">
        <v>1</v>
      </c>
      <c r="J67" s="687">
        <v>1</v>
      </c>
      <c r="K67" s="687">
        <v>0</v>
      </c>
      <c r="L67" s="687">
        <v>0</v>
      </c>
      <c r="M67" s="688">
        <v>1</v>
      </c>
      <c r="N67" s="688">
        <v>1</v>
      </c>
      <c r="O67" s="688">
        <v>0</v>
      </c>
      <c r="P67" s="688">
        <v>0</v>
      </c>
      <c r="Q67" s="688">
        <v>1</v>
      </c>
      <c r="R67" s="688">
        <v>1</v>
      </c>
    </row>
    <row r="68" spans="1:18" ht="18">
      <c r="A68" s="684"/>
      <c r="B68" s="322"/>
      <c r="C68" s="323"/>
      <c r="D68" s="322"/>
      <c r="E68" s="324"/>
      <c r="F68" s="325"/>
      <c r="G68" s="325"/>
      <c r="H68" s="689"/>
      <c r="I68" s="325"/>
      <c r="J68" s="690"/>
      <c r="K68" s="691"/>
      <c r="L68" s="690"/>
      <c r="M68" s="690"/>
      <c r="N68" s="690"/>
      <c r="O68" s="690"/>
      <c r="P68" s="690"/>
      <c r="Q68" s="690"/>
      <c r="R68" s="690"/>
    </row>
    <row r="69" spans="2:4" ht="15">
      <c r="B69" s="676"/>
      <c r="D69" s="55"/>
    </row>
    <row r="70" spans="2:4" ht="15">
      <c r="B70" s="676"/>
      <c r="D70" s="55"/>
    </row>
    <row r="71" spans="2:4" ht="15">
      <c r="B71" s="676"/>
      <c r="D71" s="55"/>
    </row>
    <row r="72" spans="2:4" ht="15">
      <c r="B72" s="676"/>
      <c r="D72" s="55"/>
    </row>
    <row r="73" spans="2:4" ht="15">
      <c r="B73" s="676"/>
      <c r="D73" s="55"/>
    </row>
    <row r="74" spans="2:4" ht="15">
      <c r="B74" s="676"/>
      <c r="D74" s="55"/>
    </row>
    <row r="75" spans="2:4" ht="15">
      <c r="B75" s="676"/>
      <c r="D75" s="55"/>
    </row>
    <row r="76" spans="2:4" ht="15">
      <c r="B76" s="676"/>
      <c r="D76" s="55"/>
    </row>
    <row r="77" spans="2:4" ht="15">
      <c r="B77" s="676"/>
      <c r="D77" s="55"/>
    </row>
    <row r="78" spans="2:4" ht="15">
      <c r="B78" s="676"/>
      <c r="D78" s="55"/>
    </row>
    <row r="79" spans="2:4" ht="15">
      <c r="B79" s="676"/>
      <c r="D79" s="55"/>
    </row>
    <row r="80" spans="2:4" ht="15">
      <c r="B80" s="676"/>
      <c r="D80" s="55"/>
    </row>
  </sheetData>
  <sheetProtection password="EC35" sheet="1" objects="1" scenarios="1"/>
  <mergeCells count="1">
    <mergeCell ref="L1:L64"/>
  </mergeCells>
  <hyperlinks>
    <hyperlink ref="L1:L64" location="'GO TO'!G8" display=" "/>
  </hyperlinks>
  <printOptions horizontalCentered="1"/>
  <pageMargins left="0" right="0" top="0" bottom="0" header="0.5" footer="0.5"/>
  <pageSetup fitToHeight="0" fitToWidth="1" horizontalDpi="600" verticalDpi="600" orientation="portrait" scale="62" r:id="rId3"/>
  <legacyDrawing r:id="rId2"/>
</worksheet>
</file>

<file path=xl/worksheets/sheet27.xml><?xml version="1.0" encoding="utf-8"?>
<worksheet xmlns="http://schemas.openxmlformats.org/spreadsheetml/2006/main" xmlns:r="http://schemas.openxmlformats.org/officeDocument/2006/relationships">
  <sheetPr codeName="Sheet21111113">
    <pageSetUpPr fitToPage="1"/>
  </sheetPr>
  <dimension ref="A1:IV47"/>
  <sheetViews>
    <sheetView showGridLines="0" zoomScale="70" zoomScaleNormal="70" workbookViewId="0" topLeftCell="A1">
      <selection activeCell="B2" sqref="B2"/>
    </sheetView>
  </sheetViews>
  <sheetFormatPr defaultColWidth="8.88671875" defaultRowHeight="15"/>
  <cols>
    <col min="1" max="1" width="1.77734375" style="669" customWidth="1"/>
    <col min="2" max="2" width="8.3359375" style="669" customWidth="1"/>
    <col min="3" max="3" width="34.77734375" style="669" customWidth="1"/>
    <col min="4" max="4" width="7.99609375" style="669" customWidth="1"/>
    <col min="5" max="10" width="12.21484375" style="669" customWidth="1"/>
    <col min="11" max="11" width="1.88671875" style="669" customWidth="1"/>
    <col min="12" max="16384" width="8.88671875" style="669" customWidth="1"/>
  </cols>
  <sheetData>
    <row r="1" spans="2:12" ht="18">
      <c r="B1" s="35"/>
      <c r="C1" s="33" t="str">
        <f>"T4A(P)-"&amp;yeartext&amp;" SLIPS DATA ENTRY FORM"</f>
        <v>T4A(P)-2007 SLIPS DATA ENTRY FORM</v>
      </c>
      <c r="D1" s="33"/>
      <c r="E1" s="339" t="s">
        <v>508</v>
      </c>
      <c r="F1" s="35"/>
      <c r="G1" s="35"/>
      <c r="H1" s="36"/>
      <c r="I1" s="35"/>
      <c r="J1" s="36" t="str">
        <f>yeartext</f>
        <v>2007</v>
      </c>
      <c r="K1" s="668"/>
      <c r="L1" s="1671" t="s">
        <v>1659</v>
      </c>
    </row>
    <row r="2" spans="2:12" ht="15.75">
      <c r="B2" s="35"/>
      <c r="C2" s="35"/>
      <c r="D2" s="37"/>
      <c r="E2" s="668"/>
      <c r="F2" s="35"/>
      <c r="G2" s="35"/>
      <c r="H2" s="35"/>
      <c r="I2" s="35"/>
      <c r="J2" s="35"/>
      <c r="K2" s="668"/>
      <c r="L2" s="1508"/>
    </row>
    <row r="3" spans="2:12" ht="18">
      <c r="B3" s="38"/>
      <c r="C3" s="38" t="s">
        <v>498</v>
      </c>
      <c r="D3" s="35"/>
      <c r="E3" s="37"/>
      <c r="F3" s="35"/>
      <c r="G3" s="35"/>
      <c r="H3" s="35"/>
      <c r="I3" s="35"/>
      <c r="J3" s="35"/>
      <c r="K3" s="668"/>
      <c r="L3" s="1508"/>
    </row>
    <row r="4" spans="2:12" ht="18">
      <c r="B4" s="38"/>
      <c r="C4" s="38" t="s">
        <v>499</v>
      </c>
      <c r="D4" s="35"/>
      <c r="E4" s="37"/>
      <c r="F4" s="35"/>
      <c r="G4" s="35"/>
      <c r="H4" s="35"/>
      <c r="I4" s="35"/>
      <c r="J4" s="35"/>
      <c r="K4" s="668"/>
      <c r="L4" s="1508"/>
    </row>
    <row r="5" spans="2:12" ht="18">
      <c r="B5" s="38"/>
      <c r="C5" s="38" t="s">
        <v>500</v>
      </c>
      <c r="D5" s="35"/>
      <c r="E5" s="37"/>
      <c r="F5" s="35"/>
      <c r="G5" s="35"/>
      <c r="H5" s="35"/>
      <c r="I5" s="35"/>
      <c r="J5" s="35"/>
      <c r="K5" s="668"/>
      <c r="L5" s="1508"/>
    </row>
    <row r="6" spans="2:12" ht="18">
      <c r="B6" s="38"/>
      <c r="C6" s="38" t="s">
        <v>501</v>
      </c>
      <c r="D6" s="35"/>
      <c r="E6" s="37"/>
      <c r="F6" s="35"/>
      <c r="G6" s="35"/>
      <c r="H6" s="35"/>
      <c r="I6" s="35"/>
      <c r="J6" s="35"/>
      <c r="K6" s="668"/>
      <c r="L6" s="1508"/>
    </row>
    <row r="7" spans="2:12" ht="18">
      <c r="B7" s="38"/>
      <c r="C7" s="38" t="s">
        <v>972</v>
      </c>
      <c r="D7" s="35"/>
      <c r="E7" s="37"/>
      <c r="F7" s="35"/>
      <c r="G7" s="35"/>
      <c r="H7" s="35"/>
      <c r="I7" s="35"/>
      <c r="J7" s="35"/>
      <c r="K7" s="668"/>
      <c r="L7" s="1508"/>
    </row>
    <row r="8" spans="2:12" ht="18">
      <c r="B8" s="38"/>
      <c r="C8" s="38" t="s">
        <v>502</v>
      </c>
      <c r="D8" s="35"/>
      <c r="E8" s="37"/>
      <c r="F8" s="35"/>
      <c r="G8" s="35"/>
      <c r="H8" s="35"/>
      <c r="I8" s="35"/>
      <c r="J8" s="35"/>
      <c r="K8" s="668"/>
      <c r="L8" s="1508"/>
    </row>
    <row r="9" spans="2:12" ht="18">
      <c r="B9" s="38"/>
      <c r="C9" s="38" t="s">
        <v>1011</v>
      </c>
      <c r="D9" s="35"/>
      <c r="E9" s="37"/>
      <c r="F9" s="35"/>
      <c r="G9" s="35"/>
      <c r="H9" s="35"/>
      <c r="I9" s="35"/>
      <c r="J9" s="35"/>
      <c r="K9" s="668"/>
      <c r="L9" s="1508"/>
    </row>
    <row r="10" spans="2:12" ht="18">
      <c r="B10" s="38"/>
      <c r="C10" s="38" t="s">
        <v>2586</v>
      </c>
      <c r="D10" s="35"/>
      <c r="E10" s="37"/>
      <c r="F10" s="35"/>
      <c r="G10" s="35"/>
      <c r="H10" s="35"/>
      <c r="I10" s="35"/>
      <c r="J10" s="35"/>
      <c r="K10" s="668"/>
      <c r="L10" s="1508"/>
    </row>
    <row r="11" spans="2:12" ht="18">
      <c r="B11" s="38"/>
      <c r="C11" s="38" t="s">
        <v>1526</v>
      </c>
      <c r="D11" s="35"/>
      <c r="E11" s="37"/>
      <c r="F11" s="35"/>
      <c r="G11" s="35"/>
      <c r="H11" s="35"/>
      <c r="I11" s="35"/>
      <c r="J11" s="35"/>
      <c r="K11" s="668"/>
      <c r="L11" s="1508"/>
    </row>
    <row r="12" spans="2:12" ht="18">
      <c r="B12" s="38"/>
      <c r="C12" s="38" t="s">
        <v>2574</v>
      </c>
      <c r="D12" s="35"/>
      <c r="E12" s="37"/>
      <c r="F12" s="35"/>
      <c r="G12" s="35"/>
      <c r="H12" s="35"/>
      <c r="I12" s="35"/>
      <c r="J12" s="35"/>
      <c r="K12" s="668"/>
      <c r="L12" s="1508"/>
    </row>
    <row r="13" spans="2:12" ht="18">
      <c r="B13" s="38"/>
      <c r="C13" s="38"/>
      <c r="D13" s="35"/>
      <c r="E13" s="37"/>
      <c r="F13" s="35"/>
      <c r="G13" s="35"/>
      <c r="H13" s="35"/>
      <c r="I13" s="35"/>
      <c r="J13" s="35"/>
      <c r="K13" s="668"/>
      <c r="L13" s="1508"/>
    </row>
    <row r="14" spans="2:12" ht="18">
      <c r="B14" s="38"/>
      <c r="C14" s="38"/>
      <c r="D14" s="35"/>
      <c r="E14" s="37"/>
      <c r="F14" s="35"/>
      <c r="G14" s="35"/>
      <c r="H14" s="35"/>
      <c r="I14" s="35"/>
      <c r="J14" s="35"/>
      <c r="K14" s="668"/>
      <c r="L14" s="1508"/>
    </row>
    <row r="15" spans="2:12" ht="48" customHeight="1">
      <c r="B15" s="41" t="s">
        <v>1529</v>
      </c>
      <c r="C15" s="41" t="s">
        <v>2180</v>
      </c>
      <c r="D15" s="41" t="s">
        <v>2587</v>
      </c>
      <c r="E15" s="41" t="s">
        <v>503</v>
      </c>
      <c r="F15" s="41" t="s">
        <v>504</v>
      </c>
      <c r="G15" s="41" t="s">
        <v>505</v>
      </c>
      <c r="H15" s="41" t="s">
        <v>506</v>
      </c>
      <c r="I15" s="41" t="s">
        <v>507</v>
      </c>
      <c r="J15" s="42" t="s">
        <v>2444</v>
      </c>
      <c r="K15" s="668"/>
      <c r="L15" s="1508"/>
    </row>
    <row r="16" spans="2:12" ht="18">
      <c r="B16" s="35"/>
      <c r="C16" s="38"/>
      <c r="D16" s="38"/>
      <c r="E16" s="37"/>
      <c r="F16" s="35"/>
      <c r="G16" s="35"/>
      <c r="H16" s="35"/>
      <c r="I16" s="35"/>
      <c r="J16" s="35"/>
      <c r="K16" s="668"/>
      <c r="L16" s="1508"/>
    </row>
    <row r="17" spans="2:12" ht="18">
      <c r="B17" s="965" t="s">
        <v>511</v>
      </c>
      <c r="C17" s="344" t="s">
        <v>510</v>
      </c>
      <c r="D17" s="330" t="s">
        <v>2449</v>
      </c>
      <c r="E17" s="345"/>
      <c r="F17" s="345"/>
      <c r="G17" s="345"/>
      <c r="H17" s="345"/>
      <c r="I17" s="345"/>
      <c r="J17" s="670">
        <f>SUM(E17:I17)</f>
        <v>0</v>
      </c>
      <c r="K17" s="668"/>
      <c r="L17" s="1508"/>
    </row>
    <row r="18" spans="2:12" ht="18">
      <c r="B18" s="35"/>
      <c r="C18" s="38"/>
      <c r="D18" s="330"/>
      <c r="E18" s="37"/>
      <c r="F18" s="35"/>
      <c r="G18" s="35"/>
      <c r="H18" s="37"/>
      <c r="I18" s="35"/>
      <c r="J18" s="35"/>
      <c r="K18" s="668"/>
      <c r="L18" s="1508"/>
    </row>
    <row r="19" spans="2:12" ht="18">
      <c r="B19" s="966" t="s">
        <v>512</v>
      </c>
      <c r="C19" s="344" t="s">
        <v>509</v>
      </c>
      <c r="D19" s="330" t="s">
        <v>2454</v>
      </c>
      <c r="E19" s="345"/>
      <c r="F19" s="345"/>
      <c r="G19" s="345"/>
      <c r="H19" s="345"/>
      <c r="I19" s="345"/>
      <c r="J19" s="670">
        <f>SUM(E19:I19)</f>
        <v>0</v>
      </c>
      <c r="K19" s="668"/>
      <c r="L19" s="1508"/>
    </row>
    <row r="20" spans="1:256" ht="18">
      <c r="A20" s="388"/>
      <c r="B20" s="33"/>
      <c r="C20" s="339"/>
      <c r="D20" s="330"/>
      <c r="E20" s="33"/>
      <c r="F20" s="33"/>
      <c r="G20" s="33"/>
      <c r="H20" s="33"/>
      <c r="I20" s="33"/>
      <c r="J20" s="33"/>
      <c r="K20" s="33"/>
      <c r="L20" s="1508"/>
      <c r="M20" s="388"/>
      <c r="O20" s="388"/>
      <c r="P20" s="388"/>
      <c r="Q20" s="388"/>
      <c r="R20" s="388"/>
      <c r="S20" s="388"/>
      <c r="T20" s="388"/>
      <c r="U20" s="388"/>
      <c r="V20" s="388"/>
      <c r="W20" s="388"/>
      <c r="X20" s="388"/>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s="33"/>
      <c r="IE20" s="33"/>
      <c r="IF20" s="33"/>
      <c r="IG20" s="33"/>
      <c r="IH20" s="33"/>
      <c r="II20" s="33"/>
      <c r="IJ20" s="33"/>
      <c r="IK20" s="33"/>
      <c r="IL20" s="33"/>
      <c r="IM20" s="33"/>
      <c r="IN20" s="33"/>
      <c r="IO20" s="33"/>
      <c r="IP20" s="33"/>
      <c r="IQ20" s="33"/>
      <c r="IR20" s="33"/>
      <c r="IS20" s="33"/>
      <c r="IT20" s="33"/>
      <c r="IU20" s="33"/>
      <c r="IV20" s="33"/>
    </row>
    <row r="21" spans="2:12" ht="18">
      <c r="B21" s="965" t="s">
        <v>513</v>
      </c>
      <c r="C21" s="344" t="s">
        <v>1678</v>
      </c>
      <c r="D21" s="330">
        <v>22</v>
      </c>
      <c r="E21" s="345"/>
      <c r="F21" s="345"/>
      <c r="G21" s="345"/>
      <c r="H21" s="345"/>
      <c r="I21" s="345"/>
      <c r="J21" s="670">
        <f>SUM(E21:I21)</f>
        <v>0</v>
      </c>
      <c r="K21" s="668"/>
      <c r="L21" s="1508"/>
    </row>
    <row r="22" spans="2:12" ht="18">
      <c r="B22" s="38"/>
      <c r="C22" s="38"/>
      <c r="D22" s="35"/>
      <c r="E22" s="37"/>
      <c r="F22" s="35"/>
      <c r="G22" s="35"/>
      <c r="H22" s="35"/>
      <c r="I22" s="35"/>
      <c r="J22" s="35"/>
      <c r="K22" s="668"/>
      <c r="L22" s="1508"/>
    </row>
    <row r="23" spans="2:12" ht="18.75" thickBot="1">
      <c r="B23" s="311"/>
      <c r="C23" s="312"/>
      <c r="D23" s="311"/>
      <c r="E23" s="313"/>
      <c r="F23" s="314"/>
      <c r="G23" s="314"/>
      <c r="H23" s="671"/>
      <c r="I23" s="314"/>
      <c r="J23" s="672"/>
      <c r="K23" s="673"/>
      <c r="L23" s="1508"/>
    </row>
    <row r="24" spans="2:12" ht="18">
      <c r="B24" s="46"/>
      <c r="C24" s="33" t="str">
        <f>"T4A(P)-"&amp;yeartext&amp;" GENERAL DATA ENTRY"</f>
        <v>T4A(P)-2007 GENERAL DATA ENTRY</v>
      </c>
      <c r="D24" s="33"/>
      <c r="E24" s="339" t="s">
        <v>1655</v>
      </c>
      <c r="F24" s="35"/>
      <c r="G24" s="35"/>
      <c r="H24" s="36"/>
      <c r="I24" s="35"/>
      <c r="J24" s="36" t="str">
        <f>yeartext</f>
        <v>2007</v>
      </c>
      <c r="K24" s="668"/>
      <c r="L24" s="1508"/>
    </row>
    <row r="25" spans="2:12" ht="18">
      <c r="B25" s="46"/>
      <c r="C25" s="49"/>
      <c r="D25" s="46"/>
      <c r="E25" s="51"/>
      <c r="F25" s="48"/>
      <c r="G25" s="48"/>
      <c r="H25" s="674"/>
      <c r="I25" s="48"/>
      <c r="J25" s="675"/>
      <c r="K25" s="668"/>
      <c r="L25" s="1508"/>
    </row>
    <row r="26" spans="2:12" ht="18">
      <c r="B26" s="46"/>
      <c r="C26" s="41" t="s">
        <v>1903</v>
      </c>
      <c r="D26" s="41" t="s">
        <v>1529</v>
      </c>
      <c r="E26" s="42" t="s">
        <v>1904</v>
      </c>
      <c r="F26" s="346"/>
      <c r="G26" s="357" t="s">
        <v>70</v>
      </c>
      <c r="H26" s="346"/>
      <c r="I26" s="346"/>
      <c r="J26" s="346"/>
      <c r="K26" s="668"/>
      <c r="L26" s="1508"/>
    </row>
    <row r="27" spans="2:12" ht="18">
      <c r="B27" s="46"/>
      <c r="C27" s="309" t="s">
        <v>1902</v>
      </c>
      <c r="D27" s="310" t="s">
        <v>1538</v>
      </c>
      <c r="E27" s="351">
        <f>J17</f>
        <v>0</v>
      </c>
      <c r="F27" s="346"/>
      <c r="G27" s="357" t="s">
        <v>71</v>
      </c>
      <c r="H27" s="346"/>
      <c r="I27" s="346"/>
      <c r="J27" s="346"/>
      <c r="K27" s="668"/>
      <c r="L27" s="1508"/>
    </row>
    <row r="28" spans="2:12" ht="18">
      <c r="B28" s="46"/>
      <c r="C28" s="309" t="s">
        <v>1902</v>
      </c>
      <c r="D28" s="310" t="s">
        <v>1537</v>
      </c>
      <c r="E28" s="351">
        <f>J19</f>
        <v>0</v>
      </c>
      <c r="F28" s="346"/>
      <c r="G28" s="48"/>
      <c r="H28" s="346"/>
      <c r="I28" s="346"/>
      <c r="J28" s="346"/>
      <c r="K28" s="668"/>
      <c r="L28" s="1508"/>
    </row>
    <row r="29" spans="2:12" ht="18">
      <c r="B29" s="46"/>
      <c r="C29" s="309" t="s">
        <v>1048</v>
      </c>
      <c r="D29" s="310" t="s">
        <v>2457</v>
      </c>
      <c r="E29" s="351">
        <f>J21</f>
        <v>0</v>
      </c>
      <c r="F29" s="346"/>
      <c r="G29" s="347" t="s">
        <v>2584</v>
      </c>
      <c r="H29" s="346"/>
      <c r="I29" s="346"/>
      <c r="J29" s="346"/>
      <c r="K29" s="668"/>
      <c r="L29" s="1508"/>
    </row>
    <row r="30" spans="2:12" ht="18">
      <c r="B30" s="46"/>
      <c r="C30" s="328"/>
      <c r="D30" s="329"/>
      <c r="E30" s="343"/>
      <c r="F30" s="346"/>
      <c r="G30" s="347" t="s">
        <v>2585</v>
      </c>
      <c r="H30" s="347"/>
      <c r="I30" s="347"/>
      <c r="J30" s="347"/>
      <c r="K30" s="668"/>
      <c r="L30" s="1508"/>
    </row>
    <row r="31" spans="2:12" ht="18">
      <c r="B31" s="46"/>
      <c r="C31" s="330"/>
      <c r="D31" s="46"/>
      <c r="E31" s="347"/>
      <c r="F31" s="346"/>
      <c r="G31" s="347"/>
      <c r="H31" s="347"/>
      <c r="I31" s="347"/>
      <c r="J31" s="347"/>
      <c r="K31" s="668"/>
      <c r="L31" s="1508"/>
    </row>
    <row r="32" spans="2:12" ht="18">
      <c r="B32" s="46"/>
      <c r="C32" s="330"/>
      <c r="D32" s="46"/>
      <c r="E32" s="347"/>
      <c r="F32" s="347"/>
      <c r="G32" s="347" t="s">
        <v>94</v>
      </c>
      <c r="H32" s="347"/>
      <c r="I32" s="347"/>
      <c r="J32" s="347"/>
      <c r="K32" s="668"/>
      <c r="L32" s="1508"/>
    </row>
    <row r="33" spans="2:12" ht="18">
      <c r="B33" s="46"/>
      <c r="C33" s="330"/>
      <c r="D33" s="46"/>
      <c r="E33" s="347"/>
      <c r="F33" s="347"/>
      <c r="G33" s="347" t="s">
        <v>69</v>
      </c>
      <c r="H33" s="347"/>
      <c r="I33" s="347"/>
      <c r="J33" s="347"/>
      <c r="K33" s="668"/>
      <c r="L33" s="1508"/>
    </row>
    <row r="34" spans="2:12" ht="18">
      <c r="B34" s="46"/>
      <c r="C34" s="49"/>
      <c r="D34" s="46"/>
      <c r="E34" s="51"/>
      <c r="F34" s="48"/>
      <c r="G34" s="48"/>
      <c r="H34" s="674"/>
      <c r="I34" s="48"/>
      <c r="J34" s="675"/>
      <c r="K34" s="668"/>
      <c r="L34" s="1508"/>
    </row>
    <row r="35" spans="2:12" ht="18">
      <c r="B35" s="46"/>
      <c r="C35" s="49"/>
      <c r="D35" s="46"/>
      <c r="E35" s="51"/>
      <c r="F35" s="48"/>
      <c r="G35" s="48"/>
      <c r="H35" s="674"/>
      <c r="I35" s="48"/>
      <c r="J35" s="675"/>
      <c r="K35" s="668"/>
      <c r="L35" s="1508"/>
    </row>
    <row r="36" spans="2:4" ht="15">
      <c r="B36" s="676"/>
      <c r="D36" s="55"/>
    </row>
    <row r="37" spans="2:4" ht="15">
      <c r="B37" s="676"/>
      <c r="D37" s="55"/>
    </row>
    <row r="38" spans="2:4" ht="15">
      <c r="B38" s="676"/>
      <c r="D38" s="55"/>
    </row>
    <row r="39" spans="2:4" ht="15">
      <c r="B39" s="676"/>
      <c r="D39" s="55"/>
    </row>
    <row r="40" spans="2:4" ht="15">
      <c r="B40" s="676"/>
      <c r="D40" s="55"/>
    </row>
    <row r="41" spans="2:4" ht="15">
      <c r="B41" s="676"/>
      <c r="D41" s="55"/>
    </row>
    <row r="42" spans="2:4" ht="15">
      <c r="B42" s="676"/>
      <c r="D42" s="55"/>
    </row>
    <row r="43" spans="2:4" ht="15">
      <c r="B43" s="676"/>
      <c r="D43" s="55"/>
    </row>
    <row r="44" spans="2:4" ht="15">
      <c r="B44" s="676"/>
      <c r="D44" s="55"/>
    </row>
    <row r="45" spans="2:4" ht="15">
      <c r="B45" s="676"/>
      <c r="D45" s="55"/>
    </row>
    <row r="46" spans="2:4" ht="15">
      <c r="B46" s="676"/>
      <c r="D46" s="55"/>
    </row>
    <row r="47" spans="2:4" ht="15">
      <c r="B47" s="676"/>
      <c r="D47" s="55"/>
    </row>
  </sheetData>
  <sheetProtection password="EC35" sheet="1" objects="1" scenarios="1"/>
  <mergeCells count="1">
    <mergeCell ref="L1:L35"/>
  </mergeCells>
  <hyperlinks>
    <hyperlink ref="L1:L35" location="'GO TO'!G10" display=" "/>
  </hyperlinks>
  <printOptions horizontalCentered="1"/>
  <pageMargins left="0" right="0" top="0" bottom="0" header="0.5" footer="0.5"/>
  <pageSetup fitToHeight="0" fitToWidth="1" horizontalDpi="600" verticalDpi="600" orientation="portrait" scale="66" r:id="rId1"/>
  <colBreaks count="1" manualBreakCount="1">
    <brk id="11" max="65535" man="1"/>
  </colBreaks>
  <ignoredErrors>
    <ignoredError sqref="D19 D17" numberStoredAsText="1"/>
  </ignoredErrors>
</worksheet>
</file>

<file path=xl/worksheets/sheet28.xml><?xml version="1.0" encoding="utf-8"?>
<worksheet xmlns="http://schemas.openxmlformats.org/spreadsheetml/2006/main" xmlns:r="http://schemas.openxmlformats.org/officeDocument/2006/relationships">
  <sheetPr codeName="Sheet211111">
    <pageSetUpPr fitToPage="1"/>
  </sheetPr>
  <dimension ref="B1:L51"/>
  <sheetViews>
    <sheetView showGridLines="0" zoomScale="70" zoomScaleNormal="70" workbookViewId="0" topLeftCell="A1">
      <selection activeCell="B2" sqref="B2"/>
    </sheetView>
  </sheetViews>
  <sheetFormatPr defaultColWidth="8.88671875" defaultRowHeight="15"/>
  <cols>
    <col min="1" max="1" width="1.77734375" style="669" customWidth="1"/>
    <col min="2" max="2" width="8.3359375" style="669" customWidth="1"/>
    <col min="3" max="3" width="34.77734375" style="669" customWidth="1"/>
    <col min="4" max="4" width="7.99609375" style="669" customWidth="1"/>
    <col min="5" max="10" width="12.21484375" style="669" customWidth="1"/>
    <col min="11" max="11" width="1.88671875" style="669" customWidth="1"/>
    <col min="12" max="16384" width="8.88671875" style="669" customWidth="1"/>
  </cols>
  <sheetData>
    <row r="1" spans="2:12" ht="18">
      <c r="B1" s="35"/>
      <c r="C1" s="33" t="str">
        <f>"T4A(OAS)-"&amp;yeartext&amp;" SLIPS DATA ENTRY FORM"</f>
        <v>T4A(OAS)-2007 SLIPS DATA ENTRY FORM</v>
      </c>
      <c r="D1" s="33"/>
      <c r="E1" s="339" t="s">
        <v>191</v>
      </c>
      <c r="F1" s="35"/>
      <c r="G1" s="35"/>
      <c r="H1" s="36"/>
      <c r="I1" s="35"/>
      <c r="J1" s="36" t="str">
        <f>yeartext</f>
        <v>2007</v>
      </c>
      <c r="K1" s="668"/>
      <c r="L1" s="1671" t="s">
        <v>1659</v>
      </c>
    </row>
    <row r="2" spans="2:12" ht="15.75">
      <c r="B2" s="35"/>
      <c r="C2" s="35"/>
      <c r="D2" s="37"/>
      <c r="E2" s="668"/>
      <c r="F2" s="35"/>
      <c r="G2" s="35"/>
      <c r="H2" s="35"/>
      <c r="I2" s="35"/>
      <c r="J2" s="35"/>
      <c r="K2" s="668"/>
      <c r="L2" s="1671"/>
    </row>
    <row r="3" spans="2:12" ht="18">
      <c r="B3" s="38"/>
      <c r="C3" s="38" t="s">
        <v>725</v>
      </c>
      <c r="D3" s="35"/>
      <c r="E3" s="37"/>
      <c r="F3" s="35"/>
      <c r="G3" s="35"/>
      <c r="H3" s="35"/>
      <c r="I3" s="35"/>
      <c r="J3" s="35"/>
      <c r="K3" s="668"/>
      <c r="L3" s="1671"/>
    </row>
    <row r="4" spans="2:12" ht="18">
      <c r="B4" s="38"/>
      <c r="C4" s="38" t="s">
        <v>687</v>
      </c>
      <c r="D4" s="35"/>
      <c r="E4" s="37"/>
      <c r="F4" s="35"/>
      <c r="G4" s="35"/>
      <c r="H4" s="35"/>
      <c r="I4" s="35"/>
      <c r="J4" s="35"/>
      <c r="K4" s="668"/>
      <c r="L4" s="1671"/>
    </row>
    <row r="5" spans="2:12" ht="18">
      <c r="B5" s="38"/>
      <c r="C5" s="38" t="s">
        <v>688</v>
      </c>
      <c r="D5" s="35"/>
      <c r="E5" s="37"/>
      <c r="F5" s="35"/>
      <c r="G5" s="35"/>
      <c r="H5" s="35"/>
      <c r="I5" s="35"/>
      <c r="J5" s="35"/>
      <c r="K5" s="668"/>
      <c r="L5" s="1671"/>
    </row>
    <row r="6" spans="2:12" ht="18">
      <c r="B6" s="38"/>
      <c r="C6" s="38" t="s">
        <v>971</v>
      </c>
      <c r="D6" s="35"/>
      <c r="E6" s="37"/>
      <c r="F6" s="35"/>
      <c r="G6" s="35"/>
      <c r="H6" s="35"/>
      <c r="I6" s="35"/>
      <c r="J6" s="35"/>
      <c r="K6" s="668"/>
      <c r="L6" s="1671"/>
    </row>
    <row r="7" spans="2:12" ht="18">
      <c r="B7" s="38"/>
      <c r="C7" s="38" t="s">
        <v>972</v>
      </c>
      <c r="D7" s="35"/>
      <c r="E7" s="37"/>
      <c r="F7" s="35"/>
      <c r="G7" s="35"/>
      <c r="H7" s="35"/>
      <c r="I7" s="35"/>
      <c r="J7" s="35"/>
      <c r="K7" s="668"/>
      <c r="L7" s="1671"/>
    </row>
    <row r="8" spans="2:12" ht="18">
      <c r="B8" s="38"/>
      <c r="C8" s="38" t="s">
        <v>1534</v>
      </c>
      <c r="D8" s="35"/>
      <c r="E8" s="37"/>
      <c r="F8" s="35"/>
      <c r="G8" s="35"/>
      <c r="H8" s="35"/>
      <c r="I8" s="35"/>
      <c r="J8" s="35"/>
      <c r="K8" s="668"/>
      <c r="L8" s="1671"/>
    </row>
    <row r="9" spans="2:12" ht="18">
      <c r="B9" s="38"/>
      <c r="C9" s="38" t="s">
        <v>2124</v>
      </c>
      <c r="D9" s="35"/>
      <c r="E9" s="37"/>
      <c r="F9" s="35"/>
      <c r="G9" s="35"/>
      <c r="H9" s="35"/>
      <c r="I9" s="35"/>
      <c r="J9" s="35"/>
      <c r="K9" s="668"/>
      <c r="L9" s="1671"/>
    </row>
    <row r="10" spans="2:12" ht="18">
      <c r="B10" s="38"/>
      <c r="C10" s="38" t="s">
        <v>973</v>
      </c>
      <c r="D10" s="35"/>
      <c r="E10" s="37"/>
      <c r="F10" s="35"/>
      <c r="G10" s="35"/>
      <c r="H10" s="35"/>
      <c r="I10" s="35"/>
      <c r="J10" s="35"/>
      <c r="K10" s="668"/>
      <c r="L10" s="1671"/>
    </row>
    <row r="11" spans="2:12" ht="18">
      <c r="B11" s="38"/>
      <c r="C11" s="38" t="s">
        <v>1526</v>
      </c>
      <c r="D11" s="35"/>
      <c r="E11" s="37"/>
      <c r="F11" s="35"/>
      <c r="G11" s="35"/>
      <c r="H11" s="35"/>
      <c r="I11" s="35"/>
      <c r="J11" s="35"/>
      <c r="K11" s="668"/>
      <c r="L11" s="1671"/>
    </row>
    <row r="12" spans="2:12" ht="18">
      <c r="B12" s="38"/>
      <c r="C12" s="38" t="s">
        <v>2574</v>
      </c>
      <c r="D12" s="35"/>
      <c r="E12" s="37"/>
      <c r="F12" s="35"/>
      <c r="G12" s="35"/>
      <c r="H12" s="35"/>
      <c r="I12" s="35"/>
      <c r="J12" s="35"/>
      <c r="K12" s="668"/>
      <c r="L12" s="1671"/>
    </row>
    <row r="13" spans="2:12" ht="18">
      <c r="B13" s="38"/>
      <c r="C13" s="38"/>
      <c r="D13" s="35"/>
      <c r="E13" s="37"/>
      <c r="F13" s="35"/>
      <c r="G13" s="35"/>
      <c r="H13" s="35"/>
      <c r="I13" s="35"/>
      <c r="J13" s="35"/>
      <c r="K13" s="668"/>
      <c r="L13" s="1671"/>
    </row>
    <row r="14" spans="2:12" ht="18">
      <c r="B14" s="38"/>
      <c r="C14" s="38"/>
      <c r="D14" s="35"/>
      <c r="E14" s="37"/>
      <c r="F14" s="35"/>
      <c r="G14" s="35"/>
      <c r="H14" s="35"/>
      <c r="I14" s="35"/>
      <c r="J14" s="35"/>
      <c r="K14" s="668"/>
      <c r="L14" s="1671"/>
    </row>
    <row r="15" spans="2:12" ht="54">
      <c r="B15" s="41" t="s">
        <v>1529</v>
      </c>
      <c r="C15" s="41" t="s">
        <v>2180</v>
      </c>
      <c r="D15" s="41" t="s">
        <v>2587</v>
      </c>
      <c r="E15" s="41" t="s">
        <v>1535</v>
      </c>
      <c r="F15" s="41" t="s">
        <v>760</v>
      </c>
      <c r="G15" s="41" t="s">
        <v>761</v>
      </c>
      <c r="H15" s="41" t="s">
        <v>762</v>
      </c>
      <c r="I15" s="41" t="s">
        <v>763</v>
      </c>
      <c r="J15" s="42" t="s">
        <v>2444</v>
      </c>
      <c r="K15" s="668"/>
      <c r="L15" s="1671"/>
    </row>
    <row r="16" spans="2:12" ht="18">
      <c r="B16" s="35"/>
      <c r="C16" s="38"/>
      <c r="D16" s="38"/>
      <c r="E16" s="37"/>
      <c r="F16" s="35"/>
      <c r="G16" s="35"/>
      <c r="H16" s="35"/>
      <c r="I16" s="35"/>
      <c r="J16" s="35"/>
      <c r="K16" s="668"/>
      <c r="L16" s="1671"/>
    </row>
    <row r="17" spans="2:12" ht="18">
      <c r="B17" s="46">
        <v>113</v>
      </c>
      <c r="C17" s="348" t="s">
        <v>539</v>
      </c>
      <c r="D17" s="330">
        <v>18</v>
      </c>
      <c r="E17" s="345"/>
      <c r="F17" s="345"/>
      <c r="G17" s="345"/>
      <c r="H17" s="345"/>
      <c r="I17" s="345"/>
      <c r="J17" s="670">
        <f>SUM(E17:I17)</f>
        <v>0</v>
      </c>
      <c r="K17" s="668"/>
      <c r="L17" s="1671"/>
    </row>
    <row r="18" spans="2:12" ht="18">
      <c r="B18" s="35"/>
      <c r="C18" s="38"/>
      <c r="D18" s="330"/>
      <c r="E18" s="37"/>
      <c r="F18" s="35"/>
      <c r="G18" s="35"/>
      <c r="H18" s="35"/>
      <c r="I18" s="35"/>
      <c r="J18" s="35"/>
      <c r="K18" s="668"/>
      <c r="L18" s="1671"/>
    </row>
    <row r="19" spans="2:12" ht="18">
      <c r="B19" s="46"/>
      <c r="C19" s="344" t="s">
        <v>540</v>
      </c>
      <c r="D19" s="330" t="s">
        <v>1911</v>
      </c>
      <c r="E19" s="345"/>
      <c r="F19" s="345"/>
      <c r="G19" s="345"/>
      <c r="H19" s="345"/>
      <c r="I19" s="345"/>
      <c r="J19" s="670">
        <f>SUM(E19:I19)</f>
        <v>0</v>
      </c>
      <c r="K19" s="668"/>
      <c r="L19" s="1671"/>
    </row>
    <row r="20" spans="2:12" ht="18">
      <c r="B20" s="35"/>
      <c r="C20" s="38"/>
      <c r="D20" s="344"/>
      <c r="E20" s="37"/>
      <c r="F20" s="35"/>
      <c r="G20" s="35"/>
      <c r="H20" s="35"/>
      <c r="I20" s="35"/>
      <c r="J20" s="35"/>
      <c r="K20" s="668"/>
      <c r="L20" s="1671"/>
    </row>
    <row r="21" spans="2:12" ht="18">
      <c r="B21" s="46" t="s">
        <v>163</v>
      </c>
      <c r="C21" s="344" t="s">
        <v>541</v>
      </c>
      <c r="D21" s="330">
        <v>20</v>
      </c>
      <c r="E21" s="345"/>
      <c r="F21" s="345"/>
      <c r="G21" s="345"/>
      <c r="H21" s="345"/>
      <c r="I21" s="345"/>
      <c r="J21" s="670">
        <f>SUM(E21:I21)</f>
        <v>0</v>
      </c>
      <c r="K21" s="668"/>
      <c r="L21" s="1671"/>
    </row>
    <row r="22" spans="2:12" ht="18">
      <c r="B22" s="35"/>
      <c r="C22" s="38"/>
      <c r="D22" s="344"/>
      <c r="E22" s="37"/>
      <c r="F22" s="35"/>
      <c r="G22" s="35"/>
      <c r="H22" s="35"/>
      <c r="I22" s="35"/>
      <c r="J22" s="35"/>
      <c r="K22" s="668"/>
      <c r="L22" s="1671"/>
    </row>
    <row r="23" spans="2:12" ht="18">
      <c r="B23" s="46" t="s">
        <v>2014</v>
      </c>
      <c r="C23" s="344" t="s">
        <v>542</v>
      </c>
      <c r="D23" s="330">
        <v>21</v>
      </c>
      <c r="E23" s="345"/>
      <c r="F23" s="345"/>
      <c r="G23" s="345"/>
      <c r="H23" s="345"/>
      <c r="I23" s="345"/>
      <c r="J23" s="670">
        <f>SUM(E23:I23)</f>
        <v>0</v>
      </c>
      <c r="K23" s="668"/>
      <c r="L23" s="1671"/>
    </row>
    <row r="24" spans="2:12" ht="18">
      <c r="B24" s="35"/>
      <c r="C24" s="38"/>
      <c r="D24" s="344"/>
      <c r="E24" s="33"/>
      <c r="F24" s="35"/>
      <c r="G24" s="35"/>
      <c r="H24" s="35"/>
      <c r="I24" s="35"/>
      <c r="J24" s="35"/>
      <c r="K24" s="668"/>
      <c r="L24" s="1671"/>
    </row>
    <row r="25" spans="2:12" ht="18">
      <c r="B25" s="46" t="s">
        <v>2457</v>
      </c>
      <c r="C25" s="344" t="s">
        <v>1528</v>
      </c>
      <c r="D25" s="330">
        <v>22</v>
      </c>
      <c r="E25" s="345"/>
      <c r="F25" s="345"/>
      <c r="G25" s="345"/>
      <c r="H25" s="345"/>
      <c r="I25" s="345"/>
      <c r="J25" s="670">
        <f>SUM(E25:I25)</f>
        <v>0</v>
      </c>
      <c r="K25" s="668"/>
      <c r="L25" s="1671"/>
    </row>
    <row r="26" spans="2:12" ht="18">
      <c r="B26" s="35"/>
      <c r="C26" s="38"/>
      <c r="D26" s="344"/>
      <c r="E26" s="33"/>
      <c r="F26" s="35"/>
      <c r="G26" s="35"/>
      <c r="H26" s="35"/>
      <c r="I26" s="35"/>
      <c r="J26" s="35"/>
      <c r="K26" s="668"/>
      <c r="L26" s="1671"/>
    </row>
    <row r="27" spans="2:12" ht="18">
      <c r="B27" s="46" t="s">
        <v>2457</v>
      </c>
      <c r="C27" s="344" t="s">
        <v>2013</v>
      </c>
      <c r="D27" s="330">
        <v>23</v>
      </c>
      <c r="E27" s="345"/>
      <c r="F27" s="345"/>
      <c r="G27" s="345"/>
      <c r="H27" s="345"/>
      <c r="I27" s="345"/>
      <c r="J27" s="670">
        <f>SUM(E27:I27)</f>
        <v>0</v>
      </c>
      <c r="K27" s="668"/>
      <c r="L27" s="1671"/>
    </row>
    <row r="28" spans="2:12" ht="18">
      <c r="B28" s="38"/>
      <c r="C28" s="38"/>
      <c r="D28" s="35"/>
      <c r="E28" s="37"/>
      <c r="F28" s="35"/>
      <c r="G28" s="35"/>
      <c r="H28" s="35"/>
      <c r="I28" s="35"/>
      <c r="J28" s="35"/>
      <c r="K28" s="668"/>
      <c r="L28" s="1671"/>
    </row>
    <row r="29" spans="2:12" ht="18.75" thickBot="1">
      <c r="B29" s="311"/>
      <c r="C29" s="312"/>
      <c r="D29" s="311"/>
      <c r="E29" s="313"/>
      <c r="F29" s="314"/>
      <c r="G29" s="314"/>
      <c r="H29" s="671"/>
      <c r="I29" s="314"/>
      <c r="J29" s="672"/>
      <c r="K29" s="673"/>
      <c r="L29" s="1671"/>
    </row>
    <row r="30" spans="2:12" ht="18">
      <c r="B30" s="46"/>
      <c r="C30" s="33" t="str">
        <f>"T4A(OAS)-"&amp;yeartext&amp;" GENERAL DATA ENTRY"</f>
        <v>T4A(OAS)-2007 GENERAL DATA ENTRY</v>
      </c>
      <c r="D30" s="33"/>
      <c r="E30" s="34" t="s">
        <v>191</v>
      </c>
      <c r="F30" s="35"/>
      <c r="G30" s="35"/>
      <c r="H30" s="36"/>
      <c r="I30" s="35"/>
      <c r="J30" s="36" t="str">
        <f>yeartext</f>
        <v>2007</v>
      </c>
      <c r="K30" s="668"/>
      <c r="L30" s="1671"/>
    </row>
    <row r="31" spans="2:12" ht="18">
      <c r="B31" s="46"/>
      <c r="C31" s="49"/>
      <c r="D31" s="46"/>
      <c r="E31" s="51"/>
      <c r="F31" s="48"/>
      <c r="G31" s="48"/>
      <c r="H31" s="674"/>
      <c r="I31" s="48"/>
      <c r="J31" s="675"/>
      <c r="K31" s="668"/>
      <c r="L31" s="1671"/>
    </row>
    <row r="32" spans="2:12" ht="18">
      <c r="B32" s="46"/>
      <c r="C32" s="41" t="s">
        <v>1903</v>
      </c>
      <c r="D32" s="41" t="s">
        <v>1529</v>
      </c>
      <c r="E32" s="41" t="s">
        <v>1904</v>
      </c>
      <c r="F32" s="346"/>
      <c r="G32" s="357" t="s">
        <v>70</v>
      </c>
      <c r="H32" s="346"/>
      <c r="I32" s="346"/>
      <c r="J32" s="346"/>
      <c r="K32" s="668"/>
      <c r="L32" s="1671"/>
    </row>
    <row r="33" spans="2:12" ht="18">
      <c r="B33" s="46"/>
      <c r="C33" s="315" t="s">
        <v>1902</v>
      </c>
      <c r="D33" s="316" t="s">
        <v>418</v>
      </c>
      <c r="E33" s="351">
        <f>J17</f>
        <v>0</v>
      </c>
      <c r="F33" s="347"/>
      <c r="G33" s="357" t="s">
        <v>71</v>
      </c>
      <c r="H33" s="347"/>
      <c r="I33" s="347"/>
      <c r="J33" s="347"/>
      <c r="K33" s="668"/>
      <c r="L33" s="1671"/>
    </row>
    <row r="34" spans="2:12" ht="18">
      <c r="B34" s="46"/>
      <c r="C34" s="309" t="s">
        <v>1902</v>
      </c>
      <c r="D34" s="310" t="s">
        <v>159</v>
      </c>
      <c r="E34" s="351">
        <f>IF(J23&lt;0,0,J23)</f>
        <v>0</v>
      </c>
      <c r="F34" s="347"/>
      <c r="G34" s="357"/>
      <c r="H34" s="347"/>
      <c r="I34" s="347"/>
      <c r="J34" s="347"/>
      <c r="K34" s="668"/>
      <c r="L34" s="1671"/>
    </row>
    <row r="35" spans="2:12" ht="18">
      <c r="B35" s="46"/>
      <c r="C35" s="309" t="s">
        <v>1906</v>
      </c>
      <c r="D35" s="310" t="s">
        <v>163</v>
      </c>
      <c r="E35" s="351">
        <f>J21</f>
        <v>0</v>
      </c>
      <c r="F35" s="347"/>
      <c r="G35" s="347" t="s">
        <v>2584</v>
      </c>
      <c r="H35" s="347"/>
      <c r="I35" s="347"/>
      <c r="J35" s="347"/>
      <c r="K35" s="668"/>
      <c r="L35" s="1671"/>
    </row>
    <row r="36" spans="2:12" ht="18">
      <c r="B36" s="46"/>
      <c r="C36" s="309" t="s">
        <v>1906</v>
      </c>
      <c r="D36" s="310" t="s">
        <v>164</v>
      </c>
      <c r="E36" s="351">
        <f>J23</f>
        <v>0</v>
      </c>
      <c r="F36" s="347"/>
      <c r="G36" s="347" t="s">
        <v>2585</v>
      </c>
      <c r="H36" s="347"/>
      <c r="I36" s="347"/>
      <c r="J36" s="347"/>
      <c r="K36" s="668"/>
      <c r="L36" s="1671"/>
    </row>
    <row r="37" spans="2:12" ht="18">
      <c r="B37" s="46"/>
      <c r="C37" s="309" t="s">
        <v>1048</v>
      </c>
      <c r="D37" s="310" t="s">
        <v>2457</v>
      </c>
      <c r="E37" s="351">
        <f>J25+J27</f>
        <v>0</v>
      </c>
      <c r="F37" s="347"/>
      <c r="G37" s="347"/>
      <c r="H37" s="347"/>
      <c r="I37" s="347"/>
      <c r="J37" s="347"/>
      <c r="K37" s="668"/>
      <c r="L37" s="1671"/>
    </row>
    <row r="38" spans="2:12" ht="18">
      <c r="B38" s="46"/>
      <c r="C38" s="328"/>
      <c r="D38" s="329"/>
      <c r="E38" s="343"/>
      <c r="F38" s="347"/>
      <c r="G38" s="347" t="s">
        <v>94</v>
      </c>
      <c r="H38" s="347"/>
      <c r="I38" s="347"/>
      <c r="J38" s="347"/>
      <c r="K38" s="668"/>
      <c r="L38" s="1671"/>
    </row>
    <row r="39" spans="2:12" ht="18">
      <c r="B39" s="46"/>
      <c r="C39" s="49"/>
      <c r="D39" s="46"/>
      <c r="E39" s="51"/>
      <c r="F39" s="48"/>
      <c r="G39" s="347" t="s">
        <v>69</v>
      </c>
      <c r="H39" s="674"/>
      <c r="I39" s="48"/>
      <c r="J39" s="675"/>
      <c r="K39" s="668"/>
      <c r="L39" s="1671"/>
    </row>
    <row r="40" spans="2:4" ht="15">
      <c r="B40" s="676"/>
      <c r="D40" s="55"/>
    </row>
    <row r="41" spans="2:4" ht="15">
      <c r="B41" s="676"/>
      <c r="D41" s="55"/>
    </row>
    <row r="42" spans="2:4" ht="15">
      <c r="B42" s="676"/>
      <c r="D42" s="55"/>
    </row>
    <row r="43" spans="2:4" ht="15">
      <c r="B43" s="676"/>
      <c r="D43" s="55"/>
    </row>
    <row r="44" spans="2:4" ht="15">
      <c r="B44" s="676"/>
      <c r="D44" s="55"/>
    </row>
    <row r="45" spans="2:4" ht="15">
      <c r="B45" s="676"/>
      <c r="D45" s="55"/>
    </row>
    <row r="46" spans="2:4" ht="15">
      <c r="B46" s="676"/>
      <c r="D46" s="55"/>
    </row>
    <row r="47" spans="2:4" ht="15">
      <c r="B47" s="676"/>
      <c r="D47" s="55"/>
    </row>
    <row r="48" spans="2:4" ht="15">
      <c r="B48" s="676"/>
      <c r="D48" s="55"/>
    </row>
    <row r="49" spans="2:4" ht="15">
      <c r="B49" s="676"/>
      <c r="D49" s="55"/>
    </row>
    <row r="50" spans="2:4" ht="15">
      <c r="B50" s="676"/>
      <c r="D50" s="55"/>
    </row>
    <row r="51" spans="2:4" ht="15">
      <c r="B51" s="676"/>
      <c r="D51" s="55"/>
    </row>
  </sheetData>
  <sheetProtection password="EC35" sheet="1" objects="1" scenarios="1"/>
  <mergeCells count="1">
    <mergeCell ref="L1:L39"/>
  </mergeCells>
  <hyperlinks>
    <hyperlink ref="L1:L39" location="'GO TO'!G9" display=" "/>
  </hyperlinks>
  <printOptions horizontalCentered="1"/>
  <pageMargins left="0" right="0" top="0" bottom="0" header="0.5" footer="0.5"/>
  <pageSetup fitToHeight="0" fitToWidth="1" horizontalDpi="600" verticalDpi="600" orientation="portrait" scale="66" r:id="rId1"/>
  <ignoredErrors>
    <ignoredError sqref="D19" numberStoredAsText="1"/>
  </ignoredErrors>
</worksheet>
</file>

<file path=xl/worksheets/sheet29.xml><?xml version="1.0" encoding="utf-8"?>
<worksheet xmlns="http://schemas.openxmlformats.org/spreadsheetml/2006/main" xmlns:r="http://schemas.openxmlformats.org/officeDocument/2006/relationships">
  <sheetPr codeName="Sheet2111111">
    <pageSetUpPr fitToPage="1"/>
  </sheetPr>
  <dimension ref="B1:L95"/>
  <sheetViews>
    <sheetView showGridLines="0" zoomScale="70" zoomScaleNormal="70" workbookViewId="0" topLeftCell="A1">
      <selection activeCell="B2" sqref="B2"/>
    </sheetView>
  </sheetViews>
  <sheetFormatPr defaultColWidth="8.88671875" defaultRowHeight="15"/>
  <cols>
    <col min="1" max="1" width="1.77734375" style="669" customWidth="1"/>
    <col min="2" max="2" width="8.3359375" style="669" customWidth="1"/>
    <col min="3" max="3" width="34.77734375" style="669" customWidth="1"/>
    <col min="4" max="4" width="7.99609375" style="669" customWidth="1"/>
    <col min="5" max="10" width="12.21484375" style="669" customWidth="1"/>
    <col min="11" max="11" width="1.88671875" style="669" customWidth="1"/>
    <col min="12" max="12" width="10.77734375" style="669" customWidth="1"/>
    <col min="13" max="16384" width="8.88671875" style="669" customWidth="1"/>
  </cols>
  <sheetData>
    <row r="1" spans="2:12" ht="18">
      <c r="B1" s="35"/>
      <c r="C1" s="33" t="str">
        <f>"T4E-"&amp;yeartext&amp;" SLIPS DATA ENTRY FORM"</f>
        <v>T4E-2007 SLIPS DATA ENTRY FORM</v>
      </c>
      <c r="D1" s="33"/>
      <c r="E1" s="339" t="s">
        <v>765</v>
      </c>
      <c r="F1" s="35"/>
      <c r="G1" s="35"/>
      <c r="H1" s="36"/>
      <c r="I1" s="35"/>
      <c r="J1" s="36" t="str">
        <f>yeartext</f>
        <v>2007</v>
      </c>
      <c r="K1" s="668"/>
      <c r="L1" s="1671" t="s">
        <v>1659</v>
      </c>
    </row>
    <row r="2" spans="2:12" ht="15.75">
      <c r="B2" s="35"/>
      <c r="C2" s="35"/>
      <c r="D2" s="37"/>
      <c r="E2" s="668"/>
      <c r="F2" s="35"/>
      <c r="G2" s="35"/>
      <c r="H2" s="35"/>
      <c r="I2" s="35"/>
      <c r="J2" s="35"/>
      <c r="K2" s="668"/>
      <c r="L2" s="1671"/>
    </row>
    <row r="3" spans="2:12" ht="18">
      <c r="B3" s="38"/>
      <c r="C3" s="38" t="s">
        <v>192</v>
      </c>
      <c r="D3" s="35"/>
      <c r="E3" s="37"/>
      <c r="F3" s="35"/>
      <c r="G3" s="35"/>
      <c r="H3" s="35"/>
      <c r="I3" s="35"/>
      <c r="J3" s="35"/>
      <c r="K3" s="668"/>
      <c r="L3" s="1671"/>
    </row>
    <row r="4" spans="2:12" ht="18">
      <c r="B4" s="38"/>
      <c r="C4" s="38" t="s">
        <v>193</v>
      </c>
      <c r="D4" s="35"/>
      <c r="E4" s="37"/>
      <c r="F4" s="35"/>
      <c r="G4" s="35"/>
      <c r="H4" s="35"/>
      <c r="I4" s="35"/>
      <c r="J4" s="35"/>
      <c r="K4" s="668"/>
      <c r="L4" s="1671"/>
    </row>
    <row r="5" spans="2:12" ht="18">
      <c r="B5" s="38"/>
      <c r="C5" s="38" t="s">
        <v>1242</v>
      </c>
      <c r="D5" s="35"/>
      <c r="E5" s="37"/>
      <c r="F5" s="35"/>
      <c r="G5" s="35"/>
      <c r="H5" s="35"/>
      <c r="I5" s="35"/>
      <c r="J5" s="35"/>
      <c r="K5" s="668"/>
      <c r="L5" s="1671"/>
    </row>
    <row r="6" spans="2:12" ht="18">
      <c r="B6" s="38"/>
      <c r="C6" s="38" t="s">
        <v>726</v>
      </c>
      <c r="D6" s="35"/>
      <c r="E6" s="37"/>
      <c r="F6" s="35"/>
      <c r="G6" s="35"/>
      <c r="H6" s="35"/>
      <c r="I6" s="35"/>
      <c r="J6" s="35"/>
      <c r="K6" s="668"/>
      <c r="L6" s="1671"/>
    </row>
    <row r="7" spans="2:12" ht="18">
      <c r="B7" s="38"/>
      <c r="C7" s="38" t="s">
        <v>972</v>
      </c>
      <c r="D7" s="35"/>
      <c r="E7" s="37"/>
      <c r="F7" s="35"/>
      <c r="G7" s="35"/>
      <c r="H7" s="35"/>
      <c r="I7" s="35"/>
      <c r="J7" s="35"/>
      <c r="K7" s="668"/>
      <c r="L7" s="1671"/>
    </row>
    <row r="8" spans="2:12" ht="18">
      <c r="B8" s="38"/>
      <c r="C8" s="38" t="s">
        <v>819</v>
      </c>
      <c r="D8" s="35"/>
      <c r="E8" s="37"/>
      <c r="F8" s="35"/>
      <c r="G8" s="35"/>
      <c r="H8" s="35"/>
      <c r="I8" s="35"/>
      <c r="J8" s="35"/>
      <c r="K8" s="668"/>
      <c r="L8" s="1671"/>
    </row>
    <row r="9" spans="2:12" ht="18">
      <c r="B9" s="38"/>
      <c r="C9" s="38" t="s">
        <v>1423</v>
      </c>
      <c r="D9" s="35"/>
      <c r="E9" s="37"/>
      <c r="F9" s="35"/>
      <c r="G9" s="35"/>
      <c r="H9" s="35"/>
      <c r="I9" s="35"/>
      <c r="J9" s="35"/>
      <c r="K9" s="668"/>
      <c r="L9" s="1671"/>
    </row>
    <row r="10" spans="2:12" ht="18">
      <c r="B10" s="38"/>
      <c r="C10" s="38" t="s">
        <v>696</v>
      </c>
      <c r="D10" s="35"/>
      <c r="E10" s="37"/>
      <c r="F10" s="35"/>
      <c r="G10" s="35"/>
      <c r="H10" s="35"/>
      <c r="I10" s="35"/>
      <c r="J10" s="35"/>
      <c r="K10" s="668"/>
      <c r="L10" s="1671"/>
    </row>
    <row r="11" spans="2:12" ht="18">
      <c r="B11" s="38"/>
      <c r="C11" s="38" t="s">
        <v>1526</v>
      </c>
      <c r="D11" s="35"/>
      <c r="E11" s="37"/>
      <c r="F11" s="35"/>
      <c r="G11" s="35"/>
      <c r="H11" s="35"/>
      <c r="I11" s="35"/>
      <c r="J11" s="35"/>
      <c r="K11" s="668"/>
      <c r="L11" s="1671"/>
    </row>
    <row r="12" spans="2:12" ht="18">
      <c r="B12" s="38"/>
      <c r="C12" s="38" t="s">
        <v>2574</v>
      </c>
      <c r="D12" s="35"/>
      <c r="E12" s="37"/>
      <c r="F12" s="35"/>
      <c r="G12" s="35"/>
      <c r="H12" s="35"/>
      <c r="I12" s="35"/>
      <c r="J12" s="35"/>
      <c r="K12" s="668"/>
      <c r="L12" s="1671"/>
    </row>
    <row r="13" spans="2:12" ht="18">
      <c r="B13" s="38"/>
      <c r="C13" s="38"/>
      <c r="D13" s="35"/>
      <c r="E13" s="37"/>
      <c r="F13" s="35"/>
      <c r="G13" s="35"/>
      <c r="H13" s="35"/>
      <c r="I13" s="35"/>
      <c r="J13" s="35"/>
      <c r="K13" s="668"/>
      <c r="L13" s="1671"/>
    </row>
    <row r="14" spans="2:12" ht="18">
      <c r="B14" s="38"/>
      <c r="C14" s="38"/>
      <c r="D14" s="35"/>
      <c r="E14" s="37"/>
      <c r="F14" s="35"/>
      <c r="G14" s="35"/>
      <c r="H14" s="35"/>
      <c r="I14" s="35"/>
      <c r="J14" s="35"/>
      <c r="K14" s="668"/>
      <c r="L14" s="1671"/>
    </row>
    <row r="15" spans="2:12" ht="36">
      <c r="B15" s="41" t="s">
        <v>1529</v>
      </c>
      <c r="C15" s="41" t="s">
        <v>2180</v>
      </c>
      <c r="D15" s="41" t="s">
        <v>2587</v>
      </c>
      <c r="E15" s="41" t="s">
        <v>820</v>
      </c>
      <c r="F15" s="41" t="s">
        <v>821</v>
      </c>
      <c r="G15" s="41" t="s">
        <v>822</v>
      </c>
      <c r="H15" s="41" t="s">
        <v>823</v>
      </c>
      <c r="I15" s="41" t="s">
        <v>824</v>
      </c>
      <c r="J15" s="42" t="s">
        <v>2444</v>
      </c>
      <c r="K15" s="668"/>
      <c r="L15" s="1671"/>
    </row>
    <row r="16" spans="2:12" ht="18">
      <c r="B16" s="35"/>
      <c r="C16" s="38"/>
      <c r="D16" s="38"/>
      <c r="E16" s="37"/>
      <c r="F16" s="35"/>
      <c r="G16" s="35"/>
      <c r="H16" s="35"/>
      <c r="I16" s="35"/>
      <c r="J16" s="35"/>
      <c r="K16" s="668"/>
      <c r="L16" s="1671"/>
    </row>
    <row r="17" spans="2:12" ht="18">
      <c r="B17" s="46"/>
      <c r="C17" s="348" t="s">
        <v>1306</v>
      </c>
      <c r="D17" s="330" t="s">
        <v>64</v>
      </c>
      <c r="E17" s="354"/>
      <c r="F17" s="354"/>
      <c r="G17" s="354"/>
      <c r="H17" s="354"/>
      <c r="I17" s="354"/>
      <c r="J17" s="692">
        <f>MAX(0,E17,F17,G17,H17,I17)</f>
        <v>0</v>
      </c>
      <c r="K17" s="668"/>
      <c r="L17" s="1671"/>
    </row>
    <row r="18" spans="2:12" ht="18">
      <c r="B18" s="35"/>
      <c r="C18" s="38"/>
      <c r="D18" s="330"/>
      <c r="E18" s="37"/>
      <c r="F18" s="35"/>
      <c r="G18" s="35"/>
      <c r="H18" s="35"/>
      <c r="I18" s="35"/>
      <c r="J18" s="35"/>
      <c r="K18" s="668"/>
      <c r="L18" s="1671"/>
    </row>
    <row r="19" spans="2:12" ht="18">
      <c r="B19" s="46" t="s">
        <v>419</v>
      </c>
      <c r="C19" s="344" t="s">
        <v>1307</v>
      </c>
      <c r="D19" s="330" t="s">
        <v>2447</v>
      </c>
      <c r="E19" s="345"/>
      <c r="F19" s="345"/>
      <c r="G19" s="345"/>
      <c r="H19" s="345"/>
      <c r="I19" s="345"/>
      <c r="J19" s="670">
        <f>SUM(E19:I19)</f>
        <v>0</v>
      </c>
      <c r="K19" s="668"/>
      <c r="L19" s="1671"/>
    </row>
    <row r="20" spans="2:12" ht="18">
      <c r="B20" s="46"/>
      <c r="C20" s="344"/>
      <c r="D20" s="330"/>
      <c r="E20" s="37"/>
      <c r="F20" s="35"/>
      <c r="G20" s="35"/>
      <c r="H20" s="35"/>
      <c r="I20" s="35"/>
      <c r="J20" s="35"/>
      <c r="K20" s="668"/>
      <c r="L20" s="1671"/>
    </row>
    <row r="21" spans="2:12" ht="18">
      <c r="B21" s="46"/>
      <c r="C21" s="344" t="s">
        <v>1308</v>
      </c>
      <c r="D21" s="330" t="s">
        <v>1915</v>
      </c>
      <c r="E21" s="345"/>
      <c r="F21" s="345"/>
      <c r="G21" s="345"/>
      <c r="H21" s="345"/>
      <c r="I21" s="345"/>
      <c r="J21" s="670">
        <f>SUM(E21:I21)</f>
        <v>0</v>
      </c>
      <c r="K21" s="668"/>
      <c r="L21" s="1671"/>
    </row>
    <row r="22" spans="2:12" ht="18">
      <c r="B22" s="35"/>
      <c r="C22" s="38"/>
      <c r="D22" s="344"/>
      <c r="E22" s="33"/>
      <c r="F22" s="35"/>
      <c r="G22" s="35"/>
      <c r="H22" s="35"/>
      <c r="I22" s="35"/>
      <c r="J22" s="35"/>
      <c r="K22" s="668"/>
      <c r="L22" s="1671"/>
    </row>
    <row r="23" spans="2:12" ht="18">
      <c r="B23" s="46"/>
      <c r="C23" s="344" t="s">
        <v>2237</v>
      </c>
      <c r="D23" s="330" t="s">
        <v>2451</v>
      </c>
      <c r="E23" s="345"/>
      <c r="F23" s="345"/>
      <c r="G23" s="345"/>
      <c r="H23" s="345"/>
      <c r="I23" s="345"/>
      <c r="J23" s="670">
        <f>SUM(E23:I23)</f>
        <v>0</v>
      </c>
      <c r="K23" s="668"/>
      <c r="L23" s="1671"/>
    </row>
    <row r="24" spans="2:12" ht="18">
      <c r="B24" s="35"/>
      <c r="C24" s="344" t="s">
        <v>2238</v>
      </c>
      <c r="D24" s="344"/>
      <c r="E24" s="33"/>
      <c r="F24" s="35"/>
      <c r="G24" s="35"/>
      <c r="H24" s="35"/>
      <c r="I24" s="35"/>
      <c r="J24" s="35"/>
      <c r="K24" s="668"/>
      <c r="L24" s="1671"/>
    </row>
    <row r="25" spans="2:12" ht="18">
      <c r="B25" s="35"/>
      <c r="C25" s="344" t="s">
        <v>468</v>
      </c>
      <c r="D25" s="330" t="s">
        <v>2452</v>
      </c>
      <c r="E25" s="345"/>
      <c r="F25" s="345"/>
      <c r="G25" s="345"/>
      <c r="H25" s="345"/>
      <c r="I25" s="345"/>
      <c r="J25" s="670">
        <f>SUM(E25:I25)</f>
        <v>0</v>
      </c>
      <c r="K25" s="668"/>
      <c r="L25" s="1671"/>
    </row>
    <row r="26" spans="2:12" ht="18">
      <c r="B26" s="35"/>
      <c r="C26" s="344"/>
      <c r="D26" s="344"/>
      <c r="E26" s="33"/>
      <c r="F26" s="35"/>
      <c r="G26" s="35"/>
      <c r="H26" s="35"/>
      <c r="I26" s="35"/>
      <c r="J26" s="35"/>
      <c r="K26" s="668"/>
      <c r="L26" s="1671"/>
    </row>
    <row r="27" spans="2:12" ht="18">
      <c r="B27" s="46"/>
      <c r="C27" s="348" t="s">
        <v>993</v>
      </c>
      <c r="D27" s="330" t="s">
        <v>2454</v>
      </c>
      <c r="E27" s="345"/>
      <c r="F27" s="345"/>
      <c r="G27" s="345"/>
      <c r="H27" s="345"/>
      <c r="I27" s="345"/>
      <c r="J27" s="670">
        <f>SUM(E27:I27)</f>
        <v>0</v>
      </c>
      <c r="K27" s="668"/>
      <c r="L27" s="1671"/>
    </row>
    <row r="28" spans="2:12" ht="18">
      <c r="B28" s="35"/>
      <c r="C28" s="344"/>
      <c r="D28" s="344"/>
      <c r="E28" s="33"/>
      <c r="F28" s="35"/>
      <c r="G28" s="35"/>
      <c r="H28" s="35"/>
      <c r="I28" s="35"/>
      <c r="J28" s="35"/>
      <c r="K28" s="668"/>
      <c r="L28" s="1671"/>
    </row>
    <row r="29" spans="2:12" ht="18">
      <c r="B29" s="46" t="s">
        <v>992</v>
      </c>
      <c r="C29" s="348" t="s">
        <v>994</v>
      </c>
      <c r="D29" s="330" t="s">
        <v>1916</v>
      </c>
      <c r="E29" s="345"/>
      <c r="F29" s="345"/>
      <c r="G29" s="345"/>
      <c r="H29" s="345"/>
      <c r="I29" s="345"/>
      <c r="J29" s="670">
        <f>SUM(E29:I29)</f>
        <v>0</v>
      </c>
      <c r="K29" s="668"/>
      <c r="L29" s="1671"/>
    </row>
    <row r="30" spans="2:12" ht="18">
      <c r="B30" s="35"/>
      <c r="C30" s="344"/>
      <c r="D30" s="344"/>
      <c r="E30" s="33"/>
      <c r="F30" s="35"/>
      <c r="G30" s="35"/>
      <c r="H30" s="35"/>
      <c r="I30" s="35"/>
      <c r="J30" s="35"/>
      <c r="K30" s="668"/>
      <c r="L30" s="1671"/>
    </row>
    <row r="31" spans="2:12" ht="18">
      <c r="B31" s="46" t="s">
        <v>2457</v>
      </c>
      <c r="C31" s="348" t="s">
        <v>2239</v>
      </c>
      <c r="D31" s="330">
        <v>22</v>
      </c>
      <c r="E31" s="345"/>
      <c r="F31" s="345"/>
      <c r="G31" s="345"/>
      <c r="H31" s="345"/>
      <c r="I31" s="345"/>
      <c r="J31" s="670">
        <f>SUM(E31:I31)</f>
        <v>0</v>
      </c>
      <c r="K31" s="668"/>
      <c r="L31" s="1671"/>
    </row>
    <row r="32" spans="2:12" ht="18">
      <c r="B32" s="35"/>
      <c r="C32" s="38"/>
      <c r="D32" s="330"/>
      <c r="E32" s="37"/>
      <c r="F32" s="35"/>
      <c r="G32" s="35"/>
      <c r="H32" s="35"/>
      <c r="I32" s="35"/>
      <c r="J32" s="35"/>
      <c r="K32" s="668"/>
      <c r="L32" s="1671"/>
    </row>
    <row r="33" spans="2:12" ht="18">
      <c r="B33" s="46" t="s">
        <v>2457</v>
      </c>
      <c r="C33" s="344" t="s">
        <v>2013</v>
      </c>
      <c r="D33" s="330">
        <v>23</v>
      </c>
      <c r="E33" s="345"/>
      <c r="F33" s="345"/>
      <c r="G33" s="345"/>
      <c r="H33" s="345"/>
      <c r="I33" s="345"/>
      <c r="J33" s="670">
        <f>SUM(E33:I33)</f>
        <v>0</v>
      </c>
      <c r="K33" s="668"/>
      <c r="L33" s="1671"/>
    </row>
    <row r="34" spans="2:12" ht="18">
      <c r="B34" s="35"/>
      <c r="C34" s="38"/>
      <c r="D34" s="344"/>
      <c r="E34" s="37"/>
      <c r="F34" s="35"/>
      <c r="G34" s="35"/>
      <c r="H34" s="35"/>
      <c r="I34" s="35"/>
      <c r="J34" s="35"/>
      <c r="K34" s="668"/>
      <c r="L34" s="1671"/>
    </row>
    <row r="35" spans="2:12" ht="18">
      <c r="B35" s="46" t="s">
        <v>2457</v>
      </c>
      <c r="C35" s="344" t="s">
        <v>964</v>
      </c>
      <c r="D35" s="330">
        <v>24</v>
      </c>
      <c r="E35" s="345"/>
      <c r="F35" s="345"/>
      <c r="G35" s="345"/>
      <c r="H35" s="345"/>
      <c r="I35" s="345"/>
      <c r="J35" s="670">
        <f>SUM(E35:I35)</f>
        <v>0</v>
      </c>
      <c r="K35" s="668"/>
      <c r="L35" s="1671"/>
    </row>
    <row r="36" spans="2:12" ht="18">
      <c r="B36" s="33"/>
      <c r="C36" s="33"/>
      <c r="D36" s="33"/>
      <c r="E36" s="33"/>
      <c r="F36" s="33"/>
      <c r="G36" s="33"/>
      <c r="H36" s="33"/>
      <c r="I36" s="33"/>
      <c r="J36" s="33"/>
      <c r="K36" s="668"/>
      <c r="L36" s="1671"/>
    </row>
    <row r="37" spans="2:12" ht="18">
      <c r="B37" s="46"/>
      <c r="C37" s="344" t="s">
        <v>482</v>
      </c>
      <c r="D37" s="330">
        <v>26</v>
      </c>
      <c r="E37" s="345"/>
      <c r="F37" s="345"/>
      <c r="G37" s="345"/>
      <c r="H37" s="345"/>
      <c r="I37" s="345"/>
      <c r="J37" s="670">
        <f>SUM(E37:I37)</f>
        <v>0</v>
      </c>
      <c r="K37" s="668"/>
      <c r="L37" s="1671"/>
    </row>
    <row r="38" spans="2:12" ht="18">
      <c r="B38" s="35"/>
      <c r="C38" s="38"/>
      <c r="D38" s="344"/>
      <c r="E38" s="33"/>
      <c r="F38" s="35"/>
      <c r="G38" s="35"/>
      <c r="H38" s="35"/>
      <c r="I38" s="35"/>
      <c r="J38" s="35"/>
      <c r="K38" s="668"/>
      <c r="L38" s="1671"/>
    </row>
    <row r="39" spans="2:12" ht="18">
      <c r="B39" s="46"/>
      <c r="C39" s="344" t="s">
        <v>1460</v>
      </c>
      <c r="D39" s="330" t="s">
        <v>1805</v>
      </c>
      <c r="E39" s="345"/>
      <c r="F39" s="345"/>
      <c r="G39" s="345"/>
      <c r="H39" s="345"/>
      <c r="I39" s="345"/>
      <c r="J39" s="670">
        <f>SUM(E39:I39)</f>
        <v>0</v>
      </c>
      <c r="K39" s="668"/>
      <c r="L39" s="1671"/>
    </row>
    <row r="40" spans="2:12" ht="18">
      <c r="B40" s="35"/>
      <c r="C40" s="38"/>
      <c r="D40" s="344"/>
      <c r="E40" s="33"/>
      <c r="F40" s="35"/>
      <c r="G40" s="35"/>
      <c r="H40" s="35"/>
      <c r="I40" s="35"/>
      <c r="J40" s="35"/>
      <c r="K40" s="668"/>
      <c r="L40" s="1671"/>
    </row>
    <row r="41" spans="2:12" ht="18">
      <c r="B41" s="46" t="s">
        <v>163</v>
      </c>
      <c r="C41" s="344" t="s">
        <v>483</v>
      </c>
      <c r="D41" s="330" t="s">
        <v>1456</v>
      </c>
      <c r="E41" s="345"/>
      <c r="F41" s="345"/>
      <c r="G41" s="345"/>
      <c r="H41" s="345"/>
      <c r="I41" s="345"/>
      <c r="J41" s="670">
        <f>SUM(E41:I41)</f>
        <v>0</v>
      </c>
      <c r="K41" s="668"/>
      <c r="L41" s="1671"/>
    </row>
    <row r="42" spans="2:12" ht="18">
      <c r="B42" s="38"/>
      <c r="C42" s="38"/>
      <c r="D42" s="35"/>
      <c r="E42" s="37"/>
      <c r="F42" s="35"/>
      <c r="G42" s="35"/>
      <c r="H42" s="35"/>
      <c r="I42" s="35"/>
      <c r="J42" s="35"/>
      <c r="K42" s="668"/>
      <c r="L42" s="1671"/>
    </row>
    <row r="43" spans="2:12" ht="18">
      <c r="B43" s="38"/>
      <c r="C43" s="344" t="s">
        <v>479</v>
      </c>
      <c r="D43" s="330" t="s">
        <v>531</v>
      </c>
      <c r="E43" s="345"/>
      <c r="F43" s="345"/>
      <c r="G43" s="345"/>
      <c r="H43" s="345"/>
      <c r="I43" s="345"/>
      <c r="J43" s="35"/>
      <c r="K43" s="668"/>
      <c r="L43" s="1671"/>
    </row>
    <row r="44" spans="2:12" ht="18">
      <c r="B44" s="38"/>
      <c r="C44" s="344" t="s">
        <v>478</v>
      </c>
      <c r="D44" s="35"/>
      <c r="E44" s="37"/>
      <c r="F44" s="35"/>
      <c r="G44" s="35"/>
      <c r="H44" s="35"/>
      <c r="I44" s="35"/>
      <c r="J44" s="35"/>
      <c r="K44" s="668"/>
      <c r="L44" s="1671"/>
    </row>
    <row r="45" spans="2:12" ht="18">
      <c r="B45" s="38"/>
      <c r="C45" s="344" t="s">
        <v>481</v>
      </c>
      <c r="D45" s="330" t="s">
        <v>1455</v>
      </c>
      <c r="E45" s="345"/>
      <c r="F45" s="345"/>
      <c r="G45" s="345"/>
      <c r="H45" s="345"/>
      <c r="I45" s="345"/>
      <c r="J45" s="35"/>
      <c r="K45" s="668"/>
      <c r="L45" s="1671"/>
    </row>
    <row r="46" spans="2:12" ht="18.75" thickBot="1">
      <c r="B46" s="311"/>
      <c r="C46" s="312" t="s">
        <v>480</v>
      </c>
      <c r="D46" s="311"/>
      <c r="E46" s="313"/>
      <c r="F46" s="314"/>
      <c r="G46" s="314"/>
      <c r="H46" s="671"/>
      <c r="I46" s="314"/>
      <c r="J46" s="672"/>
      <c r="K46" s="673"/>
      <c r="L46" s="1671"/>
    </row>
    <row r="47" spans="2:12" ht="18">
      <c r="B47" s="46"/>
      <c r="C47" s="33" t="str">
        <f>"T4E-"&amp;yeartext&amp;" GENERAL DATA ENTRY"</f>
        <v>T4E-2007 GENERAL DATA ENTRY</v>
      </c>
      <c r="D47" s="33"/>
      <c r="E47" s="339" t="s">
        <v>765</v>
      </c>
      <c r="F47" s="35"/>
      <c r="G47" s="35"/>
      <c r="H47" s="36"/>
      <c r="I47" s="35"/>
      <c r="J47" s="36" t="str">
        <f>yeartext</f>
        <v>2007</v>
      </c>
      <c r="K47" s="668"/>
      <c r="L47" s="1671"/>
    </row>
    <row r="48" spans="2:12" ht="18">
      <c r="B48" s="46"/>
      <c r="C48" s="49"/>
      <c r="D48" s="46"/>
      <c r="E48" s="51"/>
      <c r="F48" s="48"/>
      <c r="G48" s="48"/>
      <c r="H48" s="674"/>
      <c r="I48" s="48"/>
      <c r="J48" s="675"/>
      <c r="K48" s="668"/>
      <c r="L48" s="1671"/>
    </row>
    <row r="49" spans="2:12" ht="18">
      <c r="B49" s="46"/>
      <c r="C49" s="41" t="s">
        <v>1903</v>
      </c>
      <c r="D49" s="41" t="s">
        <v>1529</v>
      </c>
      <c r="E49" s="41" t="s">
        <v>1904</v>
      </c>
      <c r="F49" s="346"/>
      <c r="G49" s="357" t="s">
        <v>70</v>
      </c>
      <c r="H49" s="346"/>
      <c r="I49" s="346"/>
      <c r="J49" s="346"/>
      <c r="K49" s="668"/>
      <c r="L49" s="1671"/>
    </row>
    <row r="50" spans="2:12" ht="18">
      <c r="B50" s="46"/>
      <c r="C50" s="309" t="s">
        <v>1902</v>
      </c>
      <c r="D50" s="310" t="s">
        <v>419</v>
      </c>
      <c r="E50" s="351">
        <f>J19-J25</f>
        <v>0</v>
      </c>
      <c r="F50" s="346"/>
      <c r="G50" s="357" t="s">
        <v>71</v>
      </c>
      <c r="H50" s="346"/>
      <c r="I50" s="346"/>
      <c r="J50" s="346"/>
      <c r="K50" s="668"/>
      <c r="L50" s="1671"/>
    </row>
    <row r="51" spans="2:12" ht="18">
      <c r="B51" s="46"/>
      <c r="C51" s="309" t="s">
        <v>1906</v>
      </c>
      <c r="D51" s="310" t="s">
        <v>163</v>
      </c>
      <c r="E51" s="351">
        <f>J41</f>
        <v>0</v>
      </c>
      <c r="F51" s="346"/>
      <c r="G51" s="357"/>
      <c r="H51" s="346"/>
      <c r="I51" s="346"/>
      <c r="J51" s="346"/>
      <c r="K51" s="668"/>
      <c r="L51" s="1671"/>
    </row>
    <row r="52" spans="2:12" ht="18">
      <c r="B52" s="46"/>
      <c r="C52" s="309" t="s">
        <v>1906</v>
      </c>
      <c r="D52" s="310" t="s">
        <v>46</v>
      </c>
      <c r="E52" s="351">
        <f>E78</f>
        <v>0</v>
      </c>
      <c r="F52" s="346"/>
      <c r="G52" s="357"/>
      <c r="H52" s="346"/>
      <c r="I52" s="346"/>
      <c r="J52" s="346"/>
      <c r="K52" s="668"/>
      <c r="L52" s="1671"/>
    </row>
    <row r="53" spans="2:12" ht="18">
      <c r="B53" s="46"/>
      <c r="C53" s="309" t="s">
        <v>1906</v>
      </c>
      <c r="D53" s="310" t="s">
        <v>992</v>
      </c>
      <c r="E53" s="351">
        <f>J29</f>
        <v>0</v>
      </c>
      <c r="F53" s="346"/>
      <c r="G53" s="357"/>
      <c r="H53" s="346"/>
      <c r="I53" s="346"/>
      <c r="J53" s="346"/>
      <c r="K53" s="668"/>
      <c r="L53" s="1671"/>
    </row>
    <row r="54" spans="2:12" ht="18">
      <c r="B54" s="46"/>
      <c r="C54" s="309" t="s">
        <v>1048</v>
      </c>
      <c r="D54" s="310" t="s">
        <v>47</v>
      </c>
      <c r="E54" s="351">
        <f>E78</f>
        <v>0</v>
      </c>
      <c r="F54" s="346"/>
      <c r="G54" s="357"/>
      <c r="H54" s="346"/>
      <c r="I54" s="346"/>
      <c r="J54" s="346"/>
      <c r="K54" s="668"/>
      <c r="L54" s="1671"/>
    </row>
    <row r="55" spans="2:12" ht="18">
      <c r="B55" s="46"/>
      <c r="C55" s="309" t="s">
        <v>1048</v>
      </c>
      <c r="D55" s="310" t="s">
        <v>2457</v>
      </c>
      <c r="E55" s="351">
        <f>J31+J33+J35</f>
        <v>0</v>
      </c>
      <c r="F55" s="346"/>
      <c r="G55" s="347" t="s">
        <v>2584</v>
      </c>
      <c r="H55" s="346"/>
      <c r="I55" s="346"/>
      <c r="J55" s="346"/>
      <c r="K55" s="668"/>
      <c r="L55" s="1671"/>
    </row>
    <row r="56" spans="2:12" ht="18">
      <c r="B56" s="46"/>
      <c r="C56" s="328"/>
      <c r="D56" s="329"/>
      <c r="E56" s="343"/>
      <c r="F56" s="347"/>
      <c r="G56" s="347" t="s">
        <v>2585</v>
      </c>
      <c r="H56" s="347"/>
      <c r="I56" s="347"/>
      <c r="J56" s="347"/>
      <c r="K56" s="668"/>
      <c r="L56" s="1671"/>
    </row>
    <row r="57" spans="2:12" ht="18">
      <c r="B57" s="46"/>
      <c r="C57" s="330"/>
      <c r="D57" s="46"/>
      <c r="E57" s="347"/>
      <c r="F57" s="347"/>
      <c r="G57" s="347"/>
      <c r="H57" s="347"/>
      <c r="I57" s="347"/>
      <c r="J57" s="347"/>
      <c r="K57" s="668"/>
      <c r="L57" s="1671"/>
    </row>
    <row r="58" spans="2:12" ht="18">
      <c r="B58" s="46"/>
      <c r="C58" s="330"/>
      <c r="D58" s="46"/>
      <c r="E58" s="347"/>
      <c r="F58" s="347"/>
      <c r="G58" s="347" t="s">
        <v>94</v>
      </c>
      <c r="H58" s="347"/>
      <c r="I58" s="347"/>
      <c r="J58" s="347"/>
      <c r="K58" s="668"/>
      <c r="L58" s="1671"/>
    </row>
    <row r="59" spans="2:12" ht="18">
      <c r="B59" s="46"/>
      <c r="C59" s="348" t="s">
        <v>1327</v>
      </c>
      <c r="D59" s="46"/>
      <c r="E59" s="347"/>
      <c r="F59" s="347"/>
      <c r="G59" s="347" t="s">
        <v>69</v>
      </c>
      <c r="H59" s="347"/>
      <c r="I59" s="347"/>
      <c r="J59" s="347"/>
      <c r="K59" s="668"/>
      <c r="L59" s="1671"/>
    </row>
    <row r="60" spans="2:12" ht="33.75" customHeight="1">
      <c r="B60" s="46"/>
      <c r="C60" s="1432" t="s">
        <v>470</v>
      </c>
      <c r="D60" s="46"/>
      <c r="E60" s="347"/>
      <c r="F60" s="347"/>
      <c r="G60" s="347"/>
      <c r="H60" s="347"/>
      <c r="I60" s="347"/>
      <c r="J60" s="347"/>
      <c r="K60" s="668"/>
      <c r="L60" s="1671"/>
    </row>
    <row r="61" spans="2:12" ht="18">
      <c r="B61" s="46"/>
      <c r="C61" s="349" t="s">
        <v>471</v>
      </c>
      <c r="D61" s="46"/>
      <c r="E61" s="347"/>
      <c r="F61" s="347"/>
      <c r="G61" s="347"/>
      <c r="H61" s="347"/>
      <c r="I61" s="347"/>
      <c r="J61" s="347"/>
      <c r="K61" s="668"/>
      <c r="L61" s="1671"/>
    </row>
    <row r="62" spans="2:12" ht="18">
      <c r="B62" s="46"/>
      <c r="C62" s="330"/>
      <c r="D62" s="46"/>
      <c r="E62" s="347"/>
      <c r="F62" s="347"/>
      <c r="G62" s="347"/>
      <c r="H62" s="347"/>
      <c r="I62" s="347"/>
      <c r="J62" s="347"/>
      <c r="K62" s="668"/>
      <c r="L62" s="1671"/>
    </row>
    <row r="63" spans="2:12" ht="18">
      <c r="B63" s="46"/>
      <c r="C63" s="330"/>
      <c r="D63" s="46"/>
      <c r="E63" s="347"/>
      <c r="F63" s="347"/>
      <c r="G63" s="347"/>
      <c r="H63" s="347"/>
      <c r="I63" s="347"/>
      <c r="J63" s="347"/>
      <c r="K63" s="668"/>
      <c r="L63" s="1671"/>
    </row>
    <row r="64" spans="2:12" ht="18">
      <c r="B64" s="46"/>
      <c r="C64" s="349" t="s">
        <v>148</v>
      </c>
      <c r="D64" s="46"/>
      <c r="E64" s="347"/>
      <c r="F64" s="347"/>
      <c r="G64" s="347"/>
      <c r="H64" s="347"/>
      <c r="I64" s="347"/>
      <c r="J64" s="347"/>
      <c r="K64" s="668"/>
      <c r="L64" s="1671"/>
    </row>
    <row r="65" spans="2:12" ht="18">
      <c r="B65" s="46"/>
      <c r="C65" s="350" t="s">
        <v>152</v>
      </c>
      <c r="D65" s="46"/>
      <c r="E65" s="351">
        <f>IF(J17=0.3,J21,0)</f>
        <v>0</v>
      </c>
      <c r="F65" s="352"/>
      <c r="G65" s="347"/>
      <c r="H65" s="347"/>
      <c r="I65" s="347"/>
      <c r="J65" s="347"/>
      <c r="K65" s="668"/>
      <c r="L65" s="1671"/>
    </row>
    <row r="66" spans="2:12" ht="18">
      <c r="B66" s="46"/>
      <c r="C66" s="349"/>
      <c r="D66" s="46"/>
      <c r="E66" s="347"/>
      <c r="F66" s="347"/>
      <c r="G66" s="347"/>
      <c r="H66" s="347"/>
      <c r="I66" s="347"/>
      <c r="J66" s="347"/>
      <c r="K66" s="668"/>
      <c r="L66" s="1671"/>
    </row>
    <row r="67" spans="2:12" ht="18">
      <c r="B67" s="46"/>
      <c r="C67" s="350" t="s">
        <v>929</v>
      </c>
      <c r="D67" s="46"/>
      <c r="E67" s="351">
        <f>J41</f>
        <v>0</v>
      </c>
      <c r="F67" s="352"/>
      <c r="G67" s="347"/>
      <c r="H67" s="347"/>
      <c r="I67" s="347"/>
      <c r="J67" s="347"/>
      <c r="K67" s="668"/>
      <c r="L67" s="1671"/>
    </row>
    <row r="68" spans="2:12" ht="18">
      <c r="B68" s="46"/>
      <c r="C68" s="349" t="s">
        <v>151</v>
      </c>
      <c r="D68" s="46"/>
      <c r="E68" s="347"/>
      <c r="F68" s="347"/>
      <c r="G68" s="347"/>
      <c r="H68" s="347"/>
      <c r="I68" s="347"/>
      <c r="J68" s="347"/>
      <c r="K68" s="668"/>
      <c r="L68" s="1671"/>
    </row>
    <row r="69" spans="2:12" ht="18.75" thickBot="1">
      <c r="B69" s="46"/>
      <c r="C69" s="350" t="s">
        <v>150</v>
      </c>
      <c r="D69" s="46"/>
      <c r="E69" s="353">
        <f>MAX(E65-E67,0)</f>
        <v>0</v>
      </c>
      <c r="F69" s="352" t="s">
        <v>469</v>
      </c>
      <c r="G69" s="347"/>
      <c r="H69" s="347"/>
      <c r="I69" s="347"/>
      <c r="J69" s="347"/>
      <c r="K69" s="668"/>
      <c r="L69" s="1671"/>
    </row>
    <row r="70" spans="2:12" ht="18.75" thickTop="1">
      <c r="B70" s="46"/>
      <c r="C70" s="349" t="s">
        <v>472</v>
      </c>
      <c r="D70" s="46"/>
      <c r="E70" s="347"/>
      <c r="F70" s="347"/>
      <c r="G70" s="347"/>
      <c r="H70" s="347"/>
      <c r="I70" s="347"/>
      <c r="J70" s="347"/>
      <c r="K70" s="668"/>
      <c r="L70" s="1671"/>
    </row>
    <row r="71" spans="2:12" ht="18">
      <c r="B71" s="46"/>
      <c r="C71" s="350" t="s">
        <v>473</v>
      </c>
      <c r="D71" s="46"/>
      <c r="E71" s="351">
        <f>line213+line234-line117</f>
        <v>0</v>
      </c>
      <c r="F71" s="352" t="s">
        <v>1522</v>
      </c>
      <c r="G71" s="347"/>
      <c r="H71" s="347"/>
      <c r="I71" s="347"/>
      <c r="J71" s="347"/>
      <c r="K71" s="668"/>
      <c r="L71" s="1671"/>
    </row>
    <row r="72" spans="2:12" ht="24.75" customHeight="1">
      <c r="B72" s="46"/>
      <c r="C72" s="350" t="s">
        <v>60</v>
      </c>
      <c r="D72" s="46"/>
      <c r="E72" s="351">
        <v>50000</v>
      </c>
      <c r="F72" s="352"/>
      <c r="G72" s="347"/>
      <c r="H72" s="347"/>
      <c r="I72" s="347"/>
      <c r="J72" s="347"/>
      <c r="K72" s="668"/>
      <c r="L72" s="1671"/>
    </row>
    <row r="73" spans="2:12" ht="18">
      <c r="B73" s="46"/>
      <c r="C73" s="349" t="s">
        <v>474</v>
      </c>
      <c r="D73" s="46"/>
      <c r="E73" s="347"/>
      <c r="F73" s="347"/>
      <c r="G73" s="347"/>
      <c r="H73" s="347"/>
      <c r="I73" s="347"/>
      <c r="J73" s="347"/>
      <c r="K73" s="668"/>
      <c r="L73" s="1671"/>
    </row>
    <row r="74" spans="2:12" ht="18.75" thickBot="1">
      <c r="B74" s="46"/>
      <c r="C74" s="350" t="s">
        <v>475</v>
      </c>
      <c r="D74" s="46"/>
      <c r="E74" s="353">
        <f>MAX(E71-E72,0)</f>
        <v>0</v>
      </c>
      <c r="F74" s="352" t="s">
        <v>2051</v>
      </c>
      <c r="G74" s="347"/>
      <c r="H74" s="347"/>
      <c r="I74" s="347"/>
      <c r="J74" s="347"/>
      <c r="K74" s="668"/>
      <c r="L74" s="1671"/>
    </row>
    <row r="75" spans="2:12" ht="18.75" thickTop="1">
      <c r="B75" s="46"/>
      <c r="C75" s="349"/>
      <c r="D75" s="46"/>
      <c r="E75" s="347"/>
      <c r="F75" s="347"/>
      <c r="G75" s="347"/>
      <c r="H75" s="347"/>
      <c r="I75" s="347"/>
      <c r="J75" s="347"/>
      <c r="K75" s="668"/>
      <c r="L75" s="1671"/>
    </row>
    <row r="76" spans="2:12" ht="18">
      <c r="B76" s="46"/>
      <c r="C76" s="350" t="s">
        <v>476</v>
      </c>
      <c r="D76" s="46"/>
      <c r="E76" s="351">
        <f>MIN(E69,E74)</f>
        <v>0</v>
      </c>
      <c r="F76" s="352" t="s">
        <v>1523</v>
      </c>
      <c r="G76" s="347"/>
      <c r="H76" s="347"/>
      <c r="I76" s="347"/>
      <c r="J76" s="347"/>
      <c r="K76" s="668"/>
      <c r="L76" s="1671"/>
    </row>
    <row r="77" spans="2:12" ht="18">
      <c r="B77" s="46"/>
      <c r="C77" s="349"/>
      <c r="D77" s="46"/>
      <c r="E77" s="355"/>
      <c r="F77" s="347"/>
      <c r="G77" s="347"/>
      <c r="H77" s="347"/>
      <c r="I77" s="347"/>
      <c r="J77" s="347"/>
      <c r="K77" s="668"/>
      <c r="L77" s="1671"/>
    </row>
    <row r="78" spans="2:12" ht="18">
      <c r="B78" s="46"/>
      <c r="C78" s="350" t="s">
        <v>149</v>
      </c>
      <c r="D78" s="46"/>
      <c r="E78" s="351">
        <f>0.3*E76</f>
        <v>0</v>
      </c>
      <c r="F78" s="352" t="s">
        <v>1524</v>
      </c>
      <c r="G78" s="347"/>
      <c r="H78" s="347"/>
      <c r="I78" s="347"/>
      <c r="J78" s="347"/>
      <c r="K78" s="668"/>
      <c r="L78" s="1671"/>
    </row>
    <row r="79" spans="2:12" ht="18">
      <c r="B79" s="46"/>
      <c r="C79" s="349"/>
      <c r="D79" s="46"/>
      <c r="E79" s="347"/>
      <c r="F79" s="347"/>
      <c r="G79" s="347"/>
      <c r="H79" s="347"/>
      <c r="I79" s="347"/>
      <c r="J79" s="347"/>
      <c r="K79" s="668"/>
      <c r="L79" s="1671"/>
    </row>
    <row r="80" spans="2:12" ht="18">
      <c r="B80" s="46"/>
      <c r="C80" s="348" t="s">
        <v>2115</v>
      </c>
      <c r="D80" s="46"/>
      <c r="E80" s="347"/>
      <c r="F80" s="347"/>
      <c r="G80" s="347"/>
      <c r="H80" s="347"/>
      <c r="I80" s="347"/>
      <c r="J80" s="347"/>
      <c r="K80" s="668"/>
      <c r="L80" s="1671"/>
    </row>
    <row r="81" spans="2:12" ht="18">
      <c r="B81" s="46"/>
      <c r="C81" s="348" t="s">
        <v>2116</v>
      </c>
      <c r="D81" s="46"/>
      <c r="E81" s="51"/>
      <c r="F81" s="48"/>
      <c r="G81" s="48"/>
      <c r="H81" s="674"/>
      <c r="I81" s="48"/>
      <c r="J81" s="675"/>
      <c r="K81" s="668"/>
      <c r="L81" s="1671"/>
    </row>
    <row r="82" spans="2:12" ht="18">
      <c r="B82" s="46"/>
      <c r="C82" s="348" t="s">
        <v>477</v>
      </c>
      <c r="D82" s="46"/>
      <c r="E82" s="51"/>
      <c r="F82" s="48"/>
      <c r="G82" s="48"/>
      <c r="H82" s="674"/>
      <c r="I82" s="48"/>
      <c r="J82" s="675"/>
      <c r="K82" s="668"/>
      <c r="L82" s="1671"/>
    </row>
    <row r="83" spans="2:12" ht="18">
      <c r="B83" s="46"/>
      <c r="C83" s="349"/>
      <c r="D83" s="46"/>
      <c r="E83" s="51"/>
      <c r="F83" s="48"/>
      <c r="G83" s="48"/>
      <c r="H83" s="674"/>
      <c r="I83" s="48"/>
      <c r="J83" s="675"/>
      <c r="K83" s="668"/>
      <c r="L83" s="1671"/>
    </row>
    <row r="84" spans="2:4" ht="15">
      <c r="B84" s="676"/>
      <c r="D84" s="55"/>
    </row>
    <row r="85" spans="2:4" ht="15">
      <c r="B85" s="676"/>
      <c r="D85" s="55"/>
    </row>
    <row r="86" spans="2:4" ht="15">
      <c r="B86" s="676"/>
      <c r="D86" s="55"/>
    </row>
    <row r="87" spans="2:4" ht="15">
      <c r="B87" s="676"/>
      <c r="D87" s="55"/>
    </row>
    <row r="88" spans="2:4" ht="15">
      <c r="B88" s="676"/>
      <c r="D88" s="55"/>
    </row>
    <row r="89" spans="2:4" ht="15">
      <c r="B89" s="676"/>
      <c r="D89" s="55"/>
    </row>
    <row r="90" spans="2:4" ht="15">
      <c r="B90" s="676"/>
      <c r="D90" s="55"/>
    </row>
    <row r="91" spans="2:4" ht="15">
      <c r="B91" s="676"/>
      <c r="D91" s="55"/>
    </row>
    <row r="92" spans="2:4" ht="15">
      <c r="B92" s="676"/>
      <c r="D92" s="55"/>
    </row>
    <row r="93" spans="2:4" ht="15">
      <c r="B93" s="676"/>
      <c r="D93" s="55"/>
    </row>
    <row r="94" spans="2:4" ht="15">
      <c r="B94" s="676"/>
      <c r="D94" s="55"/>
    </row>
    <row r="95" spans="2:4" ht="15">
      <c r="B95" s="676"/>
      <c r="D95" s="55"/>
    </row>
  </sheetData>
  <sheetProtection password="EC35" sheet="1" objects="1" scenarios="1"/>
  <mergeCells count="1">
    <mergeCell ref="L1:L83"/>
  </mergeCells>
  <hyperlinks>
    <hyperlink ref="L1:L83" location="'GO TO'!G11" display=" "/>
  </hyperlinks>
  <printOptions horizontalCentered="1"/>
  <pageMargins left="0" right="0" top="0" bottom="0" header="0.5" footer="0.5"/>
  <pageSetup fitToHeight="0" fitToWidth="1" horizontalDpi="600" verticalDpi="600" orientation="portrait" scale="56" r:id="rId3"/>
  <ignoredErrors>
    <ignoredError sqref="D27" numberStoredAsText="1"/>
  </ignoredErrors>
  <legacyDrawing r:id="rId2"/>
</worksheet>
</file>

<file path=xl/worksheets/sheet3.xml><?xml version="1.0" encoding="utf-8"?>
<worksheet xmlns="http://schemas.openxmlformats.org/spreadsheetml/2006/main" xmlns:r="http://schemas.openxmlformats.org/officeDocument/2006/relationships">
  <sheetPr codeName="Sheet110" transitionEvaluation="1">
    <pageSetUpPr fitToPage="1"/>
  </sheetPr>
  <dimension ref="A1:I80"/>
  <sheetViews>
    <sheetView zoomScale="65" zoomScaleNormal="65" workbookViewId="0" topLeftCell="A1">
      <selection activeCell="A5" sqref="A5"/>
    </sheetView>
  </sheetViews>
  <sheetFormatPr defaultColWidth="9.77734375" defaultRowHeight="15"/>
  <cols>
    <col min="1" max="1" width="13.3359375" style="0" customWidth="1"/>
    <col min="2" max="2" width="66.99609375" style="0" customWidth="1"/>
    <col min="3" max="3" width="11.77734375" style="0" customWidth="1"/>
    <col min="4" max="4" width="4.77734375" style="0" customWidth="1"/>
    <col min="5" max="5" width="11.77734375" style="0" customWidth="1"/>
    <col min="6" max="6" width="4.77734375" style="0" customWidth="1"/>
    <col min="7" max="7" width="3.77734375" style="0" customWidth="1"/>
    <col min="8" max="8" width="6.3359375" style="0" customWidth="1"/>
  </cols>
  <sheetData>
    <row r="1" spans="1:8" ht="20.25">
      <c r="A1" s="78"/>
      <c r="B1" s="367" t="s">
        <v>1755</v>
      </c>
      <c r="C1" s="78"/>
      <c r="D1" s="78"/>
      <c r="E1" s="78"/>
      <c r="F1" s="78"/>
      <c r="G1" s="78"/>
      <c r="H1" s="78"/>
    </row>
    <row r="2" spans="1:8" ht="15">
      <c r="A2" s="78"/>
      <c r="B2" s="78"/>
      <c r="C2" s="78"/>
      <c r="D2" s="78"/>
      <c r="E2" s="78"/>
      <c r="F2" s="78"/>
      <c r="G2" s="78"/>
      <c r="H2" s="78"/>
    </row>
    <row r="3" spans="1:8" ht="18">
      <c r="A3" s="1433" t="s">
        <v>1754</v>
      </c>
      <c r="B3" s="1433"/>
      <c r="C3" s="78"/>
      <c r="D3" s="78"/>
      <c r="E3" s="78"/>
      <c r="F3" s="78"/>
      <c r="G3" s="78"/>
      <c r="H3" s="78"/>
    </row>
    <row r="4" spans="1:8" ht="15">
      <c r="A4" s="78"/>
      <c r="B4" s="78" t="s">
        <v>1756</v>
      </c>
      <c r="C4" s="78"/>
      <c r="D4" s="78"/>
      <c r="E4" s="78"/>
      <c r="F4" s="78"/>
      <c r="G4" s="78"/>
      <c r="H4" s="78"/>
    </row>
    <row r="5" spans="1:8" ht="15">
      <c r="A5" s="78"/>
      <c r="B5" s="78"/>
      <c r="C5" s="78"/>
      <c r="D5" s="78"/>
      <c r="E5" s="78"/>
      <c r="F5" s="78"/>
      <c r="G5" s="78"/>
      <c r="H5" s="78"/>
    </row>
    <row r="6" spans="1:9" ht="20.25">
      <c r="A6" s="768"/>
      <c r="B6" s="367" t="s">
        <v>1584</v>
      </c>
      <c r="C6" s="74"/>
      <c r="D6" s="74"/>
      <c r="E6" s="189"/>
      <c r="F6" s="74"/>
      <c r="G6" s="189"/>
      <c r="H6" s="78"/>
      <c r="I6" s="1497" t="s">
        <v>1659</v>
      </c>
    </row>
    <row r="7" spans="1:9" ht="20.25">
      <c r="A7" s="781" t="s">
        <v>2398</v>
      </c>
      <c r="B7" s="367"/>
      <c r="C7" s="74"/>
      <c r="D7" s="74"/>
      <c r="E7" s="189"/>
      <c r="F7" s="74"/>
      <c r="G7" s="189"/>
      <c r="H7" s="78"/>
      <c r="I7" s="1497"/>
    </row>
    <row r="8" spans="1:9" ht="20.25">
      <c r="A8" s="781" t="s">
        <v>2396</v>
      </c>
      <c r="B8" s="367"/>
      <c r="C8" s="74"/>
      <c r="D8" s="74"/>
      <c r="E8" s="189"/>
      <c r="F8" s="74"/>
      <c r="G8" s="189"/>
      <c r="H8" s="78"/>
      <c r="I8" s="1497"/>
    </row>
    <row r="9" spans="1:9" ht="38.25" customHeight="1">
      <c r="A9" s="1509" t="s">
        <v>737</v>
      </c>
      <c r="B9" s="1510"/>
      <c r="C9" s="74"/>
      <c r="D9" s="74"/>
      <c r="E9" s="189"/>
      <c r="F9" s="74"/>
      <c r="G9" s="189"/>
      <c r="H9" s="78"/>
      <c r="I9" s="1497"/>
    </row>
    <row r="10" spans="1:9" ht="20.25">
      <c r="A10" s="782" t="s">
        <v>1581</v>
      </c>
      <c r="B10" s="367"/>
      <c r="C10" s="74"/>
      <c r="D10" s="74"/>
      <c r="E10" s="189"/>
      <c r="F10" s="74"/>
      <c r="G10" s="189"/>
      <c r="H10" s="78"/>
      <c r="I10" s="1497"/>
    </row>
    <row r="11" spans="1:9" ht="18">
      <c r="A11" s="781" t="s">
        <v>1580</v>
      </c>
      <c r="B11" s="599"/>
      <c r="C11" s="78"/>
      <c r="D11" s="78"/>
      <c r="E11" s="78"/>
      <c r="F11" s="78"/>
      <c r="G11" s="78"/>
      <c r="H11" s="78"/>
      <c r="I11" s="1497"/>
    </row>
    <row r="12" spans="1:9" ht="18">
      <c r="A12" s="781" t="s">
        <v>2560</v>
      </c>
      <c r="B12" s="599"/>
      <c r="C12" s="78"/>
      <c r="D12" s="78"/>
      <c r="E12" s="78"/>
      <c r="F12" s="78"/>
      <c r="G12" s="78"/>
      <c r="H12" s="78"/>
      <c r="I12" s="1497"/>
    </row>
    <row r="13" spans="1:9" ht="18">
      <c r="A13" s="781" t="s">
        <v>230</v>
      </c>
      <c r="B13" s="599"/>
      <c r="C13" s="78"/>
      <c r="D13" s="78"/>
      <c r="E13" s="78"/>
      <c r="F13" s="78"/>
      <c r="G13" s="78"/>
      <c r="H13" s="78"/>
      <c r="I13" s="1497"/>
    </row>
    <row r="14" spans="1:9" ht="18">
      <c r="A14" s="772" t="s">
        <v>2559</v>
      </c>
      <c r="B14" s="78"/>
      <c r="C14" s="78"/>
      <c r="D14" s="78"/>
      <c r="E14" s="78"/>
      <c r="F14" s="78"/>
      <c r="G14" s="78"/>
      <c r="H14" s="78"/>
      <c r="I14" s="1497"/>
    </row>
    <row r="15" spans="1:9" ht="18">
      <c r="A15" s="772"/>
      <c r="B15" s="78"/>
      <c r="C15" s="78"/>
      <c r="D15" s="78"/>
      <c r="E15" s="78"/>
      <c r="F15" s="78"/>
      <c r="G15" s="78"/>
      <c r="H15" s="78"/>
      <c r="I15" s="1497"/>
    </row>
    <row r="16" spans="1:9" ht="20.25">
      <c r="A16" s="782" t="s">
        <v>1583</v>
      </c>
      <c r="B16" s="78"/>
      <c r="C16" s="78"/>
      <c r="D16" s="78"/>
      <c r="E16" s="78"/>
      <c r="F16" s="78"/>
      <c r="G16" s="78"/>
      <c r="H16" s="78"/>
      <c r="I16" s="1497"/>
    </row>
    <row r="17" spans="1:9" ht="18">
      <c r="A17" s="1511" t="s">
        <v>1633</v>
      </c>
      <c r="B17" s="1512"/>
      <c r="C17" s="78"/>
      <c r="D17" s="78"/>
      <c r="E17" s="78"/>
      <c r="F17" s="78"/>
      <c r="G17" s="78"/>
      <c r="H17" s="78"/>
      <c r="I17" s="1497"/>
    </row>
    <row r="18" spans="1:9" ht="18">
      <c r="A18" s="772"/>
      <c r="B18" s="78"/>
      <c r="C18" s="78"/>
      <c r="D18" s="78"/>
      <c r="E18" s="78"/>
      <c r="F18" s="78"/>
      <c r="G18" s="78"/>
      <c r="H18" s="78"/>
      <c r="I18" s="1497"/>
    </row>
    <row r="19" spans="1:9" ht="20.25">
      <c r="A19" s="782" t="s">
        <v>1245</v>
      </c>
      <c r="B19" s="78"/>
      <c r="C19" s="78"/>
      <c r="D19" s="78"/>
      <c r="E19" s="78"/>
      <c r="F19" s="78"/>
      <c r="G19" s="78"/>
      <c r="H19" s="78"/>
      <c r="I19" s="1497"/>
    </row>
    <row r="20" spans="1:9" ht="18">
      <c r="A20" s="772"/>
      <c r="B20" s="78"/>
      <c r="C20" s="78"/>
      <c r="D20" s="78"/>
      <c r="E20" s="78"/>
      <c r="F20" s="78"/>
      <c r="G20" s="78"/>
      <c r="H20" s="78"/>
      <c r="I20" s="1497"/>
    </row>
    <row r="21" spans="1:9" ht="18">
      <c r="A21" s="774" t="s">
        <v>232</v>
      </c>
      <c r="B21" s="78"/>
      <c r="C21" s="78"/>
      <c r="D21" s="78"/>
      <c r="E21" s="78"/>
      <c r="F21" s="78"/>
      <c r="G21" s="78"/>
      <c r="H21" s="78"/>
      <c r="I21" s="1497"/>
    </row>
    <row r="22" spans="1:9" ht="18">
      <c r="A22" s="774" t="s">
        <v>436</v>
      </c>
      <c r="B22" s="78"/>
      <c r="C22" s="78"/>
      <c r="D22" s="78"/>
      <c r="E22" s="78"/>
      <c r="F22" s="78"/>
      <c r="G22" s="78"/>
      <c r="H22" s="78"/>
      <c r="I22" s="1497"/>
    </row>
    <row r="23" spans="1:9" ht="18">
      <c r="A23" s="772" t="s">
        <v>231</v>
      </c>
      <c r="B23" s="78"/>
      <c r="C23" s="78"/>
      <c r="D23" s="78"/>
      <c r="E23" s="78"/>
      <c r="F23" s="78"/>
      <c r="G23" s="78"/>
      <c r="H23" s="78"/>
      <c r="I23" s="1497"/>
    </row>
    <row r="24" spans="1:9" ht="18">
      <c r="A24" s="772" t="s">
        <v>1157</v>
      </c>
      <c r="B24" s="78"/>
      <c r="C24" s="78"/>
      <c r="D24" s="78"/>
      <c r="E24" s="78"/>
      <c r="F24" s="78"/>
      <c r="G24" s="78"/>
      <c r="H24" s="78"/>
      <c r="I24" s="1497"/>
    </row>
    <row r="25" spans="1:9" ht="18">
      <c r="A25" s="772" t="s">
        <v>695</v>
      </c>
      <c r="B25" s="78"/>
      <c r="C25" s="78"/>
      <c r="D25" s="78"/>
      <c r="E25" s="78"/>
      <c r="F25" s="78"/>
      <c r="G25" s="78"/>
      <c r="H25" s="78"/>
      <c r="I25" s="1497"/>
    </row>
    <row r="26" spans="1:9" ht="15.75">
      <c r="A26" s="775" t="s">
        <v>2475</v>
      </c>
      <c r="B26" s="78"/>
      <c r="C26" s="103" t="s">
        <v>297</v>
      </c>
      <c r="D26" s="78"/>
      <c r="E26" s="78"/>
      <c r="F26" s="78"/>
      <c r="G26" s="78"/>
      <c r="H26" s="78"/>
      <c r="I26" s="1497"/>
    </row>
    <row r="27" spans="1:9" ht="18">
      <c r="A27" s="772" t="s">
        <v>298</v>
      </c>
      <c r="B27" s="78"/>
      <c r="C27" s="211"/>
      <c r="D27" s="78"/>
      <c r="E27" s="78" t="s">
        <v>198</v>
      </c>
      <c r="F27" s="78"/>
      <c r="G27" s="78"/>
      <c r="H27" s="78"/>
      <c r="I27" s="1497"/>
    </row>
    <row r="28" spans="1:9" ht="18">
      <c r="A28" s="772" t="s">
        <v>1381</v>
      </c>
      <c r="B28" s="78"/>
      <c r="C28" s="75"/>
      <c r="D28" s="78"/>
      <c r="E28" s="78" t="s">
        <v>198</v>
      </c>
      <c r="F28" s="78"/>
      <c r="G28" s="78"/>
      <c r="H28" s="78"/>
      <c r="I28" s="1497"/>
    </row>
    <row r="29" spans="1:9" ht="18">
      <c r="A29" s="772" t="s">
        <v>1382</v>
      </c>
      <c r="B29" s="78"/>
      <c r="C29" s="264"/>
      <c r="D29" s="78"/>
      <c r="E29" s="78" t="s">
        <v>198</v>
      </c>
      <c r="F29" s="78"/>
      <c r="G29" s="78"/>
      <c r="H29" s="78"/>
      <c r="I29" s="1497"/>
    </row>
    <row r="30" spans="1:9" ht="15">
      <c r="A30" s="776" t="s">
        <v>280</v>
      </c>
      <c r="B30" s="78"/>
      <c r="C30" s="265"/>
      <c r="D30" s="78"/>
      <c r="E30" s="78" t="s">
        <v>914</v>
      </c>
      <c r="F30" s="78"/>
      <c r="G30" s="78"/>
      <c r="H30" s="78"/>
      <c r="I30" s="1497"/>
    </row>
    <row r="31" spans="1:9" ht="18">
      <c r="A31" s="772" t="s">
        <v>431</v>
      </c>
      <c r="B31" s="78"/>
      <c r="C31" s="442"/>
      <c r="D31" s="78"/>
      <c r="E31" s="78"/>
      <c r="F31" s="78"/>
      <c r="G31" s="78"/>
      <c r="H31" s="78"/>
      <c r="I31" s="1497"/>
    </row>
    <row r="32" spans="1:9" ht="18">
      <c r="A32" s="772" t="s">
        <v>299</v>
      </c>
      <c r="B32" s="78"/>
      <c r="C32" s="82"/>
      <c r="D32" s="78"/>
      <c r="E32" s="78"/>
      <c r="F32" s="78"/>
      <c r="G32" s="78"/>
      <c r="H32" s="78"/>
      <c r="I32" s="1497"/>
    </row>
    <row r="33" spans="1:9" ht="18">
      <c r="A33" s="772"/>
      <c r="B33" s="78"/>
      <c r="C33" s="78"/>
      <c r="D33" s="78"/>
      <c r="E33" s="78"/>
      <c r="F33" s="78"/>
      <c r="G33" s="78"/>
      <c r="H33" s="78"/>
      <c r="I33" s="1497"/>
    </row>
    <row r="34" spans="1:9" ht="18">
      <c r="A34" s="774" t="s">
        <v>2353</v>
      </c>
      <c r="B34" s="78"/>
      <c r="C34" s="78"/>
      <c r="D34" s="78"/>
      <c r="E34" s="78"/>
      <c r="F34" s="78"/>
      <c r="G34" s="78"/>
      <c r="H34" s="78"/>
      <c r="I34" s="1497"/>
    </row>
    <row r="35" spans="1:9" ht="18">
      <c r="A35" s="774" t="s">
        <v>1302</v>
      </c>
      <c r="B35" s="78"/>
      <c r="C35" s="78"/>
      <c r="D35" s="78"/>
      <c r="E35" s="78"/>
      <c r="F35" s="78"/>
      <c r="G35" s="78"/>
      <c r="H35" s="78"/>
      <c r="I35" s="1497"/>
    </row>
    <row r="36" spans="1:9" ht="18">
      <c r="A36" s="772" t="s">
        <v>707</v>
      </c>
      <c r="B36" s="78"/>
      <c r="C36" s="78"/>
      <c r="D36" s="78"/>
      <c r="E36" s="78"/>
      <c r="F36" s="78"/>
      <c r="G36" s="78"/>
      <c r="H36" s="78"/>
      <c r="I36" s="1497"/>
    </row>
    <row r="37" spans="1:9" ht="18">
      <c r="A37" s="772" t="s">
        <v>1158</v>
      </c>
      <c r="B37" s="78"/>
      <c r="C37" s="78"/>
      <c r="D37" s="78"/>
      <c r="E37" s="78"/>
      <c r="F37" s="78"/>
      <c r="G37" s="78"/>
      <c r="H37" s="78"/>
      <c r="I37" s="1497"/>
    </row>
    <row r="38" spans="1:9" ht="18">
      <c r="A38" s="772" t="s">
        <v>708</v>
      </c>
      <c r="B38" s="78"/>
      <c r="C38" s="78"/>
      <c r="D38" s="78"/>
      <c r="E38" s="78"/>
      <c r="F38" s="78"/>
      <c r="G38" s="78"/>
      <c r="H38" s="78"/>
      <c r="I38" s="1497"/>
    </row>
    <row r="39" spans="1:9" ht="18">
      <c r="A39" s="772"/>
      <c r="B39" s="78"/>
      <c r="C39" s="78"/>
      <c r="D39" s="78"/>
      <c r="E39" s="78"/>
      <c r="F39" s="78"/>
      <c r="G39" s="78"/>
      <c r="H39" s="78"/>
      <c r="I39" s="1497"/>
    </row>
    <row r="40" spans="1:9" ht="18">
      <c r="A40" s="774" t="s">
        <v>2282</v>
      </c>
      <c r="B40" s="86"/>
      <c r="C40" s="86"/>
      <c r="D40" s="86"/>
      <c r="E40" s="86"/>
      <c r="F40" s="86"/>
      <c r="G40" s="86"/>
      <c r="H40" s="86"/>
      <c r="I40" s="1497"/>
    </row>
    <row r="41" spans="1:9" ht="15" customHeight="1">
      <c r="A41" s="774" t="s">
        <v>975</v>
      </c>
      <c r="B41" s="86"/>
      <c r="C41" s="86"/>
      <c r="D41" s="86"/>
      <c r="E41" s="86"/>
      <c r="F41" s="86"/>
      <c r="G41" s="86"/>
      <c r="H41" s="86"/>
      <c r="I41" s="1497"/>
    </row>
    <row r="42" spans="1:9" ht="15" customHeight="1">
      <c r="A42" s="772" t="s">
        <v>2283</v>
      </c>
      <c r="B42" s="114"/>
      <c r="C42" s="114"/>
      <c r="D42" s="114"/>
      <c r="E42" s="114"/>
      <c r="F42" s="114"/>
      <c r="G42" s="114"/>
      <c r="H42" s="114"/>
      <c r="I42" s="1497"/>
    </row>
    <row r="43" spans="1:9" ht="15" customHeight="1">
      <c r="A43" s="772" t="s">
        <v>981</v>
      </c>
      <c r="B43" s="114"/>
      <c r="C43" s="114"/>
      <c r="D43" s="114"/>
      <c r="E43" s="114"/>
      <c r="F43" s="114"/>
      <c r="G43" s="114"/>
      <c r="H43" s="114"/>
      <c r="I43" s="1497"/>
    </row>
    <row r="44" spans="1:9" ht="15" customHeight="1">
      <c r="A44" s="772" t="s">
        <v>2284</v>
      </c>
      <c r="B44" s="114"/>
      <c r="C44" s="114"/>
      <c r="D44" s="114"/>
      <c r="E44" s="114"/>
      <c r="F44" s="114"/>
      <c r="G44" s="114"/>
      <c r="H44" s="114"/>
      <c r="I44" s="1497"/>
    </row>
    <row r="45" spans="1:9" ht="15" customHeight="1">
      <c r="A45" s="772" t="s">
        <v>2015</v>
      </c>
      <c r="B45" s="114"/>
      <c r="C45" s="114"/>
      <c r="D45" s="114"/>
      <c r="E45" s="114"/>
      <c r="F45" s="114"/>
      <c r="G45" s="114"/>
      <c r="H45" s="114"/>
      <c r="I45" s="1497"/>
    </row>
    <row r="46" spans="1:9" ht="15" customHeight="1">
      <c r="A46" s="772" t="s">
        <v>1547</v>
      </c>
      <c r="B46" s="114"/>
      <c r="C46" s="114"/>
      <c r="D46" s="114"/>
      <c r="E46" s="114"/>
      <c r="F46" s="114"/>
      <c r="G46" s="114"/>
      <c r="H46" s="114"/>
      <c r="I46" s="1497"/>
    </row>
    <row r="47" spans="1:9" ht="15" customHeight="1">
      <c r="A47" s="772" t="s">
        <v>1244</v>
      </c>
      <c r="B47" s="114"/>
      <c r="C47" s="114"/>
      <c r="D47" s="114"/>
      <c r="E47" s="114"/>
      <c r="F47" s="114"/>
      <c r="G47" s="114"/>
      <c r="H47" s="114"/>
      <c r="I47" s="1497"/>
    </row>
    <row r="48" spans="1:9" ht="18">
      <c r="A48" s="772"/>
      <c r="B48" s="114"/>
      <c r="C48" s="114"/>
      <c r="D48" s="114"/>
      <c r="E48" s="114"/>
      <c r="F48" s="114"/>
      <c r="G48" s="114"/>
      <c r="H48" s="114"/>
      <c r="I48" s="1497"/>
    </row>
    <row r="49" spans="1:9" ht="18">
      <c r="A49" s="774"/>
      <c r="B49" s="78"/>
      <c r="C49" s="78"/>
      <c r="D49" s="78"/>
      <c r="E49" s="78"/>
      <c r="F49" s="78"/>
      <c r="G49" s="78"/>
      <c r="H49" s="78"/>
      <c r="I49" s="1497"/>
    </row>
    <row r="50" spans="1:9" ht="18.75" customHeight="1">
      <c r="A50" s="782" t="s">
        <v>1812</v>
      </c>
      <c r="B50" s="78"/>
      <c r="C50" s="121"/>
      <c r="D50" s="78"/>
      <c r="E50" s="78"/>
      <c r="F50" s="78"/>
      <c r="G50" s="78"/>
      <c r="H50" s="78"/>
      <c r="I50" s="1497"/>
    </row>
    <row r="51" spans="1:9" ht="18.75" customHeight="1">
      <c r="A51" s="782"/>
      <c r="B51" s="78"/>
      <c r="C51" s="121"/>
      <c r="D51" s="78"/>
      <c r="E51" s="78"/>
      <c r="F51" s="78"/>
      <c r="G51" s="78"/>
      <c r="H51" s="78"/>
      <c r="I51" s="1497"/>
    </row>
    <row r="52" spans="1:9" ht="18.75" customHeight="1">
      <c r="A52" s="928" t="s">
        <v>607</v>
      </c>
      <c r="B52" s="928" t="s">
        <v>608</v>
      </c>
      <c r="C52" s="121"/>
      <c r="D52" s="78"/>
      <c r="E52" s="78"/>
      <c r="F52" s="78"/>
      <c r="G52" s="78"/>
      <c r="H52" s="78"/>
      <c r="I52" s="1497"/>
    </row>
    <row r="53" spans="1:9" ht="18">
      <c r="A53" s="774"/>
      <c r="B53" s="78"/>
      <c r="C53" s="78"/>
      <c r="D53" s="78"/>
      <c r="E53" s="78"/>
      <c r="F53" s="78"/>
      <c r="G53" s="78"/>
      <c r="H53" s="78"/>
      <c r="I53" s="1497"/>
    </row>
    <row r="54" spans="1:9" ht="18">
      <c r="A54" s="929" t="s">
        <v>1593</v>
      </c>
      <c r="B54" s="774" t="s">
        <v>1686</v>
      </c>
      <c r="C54" s="78"/>
      <c r="D54" s="78"/>
      <c r="E54" s="78"/>
      <c r="F54" s="78"/>
      <c r="G54" s="78"/>
      <c r="H54" s="78"/>
      <c r="I54" s="1497"/>
    </row>
    <row r="55" spans="1:9" ht="18">
      <c r="A55" s="929" t="s">
        <v>1593</v>
      </c>
      <c r="B55" s="774" t="s">
        <v>143</v>
      </c>
      <c r="C55" s="78"/>
      <c r="D55" s="78"/>
      <c r="E55" s="78"/>
      <c r="F55" s="78"/>
      <c r="G55" s="78"/>
      <c r="H55" s="78"/>
      <c r="I55" s="1497"/>
    </row>
    <row r="56" spans="1:9" ht="18">
      <c r="A56" s="774"/>
      <c r="B56" s="772" t="s">
        <v>142</v>
      </c>
      <c r="C56" s="78"/>
      <c r="D56" s="78"/>
      <c r="E56" s="78"/>
      <c r="F56" s="78"/>
      <c r="G56" s="78"/>
      <c r="H56" s="78"/>
      <c r="I56" s="1497"/>
    </row>
    <row r="57" spans="1:9" ht="18">
      <c r="A57" s="929" t="s">
        <v>1593</v>
      </c>
      <c r="B57" s="774" t="s">
        <v>1811</v>
      </c>
      <c r="C57" s="78"/>
      <c r="D57" s="78"/>
      <c r="E57" s="78"/>
      <c r="F57" s="78"/>
      <c r="G57" s="78"/>
      <c r="H57" s="78"/>
      <c r="I57" s="1497"/>
    </row>
    <row r="58" spans="1:9" ht="18">
      <c r="A58" s="929" t="s">
        <v>1593</v>
      </c>
      <c r="B58" s="774" t="s">
        <v>871</v>
      </c>
      <c r="C58" s="78"/>
      <c r="D58" s="78"/>
      <c r="E58" s="78"/>
      <c r="F58" s="78"/>
      <c r="G58" s="78"/>
      <c r="H58" s="78"/>
      <c r="I58" s="1497"/>
    </row>
    <row r="59" spans="1:9" ht="18">
      <c r="A59" s="929" t="s">
        <v>1593</v>
      </c>
      <c r="B59" s="774" t="s">
        <v>1312</v>
      </c>
      <c r="C59" s="78"/>
      <c r="D59" s="78"/>
      <c r="E59" s="78"/>
      <c r="F59" s="78"/>
      <c r="G59" s="78"/>
      <c r="H59" s="78"/>
      <c r="I59" s="1497"/>
    </row>
    <row r="60" spans="1:9" ht="18">
      <c r="A60" s="929" t="s">
        <v>1593</v>
      </c>
      <c r="B60" s="774" t="s">
        <v>1313</v>
      </c>
      <c r="C60" s="78"/>
      <c r="D60" s="78"/>
      <c r="E60" s="78"/>
      <c r="F60" s="78"/>
      <c r="G60" s="78"/>
      <c r="H60" s="78"/>
      <c r="I60" s="1497"/>
    </row>
    <row r="61" spans="1:9" ht="18">
      <c r="A61" s="774"/>
      <c r="B61" s="772" t="s">
        <v>1246</v>
      </c>
      <c r="C61" s="78"/>
      <c r="D61" s="78"/>
      <c r="E61" s="78"/>
      <c r="F61" s="78"/>
      <c r="G61" s="78"/>
      <c r="H61" s="78"/>
      <c r="I61" s="1497"/>
    </row>
    <row r="62" spans="1:9" ht="18">
      <c r="A62" s="929" t="s">
        <v>1593</v>
      </c>
      <c r="B62" s="777" t="s">
        <v>1314</v>
      </c>
      <c r="C62" s="78"/>
      <c r="D62" s="78"/>
      <c r="E62" s="78"/>
      <c r="F62" s="78"/>
      <c r="G62" s="78"/>
      <c r="H62" s="78"/>
      <c r="I62" s="1497"/>
    </row>
    <row r="63" spans="1:9" ht="18">
      <c r="A63" s="929" t="s">
        <v>1593</v>
      </c>
      <c r="B63" s="777" t="s">
        <v>867</v>
      </c>
      <c r="C63" s="78"/>
      <c r="D63" s="78"/>
      <c r="E63" s="78"/>
      <c r="F63" s="78"/>
      <c r="G63" s="78"/>
      <c r="H63" s="78"/>
      <c r="I63" s="1497"/>
    </row>
    <row r="64" spans="1:9" ht="18">
      <c r="A64" s="774"/>
      <c r="B64" s="777" t="s">
        <v>2148</v>
      </c>
      <c r="C64" s="78"/>
      <c r="D64" s="78"/>
      <c r="E64" s="78"/>
      <c r="F64" s="78"/>
      <c r="G64" s="78"/>
      <c r="H64" s="78"/>
      <c r="I64" s="1497"/>
    </row>
    <row r="65" spans="1:9" ht="18">
      <c r="A65" s="774"/>
      <c r="B65" s="777" t="s">
        <v>2147</v>
      </c>
      <c r="C65" s="78"/>
      <c r="D65" s="78"/>
      <c r="E65" s="78"/>
      <c r="F65" s="78"/>
      <c r="G65" s="78"/>
      <c r="H65" s="78"/>
      <c r="I65" s="1497"/>
    </row>
    <row r="66" spans="1:9" ht="18.75" customHeight="1">
      <c r="A66" s="774"/>
      <c r="B66" s="774" t="s">
        <v>2149</v>
      </c>
      <c r="C66" s="78"/>
      <c r="D66" s="78"/>
      <c r="E66" s="78"/>
      <c r="F66" s="78"/>
      <c r="G66" s="78"/>
      <c r="H66" s="78"/>
      <c r="I66" s="1497"/>
    </row>
    <row r="67" spans="1:9" ht="18.75" customHeight="1">
      <c r="A67" s="774"/>
      <c r="B67" s="774" t="s">
        <v>1348</v>
      </c>
      <c r="C67" s="78"/>
      <c r="D67" s="78"/>
      <c r="E67" s="78"/>
      <c r="F67" s="78"/>
      <c r="G67" s="78"/>
      <c r="H67" s="78"/>
      <c r="I67" s="1497"/>
    </row>
    <row r="68" spans="1:9" ht="18.75" customHeight="1">
      <c r="A68" s="929" t="s">
        <v>1593</v>
      </c>
      <c r="B68" s="774" t="s">
        <v>868</v>
      </c>
      <c r="C68" s="78"/>
      <c r="D68" s="78"/>
      <c r="E68" s="78"/>
      <c r="F68" s="78"/>
      <c r="G68" s="78"/>
      <c r="H68" s="78"/>
      <c r="I68" s="1497"/>
    </row>
    <row r="69" spans="1:9" ht="18.75" customHeight="1">
      <c r="A69" s="774"/>
      <c r="B69" s="774" t="s">
        <v>1349</v>
      </c>
      <c r="C69" s="78"/>
      <c r="D69" s="78"/>
      <c r="E69" s="78"/>
      <c r="F69" s="78"/>
      <c r="G69" s="78"/>
      <c r="H69" s="78"/>
      <c r="I69" s="1497"/>
    </row>
    <row r="70" spans="1:9" ht="18.75" customHeight="1">
      <c r="A70" s="774"/>
      <c r="B70" s="774" t="s">
        <v>1350</v>
      </c>
      <c r="C70" s="78"/>
      <c r="D70" s="78"/>
      <c r="E70" s="78"/>
      <c r="F70" s="78"/>
      <c r="G70" s="78"/>
      <c r="H70" s="78"/>
      <c r="I70" s="1497"/>
    </row>
    <row r="71" spans="1:9" ht="18.75" customHeight="1">
      <c r="A71" s="774"/>
      <c r="B71" s="774" t="s">
        <v>869</v>
      </c>
      <c r="C71" s="78"/>
      <c r="D71" s="78"/>
      <c r="E71" s="78"/>
      <c r="F71" s="78"/>
      <c r="G71" s="78"/>
      <c r="H71" s="78"/>
      <c r="I71" s="1497"/>
    </row>
    <row r="72" spans="1:9" ht="18.75" customHeight="1">
      <c r="A72" s="774"/>
      <c r="B72" s="774"/>
      <c r="C72" s="78"/>
      <c r="D72" s="78"/>
      <c r="E72" s="78"/>
      <c r="F72" s="78"/>
      <c r="G72" s="78"/>
      <c r="H72" s="78"/>
      <c r="I72" s="1497"/>
    </row>
    <row r="73" spans="1:9" ht="18.75" customHeight="1">
      <c r="A73" s="774"/>
      <c r="B73" s="939" t="s">
        <v>870</v>
      </c>
      <c r="C73" s="78"/>
      <c r="D73" s="78"/>
      <c r="E73" s="78"/>
      <c r="F73" s="78"/>
      <c r="G73" s="78"/>
      <c r="H73" s="78"/>
      <c r="I73" s="1497"/>
    </row>
    <row r="74" spans="1:9" ht="18.75" customHeight="1">
      <c r="A74" s="774"/>
      <c r="B74" s="78"/>
      <c r="C74" s="78"/>
      <c r="D74" s="78"/>
      <c r="E74" s="78"/>
      <c r="F74" s="78"/>
      <c r="G74" s="78"/>
      <c r="H74" s="78"/>
      <c r="I74" s="1497"/>
    </row>
    <row r="75" spans="1:9" ht="18">
      <c r="A75" s="772"/>
      <c r="B75" s="78"/>
      <c r="C75" s="78"/>
      <c r="D75" s="78"/>
      <c r="E75" s="78"/>
      <c r="F75" s="78"/>
      <c r="G75" s="78"/>
      <c r="H75" s="78"/>
      <c r="I75" s="1497"/>
    </row>
    <row r="76" spans="1:9" ht="18">
      <c r="A76" s="772" t="s">
        <v>237</v>
      </c>
      <c r="B76" s="78"/>
      <c r="C76" s="78"/>
      <c r="D76" s="78"/>
      <c r="E76" s="78"/>
      <c r="F76" s="78"/>
      <c r="G76" s="78"/>
      <c r="H76" s="78"/>
      <c r="I76" s="1497"/>
    </row>
    <row r="77" spans="1:9" ht="18">
      <c r="A77" s="772" t="s">
        <v>128</v>
      </c>
      <c r="B77" s="78"/>
      <c r="C77" s="78"/>
      <c r="D77" s="78"/>
      <c r="E77" s="78"/>
      <c r="F77" s="78"/>
      <c r="G77" s="78"/>
      <c r="H77" s="78"/>
      <c r="I77" s="1497"/>
    </row>
    <row r="78" spans="1:9" ht="30.75" customHeight="1">
      <c r="A78" s="776"/>
      <c r="B78" s="78"/>
      <c r="C78" s="78"/>
      <c r="D78" s="78"/>
      <c r="E78" s="78"/>
      <c r="F78" s="78"/>
      <c r="G78" s="78"/>
      <c r="H78" s="78"/>
      <c r="I78" s="1497"/>
    </row>
    <row r="79" spans="1:9" ht="15.75">
      <c r="A79" s="780"/>
      <c r="B79" s="78"/>
      <c r="C79" s="78"/>
      <c r="D79" s="78"/>
      <c r="E79" s="78"/>
      <c r="F79" s="78"/>
      <c r="G79" s="78"/>
      <c r="H79" s="78"/>
      <c r="I79" s="1497"/>
    </row>
    <row r="80" spans="1:9" ht="15">
      <c r="A80" s="112"/>
      <c r="B80" s="78"/>
      <c r="C80" s="78"/>
      <c r="D80" s="78"/>
      <c r="E80" s="78"/>
      <c r="F80" s="78"/>
      <c r="G80" s="115"/>
      <c r="H80" s="78"/>
      <c r="I80" s="1497"/>
    </row>
  </sheetData>
  <sheetProtection password="EC35" sheet="1" objects="1" scenarios="1"/>
  <mergeCells count="3">
    <mergeCell ref="I6:I80"/>
    <mergeCell ref="A9:B9"/>
    <mergeCell ref="A17:B17"/>
  </mergeCells>
  <hyperlinks>
    <hyperlink ref="A54" location="'T4'!E14" display="GO THERE"/>
    <hyperlink ref="A55" location="Sch7!E13" display="GO THERE"/>
    <hyperlink ref="A57" location="'T1 GEN-1'!T25" display="GO THERE"/>
    <hyperlink ref="A59" location="'Sch4-2'!C34" display="GO THERE"/>
    <hyperlink ref="A60" location="MISC!E76" display="GO THERE"/>
    <hyperlink ref="A62" location="'T778'!B18" display="GO THERE"/>
    <hyperlink ref="A63" location="Sch1!F47" display="GO THERE"/>
    <hyperlink ref="A68" location="Sch11!I13" display="GO THERE"/>
    <hyperlink ref="I6:I80" location="'GO TO'!G27" display=" "/>
    <hyperlink ref="A9" location="HELP!A49" display="Common Data Items &amp; Where to Put Them"/>
    <hyperlink ref="A58" location="'T778'!B18" display="GO THERE"/>
    <hyperlink ref="A9:B9" location="HELP!A64" display="Common Data Items &amp; Where to Put Them"/>
    <hyperlink ref="A17:B17" location="README!A1" display="Go to the README sheet for the basic set of instructions"/>
    <hyperlink ref="A3:B3" r:id="rId1" display="Canada Revenue Agency Online General Income Tax and Benefit Guide - 2007 "/>
  </hyperlinks>
  <printOptions horizontalCentered="1"/>
  <pageMargins left="0.511811023622047" right="0.511811023622047" top="0.511811023622047" bottom="0.511811023622047" header="0.511811023622047" footer="0.511811023622047"/>
  <pageSetup fitToHeight="0" fitToWidth="1" horizontalDpi="600" verticalDpi="600" orientation="portrait" scale="56" r:id="rId3"/>
  <drawing r:id="rId2"/>
</worksheet>
</file>

<file path=xl/worksheets/sheet30.xml><?xml version="1.0" encoding="utf-8"?>
<worksheet xmlns="http://schemas.openxmlformats.org/spreadsheetml/2006/main" xmlns:r="http://schemas.openxmlformats.org/officeDocument/2006/relationships">
  <sheetPr codeName="Sheet21111111">
    <pageSetUpPr fitToPage="1"/>
  </sheetPr>
  <dimension ref="B1:L73"/>
  <sheetViews>
    <sheetView showGridLines="0" zoomScale="65" zoomScaleNormal="65" workbookViewId="0" topLeftCell="A1">
      <selection activeCell="B2" sqref="B2"/>
    </sheetView>
  </sheetViews>
  <sheetFormatPr defaultColWidth="8.88671875" defaultRowHeight="15"/>
  <cols>
    <col min="1" max="1" width="1.77734375" style="669" customWidth="1"/>
    <col min="2" max="2" width="8.3359375" style="669" customWidth="1"/>
    <col min="3" max="3" width="37.6640625" style="669" customWidth="1"/>
    <col min="4" max="4" width="7.99609375" style="669" customWidth="1"/>
    <col min="5" max="10" width="12.21484375" style="669" customWidth="1"/>
    <col min="11" max="11" width="1.88671875" style="669" customWidth="1"/>
    <col min="12" max="16384" width="8.88671875" style="669" customWidth="1"/>
  </cols>
  <sheetData>
    <row r="1" spans="2:12" ht="18">
      <c r="B1" s="35"/>
      <c r="C1" s="33" t="str">
        <f>"T4PS-"&amp;yeartext&amp;" SLIPS DATA ENTRY"</f>
        <v>T4PS-2007 SLIPS DATA ENTRY</v>
      </c>
      <c r="D1" s="339" t="s">
        <v>1266</v>
      </c>
      <c r="E1" s="339"/>
      <c r="F1" s="35"/>
      <c r="G1" s="35"/>
      <c r="H1" s="36"/>
      <c r="I1" s="35"/>
      <c r="J1" s="36"/>
      <c r="K1" s="36" t="str">
        <f>yeartext</f>
        <v>2007</v>
      </c>
      <c r="L1" s="1671" t="s">
        <v>1659</v>
      </c>
    </row>
    <row r="2" spans="2:12" ht="18">
      <c r="B2" s="35"/>
      <c r="C2" s="35"/>
      <c r="D2" s="339" t="s">
        <v>2035</v>
      </c>
      <c r="E2" s="668"/>
      <c r="F2" s="35"/>
      <c r="G2" s="35"/>
      <c r="H2" s="35"/>
      <c r="I2" s="35"/>
      <c r="J2" s="35"/>
      <c r="K2" s="668"/>
      <c r="L2" s="1671"/>
    </row>
    <row r="3" spans="2:12" ht="18">
      <c r="B3" s="38"/>
      <c r="C3" s="38" t="s">
        <v>573</v>
      </c>
      <c r="D3" s="35"/>
      <c r="E3" s="37"/>
      <c r="F3" s="35"/>
      <c r="G3" s="35"/>
      <c r="H3" s="35"/>
      <c r="I3" s="35"/>
      <c r="J3" s="35"/>
      <c r="K3" s="668"/>
      <c r="L3" s="1671"/>
    </row>
    <row r="4" spans="2:12" ht="18">
      <c r="B4" s="38"/>
      <c r="C4" s="38" t="s">
        <v>574</v>
      </c>
      <c r="D4" s="35"/>
      <c r="E4" s="37"/>
      <c r="F4" s="35"/>
      <c r="G4" s="35"/>
      <c r="H4" s="35"/>
      <c r="I4" s="35"/>
      <c r="J4" s="35"/>
      <c r="K4" s="668"/>
      <c r="L4" s="1671"/>
    </row>
    <row r="5" spans="2:12" ht="18">
      <c r="B5" s="38"/>
      <c r="C5" s="38" t="s">
        <v>575</v>
      </c>
      <c r="D5" s="35"/>
      <c r="E5" s="37"/>
      <c r="F5" s="35"/>
      <c r="G5" s="35"/>
      <c r="H5" s="35"/>
      <c r="I5" s="35"/>
      <c r="J5" s="35"/>
      <c r="K5" s="668"/>
      <c r="L5" s="1671"/>
    </row>
    <row r="6" spans="2:12" ht="18">
      <c r="B6" s="38"/>
      <c r="C6" s="38" t="s">
        <v>704</v>
      </c>
      <c r="D6" s="35"/>
      <c r="E6" s="37"/>
      <c r="F6" s="35"/>
      <c r="G6" s="35"/>
      <c r="H6" s="35"/>
      <c r="I6" s="35"/>
      <c r="J6" s="35"/>
      <c r="K6" s="668"/>
      <c r="L6" s="1671"/>
    </row>
    <row r="7" spans="2:12" ht="18">
      <c r="B7" s="38"/>
      <c r="C7" s="38" t="s">
        <v>972</v>
      </c>
      <c r="D7" s="35"/>
      <c r="E7" s="37"/>
      <c r="F7" s="35"/>
      <c r="G7" s="35"/>
      <c r="H7" s="35"/>
      <c r="I7" s="35"/>
      <c r="J7" s="35"/>
      <c r="K7" s="668"/>
      <c r="L7" s="1671"/>
    </row>
    <row r="8" spans="2:12" ht="18">
      <c r="B8" s="38"/>
      <c r="C8" s="38" t="s">
        <v>755</v>
      </c>
      <c r="D8" s="35"/>
      <c r="E8" s="37"/>
      <c r="F8" s="35"/>
      <c r="G8" s="35"/>
      <c r="H8" s="35"/>
      <c r="I8" s="35"/>
      <c r="J8" s="35"/>
      <c r="K8" s="668"/>
      <c r="L8" s="1671"/>
    </row>
    <row r="9" spans="2:12" ht="18">
      <c r="B9" s="38"/>
      <c r="C9" s="38" t="s">
        <v>96</v>
      </c>
      <c r="D9" s="35"/>
      <c r="E9" s="37"/>
      <c r="F9" s="35"/>
      <c r="G9" s="35"/>
      <c r="H9" s="35"/>
      <c r="I9" s="35"/>
      <c r="J9" s="35"/>
      <c r="K9" s="668"/>
      <c r="L9" s="1671"/>
    </row>
    <row r="10" spans="2:12" ht="18">
      <c r="B10" s="38"/>
      <c r="C10" s="38" t="s">
        <v>195</v>
      </c>
      <c r="D10" s="35"/>
      <c r="E10" s="37"/>
      <c r="F10" s="35"/>
      <c r="G10" s="35"/>
      <c r="H10" s="35"/>
      <c r="I10" s="35"/>
      <c r="J10" s="35"/>
      <c r="K10" s="668"/>
      <c r="L10" s="1671"/>
    </row>
    <row r="11" spans="2:12" ht="18">
      <c r="B11" s="38"/>
      <c r="C11" s="38" t="s">
        <v>1526</v>
      </c>
      <c r="D11" s="35"/>
      <c r="E11" s="37"/>
      <c r="F11" s="35"/>
      <c r="G11" s="35"/>
      <c r="H11" s="35"/>
      <c r="I11" s="35"/>
      <c r="J11" s="35"/>
      <c r="K11" s="668"/>
      <c r="L11" s="1671"/>
    </row>
    <row r="12" spans="2:12" ht="18">
      <c r="B12" s="38"/>
      <c r="C12" s="38" t="s">
        <v>2574</v>
      </c>
      <c r="D12" s="35"/>
      <c r="E12" s="37"/>
      <c r="F12" s="35"/>
      <c r="G12" s="35"/>
      <c r="H12" s="35"/>
      <c r="I12" s="35"/>
      <c r="J12" s="35"/>
      <c r="K12" s="668"/>
      <c r="L12" s="1671"/>
    </row>
    <row r="13" spans="2:12" ht="18">
      <c r="B13" s="38"/>
      <c r="C13" s="38"/>
      <c r="D13" s="35"/>
      <c r="E13" s="37"/>
      <c r="F13" s="35"/>
      <c r="G13" s="35"/>
      <c r="H13" s="35"/>
      <c r="I13" s="35"/>
      <c r="J13" s="35"/>
      <c r="K13" s="668"/>
      <c r="L13" s="1671"/>
    </row>
    <row r="14" spans="2:12" ht="18">
      <c r="B14" s="38"/>
      <c r="C14" s="38"/>
      <c r="D14" s="35"/>
      <c r="E14" s="37"/>
      <c r="F14" s="35"/>
      <c r="G14" s="35"/>
      <c r="H14" s="35"/>
      <c r="I14" s="35"/>
      <c r="J14" s="35"/>
      <c r="K14" s="668"/>
      <c r="L14" s="1671"/>
    </row>
    <row r="15" spans="2:12" ht="40.5" customHeight="1">
      <c r="B15" s="41" t="s">
        <v>1529</v>
      </c>
      <c r="C15" s="41" t="s">
        <v>2180</v>
      </c>
      <c r="D15" s="41" t="s">
        <v>2587</v>
      </c>
      <c r="E15" s="41" t="s">
        <v>756</v>
      </c>
      <c r="F15" s="41" t="s">
        <v>757</v>
      </c>
      <c r="G15" s="41" t="s">
        <v>758</v>
      </c>
      <c r="H15" s="41" t="s">
        <v>759</v>
      </c>
      <c r="I15" s="41" t="s">
        <v>95</v>
      </c>
      <c r="J15" s="42" t="s">
        <v>2444</v>
      </c>
      <c r="K15" s="668"/>
      <c r="L15" s="1671"/>
    </row>
    <row r="16" spans="2:12" ht="18">
      <c r="B16" s="35"/>
      <c r="C16" s="38"/>
      <c r="D16" s="38"/>
      <c r="E16" s="37"/>
      <c r="F16" s="35"/>
      <c r="G16" s="35"/>
      <c r="H16" s="35"/>
      <c r="I16" s="35"/>
      <c r="J16" s="35"/>
      <c r="K16" s="668"/>
      <c r="L16" s="1671"/>
    </row>
    <row r="17" spans="2:12" ht="18">
      <c r="B17" s="35"/>
      <c r="C17" s="344" t="s">
        <v>1801</v>
      </c>
      <c r="D17" s="344"/>
      <c r="E17" s="362"/>
      <c r="F17" s="362"/>
      <c r="G17" s="362"/>
      <c r="H17" s="362"/>
      <c r="I17" s="362"/>
      <c r="J17" s="35" t="s">
        <v>1672</v>
      </c>
      <c r="K17" s="668"/>
      <c r="L17" s="1671"/>
    </row>
    <row r="18" spans="2:12" ht="18">
      <c r="B18" s="35"/>
      <c r="C18" s="344"/>
      <c r="D18" s="344"/>
      <c r="E18" s="37"/>
      <c r="F18" s="35"/>
      <c r="G18" s="35"/>
      <c r="H18" s="35"/>
      <c r="I18" s="35"/>
      <c r="J18" s="35"/>
      <c r="K18" s="668"/>
      <c r="L18" s="1671"/>
    </row>
    <row r="19" spans="2:12" ht="18">
      <c r="B19" s="35"/>
      <c r="C19" s="1672" t="s">
        <v>1762</v>
      </c>
      <c r="D19" s="344"/>
      <c r="E19" s="37"/>
      <c r="F19" s="35"/>
      <c r="G19" s="35"/>
      <c r="H19" s="35"/>
      <c r="I19" s="35"/>
      <c r="J19" s="35"/>
      <c r="K19" s="668"/>
      <c r="L19" s="1671"/>
    </row>
    <row r="20" spans="2:12" ht="18">
      <c r="B20" s="35"/>
      <c r="C20" s="1673"/>
      <c r="D20" s="1155" t="s">
        <v>2016</v>
      </c>
      <c r="E20" s="345"/>
      <c r="F20" s="275"/>
      <c r="G20" s="275"/>
      <c r="H20" s="275"/>
      <c r="I20" s="275"/>
      <c r="J20" s="670">
        <f>SUM(E20:I20)</f>
        <v>0</v>
      </c>
      <c r="K20" s="668"/>
      <c r="L20" s="1671"/>
    </row>
    <row r="21" spans="2:12" ht="18">
      <c r="B21" s="35"/>
      <c r="C21" s="344"/>
      <c r="D21" s="33"/>
      <c r="E21" s="37"/>
      <c r="F21" s="35"/>
      <c r="G21" s="35"/>
      <c r="H21" s="35"/>
      <c r="I21" s="35"/>
      <c r="J21" s="35"/>
      <c r="K21" s="668"/>
      <c r="L21" s="1671"/>
    </row>
    <row r="22" spans="2:12" ht="18">
      <c r="B22" s="56" t="s">
        <v>2146</v>
      </c>
      <c r="C22" s="1672" t="s">
        <v>1763</v>
      </c>
      <c r="D22" s="33"/>
      <c r="E22" s="37"/>
      <c r="F22" s="35"/>
      <c r="G22" s="35"/>
      <c r="H22" s="35"/>
      <c r="I22" s="35"/>
      <c r="J22" s="35"/>
      <c r="K22" s="668"/>
      <c r="L22" s="1671"/>
    </row>
    <row r="23" spans="2:12" ht="18">
      <c r="B23" s="56" t="s">
        <v>420</v>
      </c>
      <c r="C23" s="1673"/>
      <c r="D23" s="1155" t="s">
        <v>1804</v>
      </c>
      <c r="E23" s="345"/>
      <c r="F23" s="275"/>
      <c r="G23" s="275"/>
      <c r="H23" s="275"/>
      <c r="I23" s="275"/>
      <c r="J23" s="670">
        <f>SUM(E23:I23)</f>
        <v>0</v>
      </c>
      <c r="K23" s="668"/>
      <c r="L23" s="1671"/>
    </row>
    <row r="24" spans="2:12" ht="18">
      <c r="B24" s="35"/>
      <c r="C24" s="344"/>
      <c r="D24" s="1155"/>
      <c r="E24" s="37"/>
      <c r="F24" s="35"/>
      <c r="G24" s="35"/>
      <c r="H24" s="35"/>
      <c r="I24" s="35"/>
      <c r="J24" s="35"/>
      <c r="K24" s="668"/>
      <c r="L24" s="1671"/>
    </row>
    <row r="25" spans="2:12" ht="18">
      <c r="B25" s="35"/>
      <c r="C25" s="1672" t="s">
        <v>2142</v>
      </c>
      <c r="D25" s="1155"/>
      <c r="E25" s="37"/>
      <c r="F25" s="35"/>
      <c r="G25" s="35"/>
      <c r="H25" s="35"/>
      <c r="I25" s="35"/>
      <c r="J25" s="35"/>
      <c r="K25" s="668"/>
      <c r="L25" s="1671"/>
    </row>
    <row r="26" spans="2:12" ht="18">
      <c r="B26" s="56" t="s">
        <v>166</v>
      </c>
      <c r="C26" s="1673"/>
      <c r="D26" s="1155" t="s">
        <v>2018</v>
      </c>
      <c r="E26" s="345">
        <f>E23*0.133333</f>
        <v>0</v>
      </c>
      <c r="F26" s="345">
        <f>F23*0.133333</f>
        <v>0</v>
      </c>
      <c r="G26" s="345">
        <f>G23*0.133333</f>
        <v>0</v>
      </c>
      <c r="H26" s="345">
        <f>H23*0.133333</f>
        <v>0</v>
      </c>
      <c r="I26" s="345">
        <f>I23*0.133333</f>
        <v>0</v>
      </c>
      <c r="J26" s="670">
        <f>SUM(E26:I26)</f>
        <v>0</v>
      </c>
      <c r="K26" s="668"/>
      <c r="L26" s="1671"/>
    </row>
    <row r="27" spans="2:12" ht="18">
      <c r="B27" s="35"/>
      <c r="C27" s="38"/>
      <c r="D27" s="344"/>
      <c r="E27" s="37"/>
      <c r="F27" s="35"/>
      <c r="G27" s="35"/>
      <c r="H27" s="35"/>
      <c r="I27" s="35"/>
      <c r="J27" s="35"/>
      <c r="K27" s="668"/>
      <c r="L27" s="1671"/>
    </row>
    <row r="28" spans="2:12" ht="18">
      <c r="B28" s="46"/>
      <c r="C28" s="344" t="s">
        <v>2143</v>
      </c>
      <c r="D28" s="330" t="s">
        <v>1456</v>
      </c>
      <c r="E28" s="345"/>
      <c r="F28" s="345"/>
      <c r="G28" s="345"/>
      <c r="H28" s="345"/>
      <c r="I28" s="345"/>
      <c r="J28" s="670">
        <f>SUM(E28:I28)</f>
        <v>0</v>
      </c>
      <c r="K28" s="668"/>
      <c r="L28" s="1671"/>
    </row>
    <row r="29" spans="2:12" ht="18">
      <c r="B29" s="35"/>
      <c r="C29" s="38"/>
      <c r="D29" s="330"/>
      <c r="E29" s="37"/>
      <c r="F29" s="35"/>
      <c r="G29" s="35"/>
      <c r="H29" s="37"/>
      <c r="I29" s="35"/>
      <c r="J29" s="35"/>
      <c r="K29" s="668"/>
      <c r="L29" s="1671"/>
    </row>
    <row r="30" spans="2:12" ht="18">
      <c r="B30" s="56">
        <v>120</v>
      </c>
      <c r="C30" s="1156" t="s">
        <v>2144</v>
      </c>
      <c r="D30" s="330" t="s">
        <v>1457</v>
      </c>
      <c r="E30" s="345"/>
      <c r="F30" s="345"/>
      <c r="G30" s="345"/>
      <c r="H30" s="345"/>
      <c r="I30" s="345"/>
      <c r="J30" s="670">
        <f>SUM(E30:I30)</f>
        <v>0</v>
      </c>
      <c r="K30" s="668"/>
      <c r="L30" s="1671"/>
    </row>
    <row r="31" spans="2:12" ht="18">
      <c r="B31" s="33"/>
      <c r="C31" s="339"/>
      <c r="D31" s="330"/>
      <c r="E31" s="33"/>
      <c r="F31" s="33"/>
      <c r="G31" s="33"/>
      <c r="H31" s="33"/>
      <c r="I31" s="33"/>
      <c r="J31" s="33"/>
      <c r="K31" s="668"/>
      <c r="L31" s="1671"/>
    </row>
    <row r="32" spans="2:12" ht="18">
      <c r="B32" s="33"/>
      <c r="C32" s="1672" t="s">
        <v>2145</v>
      </c>
      <c r="D32" s="330"/>
      <c r="E32" s="33"/>
      <c r="F32" s="33"/>
      <c r="G32" s="33"/>
      <c r="H32" s="33"/>
      <c r="I32" s="33"/>
      <c r="J32" s="33"/>
      <c r="K32" s="668"/>
      <c r="L32" s="1671"/>
    </row>
    <row r="33" spans="2:12" ht="18">
      <c r="B33" s="56" t="s">
        <v>166</v>
      </c>
      <c r="C33" s="1674"/>
      <c r="D33" s="330" t="s">
        <v>1458</v>
      </c>
      <c r="E33" s="345">
        <f>E30*0.189655</f>
        <v>0</v>
      </c>
      <c r="F33" s="345">
        <f>F30*0.189655</f>
        <v>0</v>
      </c>
      <c r="G33" s="345">
        <f>G30*0.189655</f>
        <v>0</v>
      </c>
      <c r="H33" s="345">
        <f>H30*0.189655</f>
        <v>0</v>
      </c>
      <c r="I33" s="345">
        <f>I30*0.189655</f>
        <v>0</v>
      </c>
      <c r="J33" s="670">
        <f>SUM(E33:I33)</f>
        <v>0</v>
      </c>
      <c r="K33" s="668"/>
      <c r="L33" s="1671"/>
    </row>
    <row r="34" spans="2:12" ht="18">
      <c r="B34" s="35"/>
      <c r="C34" s="38"/>
      <c r="D34" s="330"/>
      <c r="E34" s="33"/>
      <c r="F34" s="35"/>
      <c r="G34" s="35"/>
      <c r="H34" s="35"/>
      <c r="I34" s="35"/>
      <c r="J34" s="35"/>
      <c r="K34" s="668"/>
      <c r="L34" s="1671"/>
    </row>
    <row r="35" spans="2:12" ht="18">
      <c r="B35" s="56" t="s">
        <v>1739</v>
      </c>
      <c r="C35" s="344" t="s">
        <v>141</v>
      </c>
      <c r="D35" s="330" t="s">
        <v>532</v>
      </c>
      <c r="E35" s="345"/>
      <c r="F35" s="345"/>
      <c r="G35" s="345"/>
      <c r="H35" s="345"/>
      <c r="I35" s="345"/>
      <c r="J35" s="670">
        <f>SUM(E35:I35)</f>
        <v>0</v>
      </c>
      <c r="K35" s="668"/>
      <c r="L35" s="1671"/>
    </row>
    <row r="36" spans="2:12" ht="18">
      <c r="B36" s="358"/>
      <c r="C36" s="38"/>
      <c r="D36" s="330"/>
      <c r="E36" s="33"/>
      <c r="F36" s="35"/>
      <c r="G36" s="35"/>
      <c r="H36" s="35"/>
      <c r="I36" s="35"/>
      <c r="J36" s="35"/>
      <c r="K36" s="668"/>
      <c r="L36" s="1671"/>
    </row>
    <row r="37" spans="2:12" ht="18">
      <c r="B37" s="46" t="s">
        <v>1905</v>
      </c>
      <c r="C37" s="344" t="s">
        <v>488</v>
      </c>
      <c r="D37" s="330" t="s">
        <v>1451</v>
      </c>
      <c r="E37" s="345"/>
      <c r="F37" s="345"/>
      <c r="G37" s="345"/>
      <c r="H37" s="345"/>
      <c r="I37" s="345"/>
      <c r="J37" s="670">
        <f>SUM(E37:I37)</f>
        <v>0</v>
      </c>
      <c r="K37" s="668"/>
      <c r="L37" s="1671"/>
    </row>
    <row r="38" spans="2:12" ht="18">
      <c r="B38" s="35"/>
      <c r="C38" s="38"/>
      <c r="D38" s="344"/>
      <c r="E38" s="37"/>
      <c r="F38" s="35"/>
      <c r="G38" s="35"/>
      <c r="H38" s="35"/>
      <c r="I38" s="35"/>
      <c r="J38" s="35"/>
      <c r="K38" s="668"/>
      <c r="L38" s="1671"/>
    </row>
    <row r="39" spans="2:12" ht="18">
      <c r="B39" s="46" t="s">
        <v>162</v>
      </c>
      <c r="C39" s="344" t="s">
        <v>139</v>
      </c>
      <c r="D39" s="330" t="s">
        <v>1455</v>
      </c>
      <c r="E39" s="345"/>
      <c r="F39" s="345"/>
      <c r="G39" s="345"/>
      <c r="H39" s="345"/>
      <c r="I39" s="345"/>
      <c r="J39" s="670">
        <f>SUM(E39:I39)</f>
        <v>0</v>
      </c>
      <c r="K39" s="668"/>
      <c r="L39" s="1671"/>
    </row>
    <row r="40" spans="2:12" ht="18">
      <c r="B40" s="35"/>
      <c r="C40" s="344" t="s">
        <v>140</v>
      </c>
      <c r="D40" s="330"/>
      <c r="E40" s="37"/>
      <c r="F40" s="35"/>
      <c r="G40" s="35"/>
      <c r="H40" s="37"/>
      <c r="I40" s="35"/>
      <c r="J40" s="35"/>
      <c r="K40" s="668"/>
      <c r="L40" s="1671"/>
    </row>
    <row r="41" spans="2:12" ht="18">
      <c r="B41" s="56" t="s">
        <v>168</v>
      </c>
      <c r="C41" s="344" t="s">
        <v>2325</v>
      </c>
      <c r="D41" s="330" t="s">
        <v>2458</v>
      </c>
      <c r="E41" s="345"/>
      <c r="F41" s="345"/>
      <c r="G41" s="345"/>
      <c r="H41" s="345"/>
      <c r="I41" s="345"/>
      <c r="J41" s="670">
        <f>SUM(E41:I41)</f>
        <v>0</v>
      </c>
      <c r="K41" s="668"/>
      <c r="L41" s="1671"/>
    </row>
    <row r="42" spans="2:12" ht="18">
      <c r="B42" s="33"/>
      <c r="C42" s="361" t="s">
        <v>893</v>
      </c>
      <c r="D42" s="330"/>
      <c r="E42" s="33"/>
      <c r="F42" s="33"/>
      <c r="G42" s="33"/>
      <c r="H42" s="33"/>
      <c r="I42" s="33"/>
      <c r="J42" s="33"/>
      <c r="K42" s="668"/>
      <c r="L42" s="1671"/>
    </row>
    <row r="43" spans="2:12" ht="18">
      <c r="B43" s="56" t="s">
        <v>168</v>
      </c>
      <c r="C43" s="344" t="s">
        <v>2652</v>
      </c>
      <c r="D43" s="330" t="s">
        <v>1787</v>
      </c>
      <c r="E43" s="345"/>
      <c r="F43" s="345"/>
      <c r="G43" s="345"/>
      <c r="H43" s="345"/>
      <c r="I43" s="345"/>
      <c r="J43" s="670">
        <f>SUM(E43:I43)</f>
        <v>0</v>
      </c>
      <c r="K43" s="668"/>
      <c r="L43" s="1671"/>
    </row>
    <row r="44" spans="2:12" ht="18">
      <c r="B44" s="35"/>
      <c r="C44" s="38" t="s">
        <v>893</v>
      </c>
      <c r="D44" s="330"/>
      <c r="E44" s="33"/>
      <c r="F44" s="35"/>
      <c r="G44" s="35"/>
      <c r="H44" s="35"/>
      <c r="I44" s="35"/>
      <c r="J44" s="35"/>
      <c r="K44" s="668"/>
      <c r="L44" s="1671"/>
    </row>
    <row r="45" spans="2:12" ht="18">
      <c r="B45" s="46" t="s">
        <v>167</v>
      </c>
      <c r="C45" s="344" t="s">
        <v>1463</v>
      </c>
      <c r="D45" s="330" t="s">
        <v>2581</v>
      </c>
      <c r="E45" s="345"/>
      <c r="F45" s="345"/>
      <c r="G45" s="345"/>
      <c r="H45" s="345"/>
      <c r="I45" s="345"/>
      <c r="J45" s="670">
        <f>SUM(E45:I45)</f>
        <v>0</v>
      </c>
      <c r="K45" s="668"/>
      <c r="L45" s="1671"/>
    </row>
    <row r="46" spans="2:12" ht="18">
      <c r="B46" s="358"/>
      <c r="C46" s="38" t="s">
        <v>893</v>
      </c>
      <c r="D46" s="35"/>
      <c r="E46" s="37"/>
      <c r="F46" s="35"/>
      <c r="G46" s="35"/>
      <c r="H46" s="35"/>
      <c r="I46" s="35"/>
      <c r="J46" s="35"/>
      <c r="K46" s="668"/>
      <c r="L46" s="1671"/>
    </row>
    <row r="47" spans="2:12" ht="18.75" thickBot="1">
      <c r="B47" s="311"/>
      <c r="C47" s="312"/>
      <c r="D47" s="311"/>
      <c r="E47" s="313"/>
      <c r="F47" s="314"/>
      <c r="G47" s="314"/>
      <c r="H47" s="671"/>
      <c r="I47" s="314"/>
      <c r="J47" s="672"/>
      <c r="K47" s="673"/>
      <c r="L47" s="1671"/>
    </row>
    <row r="48" spans="2:12" ht="18">
      <c r="B48" s="46"/>
      <c r="C48" s="33" t="str">
        <f>"T4PS-"&amp;yeartext&amp;" GENERAL DATA ENTRY"</f>
        <v>T4PS-2007 GENERAL DATA ENTRY</v>
      </c>
      <c r="D48" s="33"/>
      <c r="E48" s="339" t="s">
        <v>766</v>
      </c>
      <c r="F48" s="35"/>
      <c r="G48" s="35"/>
      <c r="H48" s="36"/>
      <c r="I48" s="35"/>
      <c r="J48" s="36" t="str">
        <f>yeartext</f>
        <v>2007</v>
      </c>
      <c r="K48" s="668"/>
      <c r="L48" s="1671"/>
    </row>
    <row r="49" spans="2:12" ht="18">
      <c r="B49" s="46"/>
      <c r="C49" s="49"/>
      <c r="D49" s="46"/>
      <c r="E49" s="339" t="s">
        <v>2035</v>
      </c>
      <c r="F49" s="48"/>
      <c r="G49" s="48"/>
      <c r="H49" s="674"/>
      <c r="I49" s="48"/>
      <c r="J49" s="675"/>
      <c r="K49" s="668"/>
      <c r="L49" s="1671"/>
    </row>
    <row r="50" spans="2:12" ht="18">
      <c r="B50" s="46"/>
      <c r="C50" s="49"/>
      <c r="D50" s="46"/>
      <c r="E50" s="339"/>
      <c r="F50" s="48"/>
      <c r="G50" s="48"/>
      <c r="H50" s="674"/>
      <c r="I50" s="48"/>
      <c r="J50" s="675"/>
      <c r="K50" s="668"/>
      <c r="L50" s="1671"/>
    </row>
    <row r="51" spans="2:12" ht="18">
      <c r="B51" s="46"/>
      <c r="C51" s="41" t="s">
        <v>1903</v>
      </c>
      <c r="D51" s="41" t="s">
        <v>1529</v>
      </c>
      <c r="E51" s="41" t="s">
        <v>1904</v>
      </c>
      <c r="F51" s="346"/>
      <c r="G51" s="357" t="s">
        <v>70</v>
      </c>
      <c r="H51" s="346"/>
      <c r="I51" s="346"/>
      <c r="J51" s="346"/>
      <c r="K51" s="668"/>
      <c r="L51" s="1671"/>
    </row>
    <row r="52" spans="2:12" ht="18">
      <c r="B52" s="46"/>
      <c r="C52" s="315" t="s">
        <v>1902</v>
      </c>
      <c r="D52" s="316" t="s">
        <v>1905</v>
      </c>
      <c r="E52" s="351">
        <f>J37</f>
        <v>0</v>
      </c>
      <c r="F52" s="347"/>
      <c r="G52" s="357" t="s">
        <v>71</v>
      </c>
      <c r="H52" s="347"/>
      <c r="I52" s="347"/>
      <c r="J52" s="347"/>
      <c r="K52" s="668"/>
      <c r="L52" s="1671"/>
    </row>
    <row r="53" spans="2:12" ht="18">
      <c r="B53" s="46"/>
      <c r="C53" s="309" t="s">
        <v>1902</v>
      </c>
      <c r="D53" s="310" t="s">
        <v>420</v>
      </c>
      <c r="E53" s="351">
        <f>J23+J30</f>
        <v>0</v>
      </c>
      <c r="F53" s="347"/>
      <c r="G53" s="357"/>
      <c r="H53" s="347"/>
      <c r="I53" s="347"/>
      <c r="J53" s="347"/>
      <c r="K53" s="668"/>
      <c r="L53" s="1671"/>
    </row>
    <row r="54" spans="2:12" ht="18">
      <c r="B54" s="46"/>
      <c r="C54" s="309" t="s">
        <v>1902</v>
      </c>
      <c r="D54" s="310" t="s">
        <v>2146</v>
      </c>
      <c r="E54" s="351">
        <f>J23</f>
        <v>0</v>
      </c>
      <c r="F54" s="347"/>
      <c r="G54" s="357"/>
      <c r="H54" s="347"/>
      <c r="I54" s="347"/>
      <c r="J54" s="347"/>
      <c r="K54" s="668"/>
      <c r="L54" s="1671"/>
    </row>
    <row r="55" spans="2:12" ht="18">
      <c r="B55" s="46"/>
      <c r="C55" s="309" t="s">
        <v>1906</v>
      </c>
      <c r="D55" s="310" t="s">
        <v>162</v>
      </c>
      <c r="E55" s="351">
        <f>J39</f>
        <v>0</v>
      </c>
      <c r="F55" s="347"/>
      <c r="G55" s="347" t="s">
        <v>2584</v>
      </c>
      <c r="H55" s="347"/>
      <c r="I55" s="347"/>
      <c r="J55" s="347"/>
      <c r="K55" s="668"/>
      <c r="L55" s="1671"/>
    </row>
    <row r="56" spans="2:12" ht="18">
      <c r="B56" s="46"/>
      <c r="C56" s="309" t="s">
        <v>416</v>
      </c>
      <c r="D56" s="310" t="s">
        <v>166</v>
      </c>
      <c r="E56" s="351">
        <f>J26+J33</f>
        <v>0</v>
      </c>
      <c r="F56" s="357"/>
      <c r="G56" s="347" t="s">
        <v>2585</v>
      </c>
      <c r="H56" s="357"/>
      <c r="I56" s="357"/>
      <c r="J56" s="347"/>
      <c r="K56" s="668"/>
      <c r="L56" s="1671"/>
    </row>
    <row r="57" spans="2:12" ht="18">
      <c r="B57" s="46"/>
      <c r="C57" s="309" t="s">
        <v>893</v>
      </c>
      <c r="D57" s="310" t="s">
        <v>167</v>
      </c>
      <c r="E57" s="351">
        <f>J45</f>
        <v>0</v>
      </c>
      <c r="F57" s="357"/>
      <c r="G57" s="347"/>
      <c r="H57" s="357"/>
      <c r="I57" s="357"/>
      <c r="J57" s="347"/>
      <c r="K57" s="668"/>
      <c r="L57" s="1671"/>
    </row>
    <row r="58" spans="2:12" ht="18">
      <c r="B58" s="46"/>
      <c r="C58" s="309" t="s">
        <v>893</v>
      </c>
      <c r="D58" s="310" t="s">
        <v>168</v>
      </c>
      <c r="E58" s="351">
        <f>J41+J43</f>
        <v>0</v>
      </c>
      <c r="F58" s="357"/>
      <c r="G58" s="347" t="s">
        <v>94</v>
      </c>
      <c r="H58" s="357"/>
      <c r="I58" s="357"/>
      <c r="J58" s="347"/>
      <c r="K58" s="668"/>
      <c r="L58" s="1671"/>
    </row>
    <row r="59" spans="2:12" ht="18">
      <c r="B59" s="46"/>
      <c r="C59" s="309" t="s">
        <v>165</v>
      </c>
      <c r="D59" s="310" t="s">
        <v>1739</v>
      </c>
      <c r="E59" s="351">
        <f>J35</f>
        <v>0</v>
      </c>
      <c r="F59" s="357"/>
      <c r="G59" s="347" t="s">
        <v>69</v>
      </c>
      <c r="H59" s="347"/>
      <c r="I59" s="347"/>
      <c r="J59" s="347"/>
      <c r="K59" s="668"/>
      <c r="L59" s="1671"/>
    </row>
    <row r="60" spans="2:12" ht="18">
      <c r="B60" s="46"/>
      <c r="C60" s="49"/>
      <c r="D60" s="46"/>
      <c r="E60" s="51"/>
      <c r="F60" s="48"/>
      <c r="G60" s="48"/>
      <c r="H60" s="674"/>
      <c r="I60" s="48"/>
      <c r="J60" s="675"/>
      <c r="K60" s="668"/>
      <c r="L60" s="1671"/>
    </row>
    <row r="61" spans="2:12" ht="18">
      <c r="B61" s="46"/>
      <c r="C61" s="49"/>
      <c r="D61" s="46"/>
      <c r="E61" s="51"/>
      <c r="F61" s="48"/>
      <c r="G61" s="48"/>
      <c r="H61" s="674"/>
      <c r="I61" s="48"/>
      <c r="J61" s="675"/>
      <c r="K61" s="668"/>
      <c r="L61" s="1671"/>
    </row>
    <row r="62" spans="2:4" ht="15">
      <c r="B62" s="676"/>
      <c r="D62" s="55"/>
    </row>
    <row r="63" spans="2:4" ht="15">
      <c r="B63" s="676"/>
      <c r="D63" s="55"/>
    </row>
    <row r="64" spans="2:4" ht="15">
      <c r="B64" s="676"/>
      <c r="D64" s="55"/>
    </row>
    <row r="65" spans="2:4" ht="15">
      <c r="B65" s="676"/>
      <c r="D65" s="55"/>
    </row>
    <row r="66" spans="2:4" ht="15">
      <c r="B66" s="676"/>
      <c r="D66" s="55"/>
    </row>
    <row r="67" spans="2:4" ht="15">
      <c r="B67" s="676"/>
      <c r="D67" s="55"/>
    </row>
    <row r="68" spans="2:4" ht="15">
      <c r="B68" s="676"/>
      <c r="D68" s="55"/>
    </row>
    <row r="69" spans="2:4" ht="15">
      <c r="B69" s="676"/>
      <c r="D69" s="55"/>
    </row>
    <row r="70" spans="2:4" ht="15">
      <c r="B70" s="676"/>
      <c r="D70" s="55"/>
    </row>
    <row r="71" spans="2:4" ht="15">
      <c r="B71" s="676"/>
      <c r="D71" s="55"/>
    </row>
    <row r="72" spans="2:4" ht="15">
      <c r="B72" s="676"/>
      <c r="D72" s="55"/>
    </row>
    <row r="73" spans="2:4" ht="15">
      <c r="B73" s="676"/>
      <c r="D73" s="55"/>
    </row>
  </sheetData>
  <sheetProtection password="EC35" sheet="1" objects="1" scenarios="1"/>
  <mergeCells count="5">
    <mergeCell ref="L1:L61"/>
    <mergeCell ref="C19:C20"/>
    <mergeCell ref="C22:C23"/>
    <mergeCell ref="C25:C26"/>
    <mergeCell ref="C32:C33"/>
  </mergeCells>
  <hyperlinks>
    <hyperlink ref="L1:L61" location="'GO TO'!G13" display=" "/>
  </hyperlinks>
  <printOptions horizontalCentered="1"/>
  <pageMargins left="0" right="0" top="0" bottom="0" header="0.5" footer="0.5"/>
  <pageSetup fitToHeight="0" fitToWidth="1" horizontalDpi="600" verticalDpi="600" orientation="portrait" scale="65" r:id="rId3"/>
  <legacyDrawing r:id="rId2"/>
</worksheet>
</file>

<file path=xl/worksheets/sheet31.xml><?xml version="1.0" encoding="utf-8"?>
<worksheet xmlns="http://schemas.openxmlformats.org/spreadsheetml/2006/main" xmlns:r="http://schemas.openxmlformats.org/officeDocument/2006/relationships">
  <sheetPr codeName="Sheet2111111112">
    <pageSetUpPr fitToPage="1"/>
  </sheetPr>
  <dimension ref="B1:M74"/>
  <sheetViews>
    <sheetView showGridLines="0" zoomScale="70" zoomScaleNormal="70" workbookViewId="0" topLeftCell="A1">
      <selection activeCell="B2" sqref="B2"/>
    </sheetView>
  </sheetViews>
  <sheetFormatPr defaultColWidth="8.88671875" defaultRowHeight="15"/>
  <cols>
    <col min="1" max="1" width="1.77734375" style="669" customWidth="1"/>
    <col min="2" max="2" width="8.3359375" style="669" customWidth="1"/>
    <col min="3" max="3" width="37.88671875" style="669" customWidth="1"/>
    <col min="4" max="4" width="7.99609375" style="669" customWidth="1"/>
    <col min="5" max="10" width="12.21484375" style="669" customWidth="1"/>
    <col min="11" max="11" width="1.88671875" style="669" customWidth="1"/>
    <col min="12" max="16384" width="8.88671875" style="669" customWidth="1"/>
  </cols>
  <sheetData>
    <row r="1" spans="2:12" ht="18">
      <c r="B1" s="35"/>
      <c r="C1" s="33" t="str">
        <f>"T4RIF-"&amp;yeartext&amp;" SLIPS DATA ENTRY FOR"</f>
        <v>T4RIF-2007 SLIPS DATA ENTRY FOR</v>
      </c>
      <c r="D1" s="33"/>
      <c r="E1" s="339" t="s">
        <v>1262</v>
      </c>
      <c r="F1" s="35"/>
      <c r="G1" s="35"/>
      <c r="H1" s="36"/>
      <c r="I1" s="35"/>
      <c r="J1" s="36" t="str">
        <f>yeartext</f>
        <v>2007</v>
      </c>
      <c r="K1" s="668"/>
      <c r="L1" s="1671" t="s">
        <v>1659</v>
      </c>
    </row>
    <row r="2" spans="2:12" ht="18">
      <c r="B2" s="35"/>
      <c r="C2" s="35"/>
      <c r="D2" s="37"/>
      <c r="E2" s="339" t="s">
        <v>1263</v>
      </c>
      <c r="F2" s="35"/>
      <c r="G2" s="35"/>
      <c r="H2" s="35"/>
      <c r="I2" s="35"/>
      <c r="J2" s="35"/>
      <c r="K2" s="668"/>
      <c r="L2" s="1671"/>
    </row>
    <row r="3" spans="2:12" ht="27" customHeight="1">
      <c r="B3" s="38"/>
      <c r="C3" s="38" t="s">
        <v>1059</v>
      </c>
      <c r="D3" s="35"/>
      <c r="E3" s="37"/>
      <c r="F3" s="35"/>
      <c r="G3" s="35"/>
      <c r="H3" s="35"/>
      <c r="I3" s="35"/>
      <c r="J3" s="35"/>
      <c r="K3" s="668"/>
      <c r="L3" s="1671"/>
    </row>
    <row r="4" spans="2:12" ht="18">
      <c r="B4" s="38"/>
      <c r="C4" s="38" t="s">
        <v>1317</v>
      </c>
      <c r="D4" s="35"/>
      <c r="E4" s="37"/>
      <c r="F4" s="35"/>
      <c r="G4" s="35"/>
      <c r="H4" s="35"/>
      <c r="I4" s="35"/>
      <c r="J4" s="35"/>
      <c r="K4" s="668"/>
      <c r="L4" s="1671"/>
    </row>
    <row r="5" spans="2:12" ht="18">
      <c r="B5" s="38"/>
      <c r="C5" s="38" t="s">
        <v>878</v>
      </c>
      <c r="D5" s="35"/>
      <c r="E5" s="37"/>
      <c r="F5" s="35"/>
      <c r="G5" s="35"/>
      <c r="H5" s="35"/>
      <c r="I5" s="35"/>
      <c r="J5" s="35"/>
      <c r="K5" s="668"/>
      <c r="L5" s="1671"/>
    </row>
    <row r="6" spans="2:12" ht="18">
      <c r="B6" s="38"/>
      <c r="C6" s="38" t="s">
        <v>42</v>
      </c>
      <c r="D6" s="35"/>
      <c r="E6" s="37"/>
      <c r="F6" s="35"/>
      <c r="G6" s="35"/>
      <c r="H6" s="35"/>
      <c r="I6" s="35"/>
      <c r="J6" s="35"/>
      <c r="K6" s="668"/>
      <c r="L6" s="1671"/>
    </row>
    <row r="7" spans="2:12" ht="18">
      <c r="B7" s="38"/>
      <c r="C7" s="38" t="s">
        <v>972</v>
      </c>
      <c r="D7" s="35"/>
      <c r="E7" s="37"/>
      <c r="F7" s="35"/>
      <c r="G7" s="35"/>
      <c r="H7" s="35"/>
      <c r="I7" s="35"/>
      <c r="J7" s="35"/>
      <c r="K7" s="668"/>
      <c r="L7" s="1671"/>
    </row>
    <row r="8" spans="2:12" ht="18">
      <c r="B8" s="38"/>
      <c r="C8" s="38" t="s">
        <v>97</v>
      </c>
      <c r="D8" s="35"/>
      <c r="E8" s="37"/>
      <c r="F8" s="35"/>
      <c r="G8" s="35"/>
      <c r="H8" s="35"/>
      <c r="I8" s="35"/>
      <c r="J8" s="35"/>
      <c r="K8" s="668"/>
      <c r="L8" s="1671"/>
    </row>
    <row r="9" spans="2:12" ht="18">
      <c r="B9" s="38"/>
      <c r="C9" s="38" t="s">
        <v>1399</v>
      </c>
      <c r="D9" s="35"/>
      <c r="E9" s="37"/>
      <c r="F9" s="35"/>
      <c r="G9" s="35"/>
      <c r="H9" s="35"/>
      <c r="I9" s="35"/>
      <c r="J9" s="35"/>
      <c r="K9" s="668"/>
      <c r="L9" s="1671"/>
    </row>
    <row r="10" spans="2:12" ht="18">
      <c r="B10" s="38"/>
      <c r="C10" s="38" t="s">
        <v>2128</v>
      </c>
      <c r="D10" s="35"/>
      <c r="E10" s="37"/>
      <c r="F10" s="35"/>
      <c r="G10" s="35"/>
      <c r="H10" s="35"/>
      <c r="I10" s="35"/>
      <c r="J10" s="35"/>
      <c r="K10" s="668"/>
      <c r="L10" s="1671"/>
    </row>
    <row r="11" spans="2:12" ht="18">
      <c r="B11" s="38"/>
      <c r="C11" s="38" t="s">
        <v>1526</v>
      </c>
      <c r="D11" s="35"/>
      <c r="E11" s="37"/>
      <c r="F11" s="35"/>
      <c r="G11" s="35"/>
      <c r="H11" s="35"/>
      <c r="I11" s="35"/>
      <c r="J11" s="35"/>
      <c r="K11" s="668"/>
      <c r="L11" s="1671"/>
    </row>
    <row r="12" spans="2:12" ht="33" customHeight="1">
      <c r="B12" s="38"/>
      <c r="C12" s="580" t="s">
        <v>2574</v>
      </c>
      <c r="D12" s="35"/>
      <c r="E12" s="37"/>
      <c r="F12" s="35"/>
      <c r="G12" s="35"/>
      <c r="H12" s="35"/>
      <c r="I12" s="35"/>
      <c r="J12" s="35"/>
      <c r="K12" s="668"/>
      <c r="L12" s="1671"/>
    </row>
    <row r="13" spans="2:12" ht="36">
      <c r="B13" s="41" t="s">
        <v>1529</v>
      </c>
      <c r="C13" s="41" t="s">
        <v>2180</v>
      </c>
      <c r="D13" s="41" t="s">
        <v>2587</v>
      </c>
      <c r="E13" s="41" t="s">
        <v>98</v>
      </c>
      <c r="F13" s="41" t="s">
        <v>894</v>
      </c>
      <c r="G13" s="41" t="s">
        <v>895</v>
      </c>
      <c r="H13" s="41" t="s">
        <v>896</v>
      </c>
      <c r="I13" s="41" t="s">
        <v>897</v>
      </c>
      <c r="J13" s="42" t="s">
        <v>2444</v>
      </c>
      <c r="K13" s="668"/>
      <c r="L13" s="1671"/>
    </row>
    <row r="14" spans="2:12" ht="18">
      <c r="B14" s="35"/>
      <c r="C14" s="38"/>
      <c r="D14" s="38"/>
      <c r="E14" s="37"/>
      <c r="F14" s="35"/>
      <c r="G14" s="35"/>
      <c r="H14" s="35"/>
      <c r="I14" s="35"/>
      <c r="J14" s="35"/>
      <c r="K14" s="668"/>
      <c r="L14" s="1671"/>
    </row>
    <row r="15" spans="2:12" ht="18">
      <c r="B15" s="46" t="s">
        <v>1086</v>
      </c>
      <c r="C15" s="348" t="s">
        <v>842</v>
      </c>
      <c r="D15" s="330" t="s">
        <v>2449</v>
      </c>
      <c r="E15" s="345"/>
      <c r="F15" s="345"/>
      <c r="G15" s="345"/>
      <c r="H15" s="345"/>
      <c r="I15" s="345"/>
      <c r="J15" s="670">
        <f>SUM(E15:I15)</f>
        <v>0</v>
      </c>
      <c r="K15" s="668"/>
      <c r="L15" s="1671"/>
    </row>
    <row r="16" spans="2:12" ht="18">
      <c r="B16" s="35"/>
      <c r="C16" s="344"/>
      <c r="D16" s="330"/>
      <c r="E16" s="37"/>
      <c r="F16" s="35"/>
      <c r="G16" s="35"/>
      <c r="H16" s="35"/>
      <c r="I16" s="35"/>
      <c r="J16" s="35"/>
      <c r="K16" s="668"/>
      <c r="L16" s="1671"/>
    </row>
    <row r="17" spans="2:12" ht="18">
      <c r="B17" s="46" t="s">
        <v>976</v>
      </c>
      <c r="C17" s="344" t="s">
        <v>1208</v>
      </c>
      <c r="D17" s="330" t="s">
        <v>2452</v>
      </c>
      <c r="E17" s="345"/>
      <c r="F17" s="345"/>
      <c r="G17" s="345"/>
      <c r="H17" s="345"/>
      <c r="I17" s="345"/>
      <c r="J17" s="670">
        <f>SUM(E17:I17)</f>
        <v>0</v>
      </c>
      <c r="K17" s="668"/>
      <c r="L17" s="1671"/>
    </row>
    <row r="18" spans="2:12" ht="18">
      <c r="B18" s="46"/>
      <c r="C18" s="344" t="s">
        <v>1209</v>
      </c>
      <c r="D18" s="330"/>
      <c r="E18" s="387"/>
      <c r="F18" s="35"/>
      <c r="G18" s="35"/>
      <c r="H18" s="35"/>
      <c r="I18" s="35"/>
      <c r="J18" s="35"/>
      <c r="K18" s="668"/>
      <c r="L18" s="1671"/>
    </row>
    <row r="19" spans="2:12" ht="18">
      <c r="B19" s="46" t="s">
        <v>1086</v>
      </c>
      <c r="C19" s="344" t="s">
        <v>544</v>
      </c>
      <c r="D19" s="330" t="s">
        <v>2454</v>
      </c>
      <c r="E19" s="345"/>
      <c r="F19" s="345"/>
      <c r="G19" s="345"/>
      <c r="H19" s="345"/>
      <c r="I19" s="345"/>
      <c r="J19" s="670">
        <f>SUM(E19:I19)</f>
        <v>0</v>
      </c>
      <c r="K19" s="668"/>
      <c r="L19" s="1671"/>
    </row>
    <row r="20" spans="2:12" ht="18">
      <c r="B20" s="33"/>
      <c r="C20" s="339" t="s">
        <v>545</v>
      </c>
      <c r="D20" s="33"/>
      <c r="E20" s="33"/>
      <c r="F20" s="33"/>
      <c r="G20" s="33"/>
      <c r="H20" s="33"/>
      <c r="I20" s="33"/>
      <c r="J20" s="33"/>
      <c r="K20" s="668"/>
      <c r="L20" s="1671"/>
    </row>
    <row r="21" spans="2:12" ht="18">
      <c r="B21" s="356" t="s">
        <v>1086</v>
      </c>
      <c r="C21" s="344" t="s">
        <v>488</v>
      </c>
      <c r="D21" s="330" t="s">
        <v>2456</v>
      </c>
      <c r="E21" s="345"/>
      <c r="F21" s="345"/>
      <c r="G21" s="345"/>
      <c r="H21" s="345"/>
      <c r="I21" s="345"/>
      <c r="J21" s="670">
        <f>SUM(E21:I21)</f>
        <v>0</v>
      </c>
      <c r="K21" s="668"/>
      <c r="L21" s="1671"/>
    </row>
    <row r="22" spans="2:12" ht="18">
      <c r="B22" s="356">
        <v>232</v>
      </c>
      <c r="C22" s="38"/>
      <c r="D22" s="344"/>
      <c r="E22" s="33"/>
      <c r="F22" s="35"/>
      <c r="G22" s="35"/>
      <c r="H22" s="35"/>
      <c r="I22" s="35"/>
      <c r="J22" s="35"/>
      <c r="K22" s="668"/>
      <c r="L22" s="1671"/>
    </row>
    <row r="23" spans="2:12" ht="18">
      <c r="B23" s="46"/>
      <c r="C23" s="344" t="s">
        <v>1540</v>
      </c>
      <c r="D23" s="330" t="s">
        <v>2016</v>
      </c>
      <c r="E23" s="345"/>
      <c r="F23" s="345"/>
      <c r="G23" s="345"/>
      <c r="H23" s="345"/>
      <c r="I23" s="345"/>
      <c r="J23" s="670">
        <f>SUM(E23:I23)</f>
        <v>0</v>
      </c>
      <c r="K23" s="668"/>
      <c r="L23" s="1671"/>
    </row>
    <row r="24" spans="2:12" ht="18">
      <c r="B24" s="35"/>
      <c r="C24" s="344"/>
      <c r="D24" s="344"/>
      <c r="E24" s="33"/>
      <c r="F24" s="35"/>
      <c r="G24" s="35"/>
      <c r="H24" s="35"/>
      <c r="I24" s="35"/>
      <c r="J24" s="35"/>
      <c r="K24" s="668"/>
      <c r="L24" s="1671"/>
    </row>
    <row r="25" spans="2:12" ht="18">
      <c r="B25" s="46"/>
      <c r="C25" s="348" t="s">
        <v>1897</v>
      </c>
      <c r="D25" s="330" t="s">
        <v>2018</v>
      </c>
      <c r="E25" s="569" t="s">
        <v>1058</v>
      </c>
      <c r="F25" s="569" t="s">
        <v>1058</v>
      </c>
      <c r="G25" s="569" t="s">
        <v>1058</v>
      </c>
      <c r="H25" s="569" t="s">
        <v>1058</v>
      </c>
      <c r="I25" s="569" t="s">
        <v>1058</v>
      </c>
      <c r="J25" s="35"/>
      <c r="K25" s="668"/>
      <c r="L25" s="1671"/>
    </row>
    <row r="26" spans="2:12" ht="18">
      <c r="B26" s="35"/>
      <c r="C26" s="38" t="s">
        <v>1734</v>
      </c>
      <c r="D26" s="330"/>
      <c r="E26" s="37"/>
      <c r="F26" s="35"/>
      <c r="G26" s="35"/>
      <c r="H26" s="35"/>
      <c r="I26" s="35"/>
      <c r="J26" s="35"/>
      <c r="K26" s="668"/>
      <c r="L26" s="1671"/>
    </row>
    <row r="27" spans="2:12" ht="27" customHeight="1">
      <c r="B27" s="568" t="s">
        <v>2457</v>
      </c>
      <c r="C27" s="344" t="s">
        <v>1528</v>
      </c>
      <c r="D27" s="959" t="s">
        <v>1806</v>
      </c>
      <c r="E27" s="345"/>
      <c r="F27" s="345"/>
      <c r="G27" s="345"/>
      <c r="H27" s="345"/>
      <c r="I27" s="345"/>
      <c r="J27" s="670">
        <f>SUM(E27:I27)</f>
        <v>0</v>
      </c>
      <c r="K27" s="668"/>
      <c r="L27" s="1671"/>
    </row>
    <row r="28" spans="2:12" ht="18">
      <c r="B28" s="35"/>
      <c r="C28" s="38"/>
      <c r="D28" s="344"/>
      <c r="E28" s="37"/>
      <c r="F28" s="35"/>
      <c r="G28" s="35"/>
      <c r="H28" s="35"/>
      <c r="I28" s="35"/>
      <c r="J28" s="35"/>
      <c r="K28" s="668"/>
      <c r="L28" s="1671"/>
    </row>
    <row r="29" spans="2:12" ht="18">
      <c r="B29" s="56"/>
      <c r="C29" s="344" t="s">
        <v>838</v>
      </c>
      <c r="D29" s="330" t="s">
        <v>1456</v>
      </c>
      <c r="E29" s="575"/>
      <c r="F29" s="575"/>
      <c r="G29" s="575"/>
      <c r="H29" s="575"/>
      <c r="I29" s="575"/>
      <c r="J29" s="35"/>
      <c r="K29" s="668"/>
      <c r="L29" s="1671"/>
    </row>
    <row r="30" spans="2:12" ht="18">
      <c r="B30" s="33"/>
      <c r="C30" s="33" t="s">
        <v>839</v>
      </c>
      <c r="D30" s="33"/>
      <c r="E30" s="33"/>
      <c r="F30" s="33"/>
      <c r="G30" s="33"/>
      <c r="H30" s="33"/>
      <c r="I30" s="33"/>
      <c r="J30" s="33"/>
      <c r="K30" s="668"/>
      <c r="L30" s="1671"/>
    </row>
    <row r="31" spans="2:12" ht="18">
      <c r="B31" s="46"/>
      <c r="C31" s="344" t="s">
        <v>1898</v>
      </c>
      <c r="D31" s="330" t="s">
        <v>1458</v>
      </c>
      <c r="E31" s="551"/>
      <c r="F31" s="551"/>
      <c r="G31" s="551"/>
      <c r="H31" s="551"/>
      <c r="I31" s="551"/>
      <c r="J31" s="35"/>
      <c r="K31" s="668"/>
      <c r="L31" s="1671"/>
    </row>
    <row r="32" spans="2:12" ht="18">
      <c r="B32" s="35"/>
      <c r="C32" s="38"/>
      <c r="D32" s="344"/>
      <c r="E32" s="33"/>
      <c r="F32" s="35"/>
      <c r="G32" s="35"/>
      <c r="H32" s="35"/>
      <c r="I32" s="35"/>
      <c r="J32" s="35"/>
      <c r="K32" s="668"/>
      <c r="L32" s="1671"/>
    </row>
    <row r="33" spans="2:12" ht="18">
      <c r="B33" s="35"/>
      <c r="C33" s="38" t="s">
        <v>2394</v>
      </c>
      <c r="D33" s="330" t="s">
        <v>1451</v>
      </c>
      <c r="E33" s="345"/>
      <c r="F33" s="345"/>
      <c r="G33" s="345"/>
      <c r="H33" s="345"/>
      <c r="I33" s="345"/>
      <c r="J33" s="670">
        <f>SUM(E33:I33)</f>
        <v>0</v>
      </c>
      <c r="K33" s="668"/>
      <c r="L33" s="1671"/>
    </row>
    <row r="34" spans="2:12" ht="18">
      <c r="B34" s="35"/>
      <c r="C34" s="38" t="s">
        <v>2395</v>
      </c>
      <c r="D34" s="344"/>
      <c r="E34" s="33"/>
      <c r="F34" s="35"/>
      <c r="G34" s="35"/>
      <c r="H34" s="35"/>
      <c r="I34" s="35"/>
      <c r="J34" s="35"/>
      <c r="K34" s="668"/>
      <c r="L34" s="1671"/>
    </row>
    <row r="35" spans="2:12" ht="28.5" customHeight="1">
      <c r="B35" s="46"/>
      <c r="C35" s="344" t="s">
        <v>1539</v>
      </c>
      <c r="D35" s="330" t="s">
        <v>1455</v>
      </c>
      <c r="E35" s="345"/>
      <c r="F35" s="345"/>
      <c r="G35" s="345"/>
      <c r="H35" s="345"/>
      <c r="I35" s="345"/>
      <c r="J35" s="670">
        <f>SUM(E35:I35)</f>
        <v>0</v>
      </c>
      <c r="K35" s="668"/>
      <c r="L35" s="1671"/>
    </row>
    <row r="36" spans="2:12" ht="18">
      <c r="B36" s="38"/>
      <c r="C36" s="38"/>
      <c r="D36" s="35"/>
      <c r="E36" s="33"/>
      <c r="F36" s="35"/>
      <c r="G36" s="35"/>
      <c r="H36" s="35"/>
      <c r="I36" s="35"/>
      <c r="J36" s="35"/>
      <c r="K36" s="668"/>
      <c r="L36" s="1671"/>
    </row>
    <row r="37" spans="2:12" ht="18">
      <c r="B37" s="38"/>
      <c r="C37" s="38" t="s">
        <v>1211</v>
      </c>
      <c r="D37" s="570"/>
      <c r="E37" s="571" t="str">
        <f>IF(OR(E25="Yes",AND(E31&lt;&gt;"",E31='T1 GEN-1'!$T$26)),"Yes","No")</f>
        <v>No</v>
      </c>
      <c r="F37" s="571" t="str">
        <f>IF(OR(F25="Yes",AND(F31&lt;&gt;"",F31='T1 GEN-1'!$T$26)),"Yes","No")</f>
        <v>No</v>
      </c>
      <c r="G37" s="571" t="str">
        <f>IF(OR(G25="Yes",AND(G31&lt;&gt;"",G31='T1 GEN-1'!$T$26)),"Yes","No")</f>
        <v>No</v>
      </c>
      <c r="H37" s="571" t="str">
        <f>IF(OR(H25="Yes",AND(H31&lt;&gt;"",H31='T1 GEN-1'!$T$26)),"Yes","No")</f>
        <v>No</v>
      </c>
      <c r="I37" s="571" t="str">
        <f>IF(OR(I25="Yes",AND(I31&lt;&gt;"",I31='T1 GEN-1'!$T$26)),"Yes","No")</f>
        <v>No</v>
      </c>
      <c r="J37" s="35"/>
      <c r="K37" s="668"/>
      <c r="L37" s="1671"/>
    </row>
    <row r="38" spans="2:12" ht="18.75" thickBot="1">
      <c r="B38" s="311"/>
      <c r="C38" s="314"/>
      <c r="D38" s="578"/>
      <c r="E38" s="313"/>
      <c r="F38" s="578"/>
      <c r="G38" s="578"/>
      <c r="H38" s="578"/>
      <c r="I38" s="578"/>
      <c r="J38" s="672"/>
      <c r="K38" s="673"/>
      <c r="L38" s="1671"/>
    </row>
    <row r="39" spans="2:12" ht="18">
      <c r="B39" s="46"/>
      <c r="C39" s="49"/>
      <c r="D39" s="46"/>
      <c r="E39" s="49"/>
      <c r="F39" s="49"/>
      <c r="G39" s="49"/>
      <c r="H39" s="49"/>
      <c r="I39" s="49"/>
      <c r="J39" s="693"/>
      <c r="K39" s="682"/>
      <c r="L39" s="1671"/>
    </row>
    <row r="40" spans="2:12" ht="18">
      <c r="B40" s="46"/>
      <c r="C40" s="33" t="str">
        <f>"T4RIF-"&amp;yeartext&amp;" GENERAL DATA SUMMARY"</f>
        <v>T4RIF-2007 GENERAL DATA SUMMARY</v>
      </c>
      <c r="D40" s="33"/>
      <c r="E40" s="339" t="s">
        <v>1262</v>
      </c>
      <c r="F40" s="35"/>
      <c r="G40" s="35"/>
      <c r="H40" s="36"/>
      <c r="I40" s="35"/>
      <c r="J40" s="36" t="str">
        <f>yeartext</f>
        <v>2007</v>
      </c>
      <c r="K40" s="668"/>
      <c r="L40" s="1671"/>
    </row>
    <row r="41" spans="2:12" ht="18">
      <c r="B41" s="46"/>
      <c r="C41" s="33"/>
      <c r="D41" s="33"/>
      <c r="E41" s="339" t="s">
        <v>1263</v>
      </c>
      <c r="F41" s="35"/>
      <c r="G41" s="35"/>
      <c r="H41" s="36"/>
      <c r="I41" s="35"/>
      <c r="J41" s="36"/>
      <c r="K41" s="668"/>
      <c r="L41" s="1671"/>
    </row>
    <row r="42" spans="2:12" ht="10.5" customHeight="1">
      <c r="B42" s="46"/>
      <c r="C42" s="33"/>
      <c r="D42" s="33"/>
      <c r="E42" s="339"/>
      <c r="F42" s="35"/>
      <c r="G42" s="35"/>
      <c r="H42" s="36"/>
      <c r="I42" s="35"/>
      <c r="J42" s="36"/>
      <c r="K42" s="668"/>
      <c r="L42" s="1671"/>
    </row>
    <row r="43" spans="2:12" ht="18">
      <c r="B43" s="46"/>
      <c r="C43" s="49" t="s">
        <v>1873</v>
      </c>
      <c r="D43" s="570"/>
      <c r="E43" s="694">
        <f>IF(OR(E25="Yes",E31='T1 GEN-1'!$T$26),3,IF(OR(AND(E29&gt;0,E37="Yes"),age&gt;=65),1,2))</f>
        <v>3</v>
      </c>
      <c r="F43" s="694">
        <f>IF(OR(F25="Yes",F31='T1 GEN-1'!$T$26),3,IF(OR(AND(F29&gt;0,F37="Yes"),age&gt;=65),1,2))</f>
        <v>3</v>
      </c>
      <c r="G43" s="694">
        <f>IF(OR(G25="Yes",G31='T1 GEN-1'!$T$26),3,IF(OR(AND(G29&gt;0,G37="Yes"),age&gt;=65),1,2))</f>
        <v>3</v>
      </c>
      <c r="H43" s="694">
        <f>IF(OR(H25="Yes",H31='T1 GEN-1'!$T$26),3,IF(OR(AND(H29&gt;0,H37="Yes"),age&gt;=65),1,2))</f>
        <v>3</v>
      </c>
      <c r="I43" s="694">
        <f>IF(OR(I25="Yes",I31='T1 GEN-1'!$T$26),3,IF(OR(AND(I29&gt;0,I37="Yes"),age&gt;=65),1,2))</f>
        <v>3</v>
      </c>
      <c r="J43" s="36"/>
      <c r="K43" s="668"/>
      <c r="L43" s="1671"/>
    </row>
    <row r="44" spans="2:12" ht="18">
      <c r="B44" s="46"/>
      <c r="C44" s="577" t="s">
        <v>1874</v>
      </c>
      <c r="D44" s="46"/>
      <c r="E44" s="694">
        <f>IF(E29&gt;0,IF(OR(E37="Yes",age&gt;=65),1,IF(E21&gt;0,2,3)),IF(E21&gt;0,2,3))</f>
        <v>3</v>
      </c>
      <c r="F44" s="694">
        <f>IF(F29&gt;0,IF(OR(F37="Yes",age&gt;=65),1,IF(F21&gt;0,2,3)),IF(F21&gt;0,2,3))</f>
        <v>3</v>
      </c>
      <c r="G44" s="694">
        <f>IF(G29&gt;0,IF(OR(G37="Yes",age&gt;=65),1,IF(G21&gt;0,2,3)),IF(G21&gt;0,2,3))</f>
        <v>3</v>
      </c>
      <c r="H44" s="694">
        <f>IF(H29&gt;0,IF(OR(H37="Yes",age&gt;=65),1,IF(H21&gt;0,2,3)),IF(H21&gt;0,2,3))</f>
        <v>3</v>
      </c>
      <c r="I44" s="694">
        <f>IF(I29&gt;0,IF(OR(I37="Yes",age&gt;=65),1,IF(I21&gt;0,2,3)),IF(I21&gt;0,2,3))</f>
        <v>3</v>
      </c>
      <c r="J44" s="36"/>
      <c r="K44" s="668"/>
      <c r="L44" s="1671"/>
    </row>
    <row r="45" spans="2:12" ht="9.75" customHeight="1">
      <c r="B45" s="46"/>
      <c r="C45" s="49"/>
      <c r="D45" s="46"/>
      <c r="E45" s="339"/>
      <c r="F45" s="48"/>
      <c r="G45" s="48"/>
      <c r="H45" s="674"/>
      <c r="I45" s="48"/>
      <c r="J45" s="675"/>
      <c r="K45" s="668"/>
      <c r="L45" s="1671"/>
    </row>
    <row r="46" spans="2:13" ht="54">
      <c r="B46" s="46"/>
      <c r="C46" s="41" t="s">
        <v>1930</v>
      </c>
      <c r="D46" s="41" t="s">
        <v>1529</v>
      </c>
      <c r="E46" s="41" t="s">
        <v>857</v>
      </c>
      <c r="F46" s="41" t="s">
        <v>849</v>
      </c>
      <c r="G46" s="41" t="s">
        <v>850</v>
      </c>
      <c r="H46" s="41" t="s">
        <v>852</v>
      </c>
      <c r="I46" s="41" t="s">
        <v>851</v>
      </c>
      <c r="J46" s="576" t="s">
        <v>853</v>
      </c>
      <c r="K46" s="668"/>
      <c r="L46" s="346"/>
      <c r="M46" s="357"/>
    </row>
    <row r="47" spans="2:13" ht="18">
      <c r="B47" s="46"/>
      <c r="C47" s="309" t="s">
        <v>854</v>
      </c>
      <c r="D47" s="310" t="s">
        <v>621</v>
      </c>
      <c r="E47" s="351">
        <f>IF(E43=1,E15,0)</f>
        <v>0</v>
      </c>
      <c r="F47" s="351">
        <f>IF(F43=1,F15,0)</f>
        <v>0</v>
      </c>
      <c r="G47" s="351">
        <f>IF(G43=1,G15,0)</f>
        <v>0</v>
      </c>
      <c r="H47" s="351">
        <f>IF(H43=1,H15,0)</f>
        <v>0</v>
      </c>
      <c r="I47" s="351">
        <f>IF(I43=1,I15,0)</f>
        <v>0</v>
      </c>
      <c r="J47" s="668"/>
      <c r="K47" s="668"/>
      <c r="L47" s="579" t="s">
        <v>2530</v>
      </c>
      <c r="M47" s="357"/>
    </row>
    <row r="48" spans="2:13" ht="18">
      <c r="B48" s="46"/>
      <c r="C48" s="309" t="s">
        <v>855</v>
      </c>
      <c r="D48" s="310" t="s">
        <v>621</v>
      </c>
      <c r="E48" s="351">
        <f>IF(E43=1,E19,0)</f>
        <v>0</v>
      </c>
      <c r="F48" s="351">
        <f>IF(F43=1,F19,0)</f>
        <v>0</v>
      </c>
      <c r="G48" s="351">
        <f>IF(G43=1,G19,0)</f>
        <v>0</v>
      </c>
      <c r="H48" s="351">
        <f>IF(H43=1,H19,0)</f>
        <v>0</v>
      </c>
      <c r="I48" s="351">
        <f>IF(I43=1,I19,0)</f>
        <v>0</v>
      </c>
      <c r="J48" s="695">
        <f>SUM(E47:I49)</f>
        <v>0</v>
      </c>
      <c r="K48" s="668"/>
      <c r="L48" s="579" t="s">
        <v>2531</v>
      </c>
      <c r="M48" s="357"/>
    </row>
    <row r="49" spans="2:13" ht="18">
      <c r="B49" s="46"/>
      <c r="C49" s="309" t="s">
        <v>1860</v>
      </c>
      <c r="D49" s="310" t="s">
        <v>621</v>
      </c>
      <c r="E49" s="351">
        <f>IF(E44=1,E21,0)</f>
        <v>0</v>
      </c>
      <c r="F49" s="351">
        <f>IF(F44=1,F21,0)</f>
        <v>0</v>
      </c>
      <c r="G49" s="351">
        <f>IF(G44=1,G21,0)</f>
        <v>0</v>
      </c>
      <c r="H49" s="351">
        <f>IF(H44=1,H21,0)</f>
        <v>0</v>
      </c>
      <c r="I49" s="351">
        <f>IF(I44=1,I21,0)</f>
        <v>0</v>
      </c>
      <c r="J49" s="347"/>
      <c r="K49" s="668"/>
      <c r="L49" s="579" t="s">
        <v>2540</v>
      </c>
      <c r="M49" s="357"/>
    </row>
    <row r="50" spans="2:13" ht="18">
      <c r="B50" s="46"/>
      <c r="C50" s="328"/>
      <c r="D50" s="329"/>
      <c r="E50" s="347"/>
      <c r="F50" s="347"/>
      <c r="G50" s="347"/>
      <c r="H50" s="347"/>
      <c r="I50" s="347"/>
      <c r="J50" s="347"/>
      <c r="K50" s="668"/>
      <c r="L50" s="579" t="s">
        <v>2534</v>
      </c>
      <c r="M50" s="357"/>
    </row>
    <row r="51" spans="2:13" ht="18">
      <c r="B51" s="46"/>
      <c r="C51" s="315" t="s">
        <v>854</v>
      </c>
      <c r="D51" s="316" t="s">
        <v>976</v>
      </c>
      <c r="E51" s="351">
        <f>IF(E43=2,E15,0)</f>
        <v>0</v>
      </c>
      <c r="F51" s="351">
        <f>IF(F43=2,F15,0)</f>
        <v>0</v>
      </c>
      <c r="G51" s="351">
        <f>IF(G43=2,G15,0)</f>
        <v>0</v>
      </c>
      <c r="H51" s="351">
        <f>IF(H43=2,H15,0)</f>
        <v>0</v>
      </c>
      <c r="I51" s="351">
        <f>IF(I43=2,I15,0)</f>
        <v>0</v>
      </c>
      <c r="J51" s="682"/>
      <c r="K51" s="668"/>
      <c r="L51" s="579" t="s">
        <v>2537</v>
      </c>
      <c r="M51" s="357"/>
    </row>
    <row r="52" spans="2:13" ht="18">
      <c r="B52" s="46"/>
      <c r="C52" s="309" t="s">
        <v>1862</v>
      </c>
      <c r="D52" s="310" t="s">
        <v>976</v>
      </c>
      <c r="E52" s="351">
        <f>E17</f>
        <v>0</v>
      </c>
      <c r="F52" s="351">
        <f>F17</f>
        <v>0</v>
      </c>
      <c r="G52" s="351">
        <f>G17</f>
        <v>0</v>
      </c>
      <c r="H52" s="351">
        <f>H17</f>
        <v>0</v>
      </c>
      <c r="I52" s="351">
        <f>I17</f>
        <v>0</v>
      </c>
      <c r="J52" s="695">
        <f>SUM(E51:I54)</f>
        <v>0</v>
      </c>
      <c r="K52" s="668"/>
      <c r="L52" s="579" t="s">
        <v>2541</v>
      </c>
      <c r="M52" s="357"/>
    </row>
    <row r="53" spans="2:13" ht="18">
      <c r="B53" s="46"/>
      <c r="C53" s="309" t="s">
        <v>855</v>
      </c>
      <c r="D53" s="310" t="s">
        <v>976</v>
      </c>
      <c r="E53" s="351">
        <f>IF(E43=2,E19,0)</f>
        <v>0</v>
      </c>
      <c r="F53" s="351">
        <f>IF(F43=2,F19,0)</f>
        <v>0</v>
      </c>
      <c r="G53" s="351">
        <f>IF(G43=2,G19,0)</f>
        <v>0</v>
      </c>
      <c r="H53" s="351">
        <f>IF(H43=2,H19,0)</f>
        <v>0</v>
      </c>
      <c r="I53" s="351">
        <f>IF(I43=2,I19,0)</f>
        <v>0</v>
      </c>
      <c r="J53" s="347"/>
      <c r="K53" s="668"/>
      <c r="L53" s="579" t="s">
        <v>2539</v>
      </c>
      <c r="M53" s="357"/>
    </row>
    <row r="54" spans="2:13" ht="18">
      <c r="B54" s="46"/>
      <c r="C54" s="309" t="s">
        <v>1860</v>
      </c>
      <c r="D54" s="310" t="s">
        <v>976</v>
      </c>
      <c r="E54" s="351">
        <f>IF(E44=2,E21,0)</f>
        <v>0</v>
      </c>
      <c r="F54" s="351">
        <f>IF(F44=2,F21,0)</f>
        <v>0</v>
      </c>
      <c r="G54" s="351">
        <f>IF(G44=2,G21,0)</f>
        <v>0</v>
      </c>
      <c r="H54" s="351">
        <f>IF(H44=2,H21,0)</f>
        <v>0</v>
      </c>
      <c r="I54" s="351">
        <f>IF(I44=2,I21,0)</f>
        <v>0</v>
      </c>
      <c r="J54" s="347"/>
      <c r="K54" s="668"/>
      <c r="L54" s="579" t="s">
        <v>2547</v>
      </c>
      <c r="M54" s="357"/>
    </row>
    <row r="55" spans="2:13" ht="18">
      <c r="B55" s="46"/>
      <c r="C55" s="328"/>
      <c r="D55" s="329"/>
      <c r="E55" s="347"/>
      <c r="F55" s="347"/>
      <c r="G55" s="347"/>
      <c r="H55" s="347"/>
      <c r="I55" s="347"/>
      <c r="J55" s="347"/>
      <c r="K55" s="668"/>
      <c r="L55" s="550"/>
      <c r="M55" s="357"/>
    </row>
    <row r="56" spans="2:13" ht="18">
      <c r="B56" s="46"/>
      <c r="C56" s="315" t="s">
        <v>1860</v>
      </c>
      <c r="D56" s="316" t="s">
        <v>163</v>
      </c>
      <c r="E56" s="351">
        <f>IF(E44=3,-E21,0)</f>
        <v>0</v>
      </c>
      <c r="F56" s="351">
        <f>IF(F44=3,-F21,0)</f>
        <v>0</v>
      </c>
      <c r="G56" s="351">
        <f>IF(G44=3,-G21,0)</f>
        <v>0</v>
      </c>
      <c r="H56" s="351">
        <f>IF(H44=3,-H21,0)</f>
        <v>0</v>
      </c>
      <c r="I56" s="351">
        <f>IF(I44=3,-I21,0)</f>
        <v>0</v>
      </c>
      <c r="J56" s="351">
        <f>SUM(E56:I56)</f>
        <v>0</v>
      </c>
      <c r="K56" s="668"/>
      <c r="L56" s="347" t="s">
        <v>2542</v>
      </c>
      <c r="M56" s="347"/>
    </row>
    <row r="57" spans="2:13" ht="18">
      <c r="B57" s="46"/>
      <c r="C57" s="309" t="s">
        <v>1861</v>
      </c>
      <c r="D57" s="310" t="s">
        <v>2457</v>
      </c>
      <c r="E57" s="351">
        <f>E27</f>
        <v>0</v>
      </c>
      <c r="F57" s="351">
        <f>F27</f>
        <v>0</v>
      </c>
      <c r="G57" s="351">
        <f>G27</f>
        <v>0</v>
      </c>
      <c r="H57" s="351">
        <f>H27</f>
        <v>0</v>
      </c>
      <c r="I57" s="351">
        <f>I27</f>
        <v>0</v>
      </c>
      <c r="J57" s="351">
        <f>SUM(E57:I57)</f>
        <v>0</v>
      </c>
      <c r="K57" s="668"/>
      <c r="L57" s="347" t="s">
        <v>2543</v>
      </c>
      <c r="M57" s="347"/>
    </row>
    <row r="58" spans="2:13" ht="18">
      <c r="B58" s="46"/>
      <c r="C58" s="309" t="s">
        <v>1568</v>
      </c>
      <c r="D58" s="310" t="s">
        <v>2452</v>
      </c>
      <c r="E58" s="351">
        <f>IF(E43=3,E15,0)</f>
        <v>0</v>
      </c>
      <c r="F58" s="351">
        <f>IF(F43=3,F15,0)</f>
        <v>0</v>
      </c>
      <c r="G58" s="351">
        <f>IF(G43=3,G15,0)</f>
        <v>0</v>
      </c>
      <c r="H58" s="351">
        <f>IF(H43=3,H15,0)</f>
        <v>0</v>
      </c>
      <c r="I58" s="351">
        <f>IF(I43=3,I15,0)</f>
        <v>0</v>
      </c>
      <c r="J58" s="351">
        <f>SUM(E58:I58)</f>
        <v>0</v>
      </c>
      <c r="K58" s="668"/>
      <c r="L58" s="347" t="s">
        <v>2549</v>
      </c>
      <c r="M58" s="347"/>
    </row>
    <row r="59" spans="2:13" ht="18">
      <c r="B59" s="46"/>
      <c r="C59" s="309" t="s">
        <v>1569</v>
      </c>
      <c r="D59" s="310" t="s">
        <v>1210</v>
      </c>
      <c r="E59" s="351">
        <f>IF(E43=3,E19,0)</f>
        <v>0</v>
      </c>
      <c r="F59" s="351">
        <f>IF(F43=3,F19,0)</f>
        <v>0</v>
      </c>
      <c r="G59" s="351">
        <f>IF(G43=3,G19,0)</f>
        <v>0</v>
      </c>
      <c r="H59" s="351">
        <f>IF(H43=3,H19,0)</f>
        <v>0</v>
      </c>
      <c r="I59" s="351">
        <f>IF(I43=3,I19,0)</f>
        <v>0</v>
      </c>
      <c r="J59" s="351">
        <f>SUM(E59:I59)</f>
        <v>0</v>
      </c>
      <c r="K59" s="668"/>
      <c r="L59" s="347" t="s">
        <v>2548</v>
      </c>
      <c r="M59" s="347"/>
    </row>
    <row r="60" spans="2:13" ht="18">
      <c r="B60" s="46"/>
      <c r="C60" s="309" t="s">
        <v>1570</v>
      </c>
      <c r="D60" s="310" t="s">
        <v>884</v>
      </c>
      <c r="E60" s="351">
        <f>IF(E43=3,E23,0)</f>
        <v>0</v>
      </c>
      <c r="F60" s="351">
        <f>IF(F43=3,F23,0)</f>
        <v>0</v>
      </c>
      <c r="G60" s="351">
        <f>IF(G43=3,G23,0)</f>
        <v>0</v>
      </c>
      <c r="H60" s="351">
        <f>IF(H43=3,H23,0)</f>
        <v>0</v>
      </c>
      <c r="I60" s="351">
        <f>IF(I43=3,I23,0)</f>
        <v>0</v>
      </c>
      <c r="J60" s="351">
        <f>SUM(E60:I60)</f>
        <v>0</v>
      </c>
      <c r="K60" s="668"/>
      <c r="L60" s="347" t="s">
        <v>2544</v>
      </c>
      <c r="M60" s="347"/>
    </row>
    <row r="61" spans="2:13" ht="18">
      <c r="B61" s="46"/>
      <c r="C61" s="668"/>
      <c r="D61" s="310"/>
      <c r="E61" s="572"/>
      <c r="F61" s="572"/>
      <c r="G61" s="572"/>
      <c r="H61" s="572"/>
      <c r="I61" s="572"/>
      <c r="J61" s="572"/>
      <c r="K61" s="668"/>
      <c r="L61" s="347" t="s">
        <v>2545</v>
      </c>
      <c r="M61" s="347"/>
    </row>
    <row r="62" spans="2:13" ht="18">
      <c r="B62" s="46"/>
      <c r="C62" s="566" t="s">
        <v>1863</v>
      </c>
      <c r="D62" s="567"/>
      <c r="E62" s="351">
        <f>E35</f>
        <v>0</v>
      </c>
      <c r="F62" s="351">
        <f>F35</f>
        <v>0</v>
      </c>
      <c r="G62" s="351">
        <f>G35</f>
        <v>0</v>
      </c>
      <c r="H62" s="351">
        <f>H35</f>
        <v>0</v>
      </c>
      <c r="I62" s="351">
        <f>I35</f>
        <v>0</v>
      </c>
      <c r="J62" s="351">
        <f>SUM(E62:I62)</f>
        <v>0</v>
      </c>
      <c r="K62" s="668"/>
      <c r="L62" s="347" t="s">
        <v>2546</v>
      </c>
      <c r="M62" s="347"/>
    </row>
    <row r="63" spans="2:13" ht="18">
      <c r="B63" s="46"/>
      <c r="C63" s="49"/>
      <c r="D63" s="46"/>
      <c r="E63" s="51"/>
      <c r="F63" s="48"/>
      <c r="G63" s="48"/>
      <c r="H63" s="674"/>
      <c r="I63" s="48"/>
      <c r="J63" s="675"/>
      <c r="K63" s="668"/>
      <c r="L63" s="347"/>
      <c r="M63" s="347"/>
    </row>
    <row r="64" spans="2:13" ht="18">
      <c r="B64" s="46"/>
      <c r="C64" s="49"/>
      <c r="D64" s="46"/>
      <c r="E64" s="51"/>
      <c r="F64" s="48"/>
      <c r="G64" s="48"/>
      <c r="H64" s="674"/>
      <c r="I64" s="48"/>
      <c r="J64" s="675"/>
      <c r="K64" s="668"/>
      <c r="L64" s="347"/>
      <c r="M64" s="347"/>
    </row>
    <row r="65" spans="2:4" ht="15">
      <c r="B65" s="676"/>
      <c r="D65" s="55"/>
    </row>
    <row r="66" spans="2:4" ht="15">
      <c r="B66" s="676"/>
      <c r="D66" s="55"/>
    </row>
    <row r="67" spans="2:4" ht="15">
      <c r="B67" s="676"/>
      <c r="D67" s="55"/>
    </row>
    <row r="68" spans="2:4" ht="15">
      <c r="B68" s="676"/>
      <c r="D68" s="55"/>
    </row>
    <row r="69" spans="2:4" ht="15">
      <c r="B69" s="676"/>
      <c r="D69" s="55"/>
    </row>
    <row r="70" spans="2:4" ht="15">
      <c r="B70" s="676"/>
      <c r="D70" s="55"/>
    </row>
    <row r="71" spans="2:4" ht="15">
      <c r="B71" s="676"/>
      <c r="D71" s="55"/>
    </row>
    <row r="72" spans="2:4" ht="15">
      <c r="B72" s="676"/>
      <c r="D72" s="55"/>
    </row>
    <row r="73" spans="2:4" ht="15">
      <c r="B73" s="676"/>
      <c r="D73" s="55"/>
    </row>
    <row r="74" spans="2:4" ht="15">
      <c r="B74" s="676"/>
      <c r="D74" s="55"/>
    </row>
  </sheetData>
  <sheetProtection password="EC35" sheet="1" objects="1" scenarios="1"/>
  <mergeCells count="1">
    <mergeCell ref="L1:L45"/>
  </mergeCells>
  <dataValidations count="3">
    <dataValidation type="whole" operator="greaterThan" allowBlank="1" showInputMessage="1" showErrorMessage="1" errorTitle="SOCIAL INSURANCE NUMBER FORMAT" error="Enter a number without any -  or blanks&#10;Example  012034056" sqref="E31:I31">
      <formula1>0</formula1>
    </dataValidation>
    <dataValidation type="date" operator="greaterThan" allowBlank="1" showInputMessage="1" showErrorMessage="1" errorTitle="DATE ERROR" error="Must be a date and greater than 1950.&#10;Example:  2000-01-31" sqref="E29:I29">
      <formula1>18264</formula1>
    </dataValidation>
    <dataValidation type="list" allowBlank="1" showInputMessage="1" showErrorMessage="1" sqref="E25:I25">
      <formula1>"Yes,No"</formula1>
    </dataValidation>
  </dataValidations>
  <hyperlinks>
    <hyperlink ref="L1:L45" location="'GO TO'!G14" display=" "/>
  </hyperlinks>
  <printOptions horizontalCentered="1"/>
  <pageMargins left="0" right="0" top="0" bottom="0" header="0.5" footer="0.5"/>
  <pageSetup fitToHeight="0" fitToWidth="1" horizontalDpi="600" verticalDpi="600" orientation="portrait" scale="58" r:id="rId3"/>
  <legacyDrawing r:id="rId2"/>
</worksheet>
</file>

<file path=xl/worksheets/sheet32.xml><?xml version="1.0" encoding="utf-8"?>
<worksheet xmlns="http://schemas.openxmlformats.org/spreadsheetml/2006/main" xmlns:r="http://schemas.openxmlformats.org/officeDocument/2006/relationships">
  <sheetPr codeName="Sheet211111111">
    <pageSetUpPr fitToPage="1"/>
  </sheetPr>
  <dimension ref="A1:IV90"/>
  <sheetViews>
    <sheetView showGridLines="0" zoomScale="70" zoomScaleNormal="70" workbookViewId="0" topLeftCell="C1">
      <selection activeCell="C2" sqref="C2"/>
    </sheetView>
  </sheetViews>
  <sheetFormatPr defaultColWidth="8.88671875" defaultRowHeight="15"/>
  <cols>
    <col min="1" max="1" width="4.5546875" style="669" customWidth="1"/>
    <col min="2" max="2" width="8.3359375" style="669" customWidth="1"/>
    <col min="3" max="3" width="34.77734375" style="669" customWidth="1"/>
    <col min="4" max="4" width="7.99609375" style="669" customWidth="1"/>
    <col min="5" max="10" width="12.21484375" style="669" customWidth="1"/>
    <col min="11" max="11" width="1.88671875" style="669" customWidth="1"/>
    <col min="12" max="16384" width="8.88671875" style="669" customWidth="1"/>
  </cols>
  <sheetData>
    <row r="1" spans="2:12" ht="18">
      <c r="B1" s="35"/>
      <c r="C1" s="33" t="str">
        <f>"T4RSP-"&amp;yeartext&amp;" SLIPS DATA ENTRY FOR"</f>
        <v>T4RSP-2007 SLIPS DATA ENTRY FOR</v>
      </c>
      <c r="D1" s="33"/>
      <c r="E1" s="339" t="s">
        <v>1264</v>
      </c>
      <c r="F1" s="35"/>
      <c r="G1" s="35"/>
      <c r="H1" s="36"/>
      <c r="I1" s="35"/>
      <c r="J1" s="36" t="str">
        <f>yeartext</f>
        <v>2007</v>
      </c>
      <c r="K1" s="668"/>
      <c r="L1" s="1671" t="s">
        <v>1659</v>
      </c>
    </row>
    <row r="2" spans="2:12" ht="15.75">
      <c r="B2" s="35"/>
      <c r="C2" s="35"/>
      <c r="D2" s="37"/>
      <c r="E2" s="668"/>
      <c r="F2" s="35"/>
      <c r="G2" s="35"/>
      <c r="H2" s="35"/>
      <c r="I2" s="35"/>
      <c r="J2" s="35"/>
      <c r="K2" s="668"/>
      <c r="L2" s="1508"/>
    </row>
    <row r="3" spans="2:12" ht="18">
      <c r="B3" s="38"/>
      <c r="C3" s="38" t="s">
        <v>196</v>
      </c>
      <c r="D3" s="35"/>
      <c r="E3" s="37"/>
      <c r="F3" s="35"/>
      <c r="G3" s="35"/>
      <c r="H3" s="35"/>
      <c r="I3" s="35"/>
      <c r="J3" s="35"/>
      <c r="K3" s="668"/>
      <c r="L3" s="1508"/>
    </row>
    <row r="4" spans="2:12" ht="18">
      <c r="B4" s="38"/>
      <c r="C4" s="38" t="s">
        <v>210</v>
      </c>
      <c r="D4" s="35"/>
      <c r="E4" s="37"/>
      <c r="F4" s="35"/>
      <c r="G4" s="35"/>
      <c r="H4" s="35"/>
      <c r="I4" s="35"/>
      <c r="J4" s="35"/>
      <c r="K4" s="668"/>
      <c r="L4" s="1508"/>
    </row>
    <row r="5" spans="2:12" ht="18">
      <c r="B5" s="38"/>
      <c r="C5" s="38" t="s">
        <v>1130</v>
      </c>
      <c r="D5" s="35"/>
      <c r="E5" s="37"/>
      <c r="F5" s="35"/>
      <c r="G5" s="35"/>
      <c r="H5" s="35"/>
      <c r="I5" s="35"/>
      <c r="J5" s="35"/>
      <c r="K5" s="668"/>
      <c r="L5" s="1508"/>
    </row>
    <row r="6" spans="2:12" ht="18">
      <c r="B6" s="38"/>
      <c r="C6" s="38" t="s">
        <v>657</v>
      </c>
      <c r="D6" s="35"/>
      <c r="E6" s="37"/>
      <c r="F6" s="35"/>
      <c r="G6" s="35"/>
      <c r="H6" s="35"/>
      <c r="I6" s="35"/>
      <c r="J6" s="35"/>
      <c r="K6" s="668"/>
      <c r="L6" s="1508"/>
    </row>
    <row r="7" spans="2:12" ht="18">
      <c r="B7" s="38"/>
      <c r="C7" s="38" t="s">
        <v>972</v>
      </c>
      <c r="D7" s="35"/>
      <c r="E7" s="37"/>
      <c r="F7" s="35"/>
      <c r="G7" s="35"/>
      <c r="H7" s="35"/>
      <c r="I7" s="35"/>
      <c r="J7" s="35"/>
      <c r="K7" s="668"/>
      <c r="L7" s="1508"/>
    </row>
    <row r="8" spans="2:12" ht="18">
      <c r="B8" s="38"/>
      <c r="C8" s="38" t="s">
        <v>1057</v>
      </c>
      <c r="D8" s="35"/>
      <c r="E8" s="37"/>
      <c r="F8" s="35"/>
      <c r="G8" s="35"/>
      <c r="H8" s="35"/>
      <c r="I8" s="35"/>
      <c r="J8" s="35"/>
      <c r="K8" s="668"/>
      <c r="L8" s="1508"/>
    </row>
    <row r="9" spans="2:12" ht="18">
      <c r="B9" s="38"/>
      <c r="C9" s="38" t="s">
        <v>1399</v>
      </c>
      <c r="D9" s="35"/>
      <c r="E9" s="37"/>
      <c r="F9" s="35"/>
      <c r="G9" s="35"/>
      <c r="H9" s="35"/>
      <c r="I9" s="35"/>
      <c r="J9" s="35"/>
      <c r="K9" s="668"/>
      <c r="L9" s="1508"/>
    </row>
    <row r="10" spans="2:12" ht="18">
      <c r="B10" s="38"/>
      <c r="C10" s="38" t="s">
        <v>1510</v>
      </c>
      <c r="D10" s="35"/>
      <c r="E10" s="37"/>
      <c r="F10" s="35"/>
      <c r="G10" s="35"/>
      <c r="H10" s="35"/>
      <c r="I10" s="35"/>
      <c r="J10" s="35"/>
      <c r="K10" s="668"/>
      <c r="L10" s="1508"/>
    </row>
    <row r="11" spans="2:12" ht="18">
      <c r="B11" s="38"/>
      <c r="C11" s="38" t="s">
        <v>1526</v>
      </c>
      <c r="D11" s="35"/>
      <c r="E11" s="37"/>
      <c r="F11" s="35"/>
      <c r="G11" s="35"/>
      <c r="H11" s="35"/>
      <c r="I11" s="35"/>
      <c r="J11" s="35"/>
      <c r="K11" s="668"/>
      <c r="L11" s="1508"/>
    </row>
    <row r="12" spans="2:12" ht="18">
      <c r="B12" s="38"/>
      <c r="C12" s="38" t="s">
        <v>2574</v>
      </c>
      <c r="D12" s="35"/>
      <c r="E12" s="37"/>
      <c r="F12" s="35"/>
      <c r="G12" s="35"/>
      <c r="H12" s="35"/>
      <c r="I12" s="35"/>
      <c r="J12" s="35"/>
      <c r="K12" s="668"/>
      <c r="L12" s="1508"/>
    </row>
    <row r="13" spans="2:12" ht="23.25">
      <c r="B13" s="389"/>
      <c r="C13" s="38"/>
      <c r="D13" s="35"/>
      <c r="E13" s="386"/>
      <c r="F13" s="35"/>
      <c r="G13" s="35"/>
      <c r="H13" s="35"/>
      <c r="I13" s="35"/>
      <c r="J13" s="35"/>
      <c r="K13" s="668"/>
      <c r="L13" s="1508"/>
    </row>
    <row r="14" spans="2:12" ht="36">
      <c r="B14" s="41" t="s">
        <v>1529</v>
      </c>
      <c r="C14" s="41" t="s">
        <v>2180</v>
      </c>
      <c r="D14" s="41" t="s">
        <v>2587</v>
      </c>
      <c r="E14" s="41" t="s">
        <v>576</v>
      </c>
      <c r="F14" s="41" t="s">
        <v>577</v>
      </c>
      <c r="G14" s="41" t="s">
        <v>578</v>
      </c>
      <c r="H14" s="41" t="s">
        <v>579</v>
      </c>
      <c r="I14" s="41" t="s">
        <v>580</v>
      </c>
      <c r="J14" s="42" t="s">
        <v>2444</v>
      </c>
      <c r="K14" s="668"/>
      <c r="L14" s="1508"/>
    </row>
    <row r="15" spans="2:12" ht="18">
      <c r="B15" s="346"/>
      <c r="C15" s="346"/>
      <c r="D15" s="346"/>
      <c r="E15" s="346"/>
      <c r="F15" s="346"/>
      <c r="G15" s="346"/>
      <c r="H15" s="346"/>
      <c r="I15" s="346"/>
      <c r="J15" s="359"/>
      <c r="K15" s="668"/>
      <c r="L15" s="1508"/>
    </row>
    <row r="16" spans="2:12" ht="18">
      <c r="B16" s="46" t="s">
        <v>422</v>
      </c>
      <c r="C16" s="344" t="s">
        <v>1268</v>
      </c>
      <c r="D16" s="330" t="s">
        <v>2449</v>
      </c>
      <c r="E16" s="345"/>
      <c r="F16" s="345"/>
      <c r="G16" s="345"/>
      <c r="H16" s="345"/>
      <c r="I16" s="345"/>
      <c r="J16" s="670">
        <f>SUM(E16:I16)</f>
        <v>0</v>
      </c>
      <c r="K16" s="668"/>
      <c r="L16" s="1508"/>
    </row>
    <row r="17" spans="2:12" ht="18">
      <c r="B17" s="46"/>
      <c r="C17" s="1417" t="s">
        <v>1269</v>
      </c>
      <c r="D17" s="330"/>
      <c r="E17" s="585" t="s">
        <v>1058</v>
      </c>
      <c r="F17" s="585" t="s">
        <v>1058</v>
      </c>
      <c r="G17" s="585" t="s">
        <v>1058</v>
      </c>
      <c r="H17" s="585" t="s">
        <v>1058</v>
      </c>
      <c r="I17" s="585" t="s">
        <v>1058</v>
      </c>
      <c r="J17" s="670"/>
      <c r="K17" s="668"/>
      <c r="L17" s="1508"/>
    </row>
    <row r="18" spans="2:12" ht="18">
      <c r="B18" s="35"/>
      <c r="C18" s="38"/>
      <c r="D18" s="330"/>
      <c r="E18" s="37"/>
      <c r="F18" s="35"/>
      <c r="G18" s="35"/>
      <c r="H18" s="37"/>
      <c r="I18" s="35"/>
      <c r="J18" s="35"/>
      <c r="K18" s="668"/>
      <c r="L18" s="1508"/>
    </row>
    <row r="19" spans="2:12" ht="18">
      <c r="B19" s="56" t="s">
        <v>422</v>
      </c>
      <c r="C19" s="344" t="s">
        <v>1418</v>
      </c>
      <c r="D19" s="330" t="s">
        <v>2452</v>
      </c>
      <c r="E19" s="345"/>
      <c r="F19" s="345"/>
      <c r="G19" s="345"/>
      <c r="H19" s="345"/>
      <c r="I19" s="345"/>
      <c r="J19" s="670">
        <f>SUM(E19:I19)</f>
        <v>0</v>
      </c>
      <c r="K19" s="668"/>
      <c r="L19" s="1508"/>
    </row>
    <row r="20" spans="2:12" ht="18">
      <c r="B20" s="33"/>
      <c r="C20" s="339"/>
      <c r="D20" s="330"/>
      <c r="E20" s="33"/>
      <c r="F20" s="33"/>
      <c r="G20" s="33"/>
      <c r="H20" s="33"/>
      <c r="I20" s="33"/>
      <c r="J20" s="33"/>
      <c r="K20" s="668"/>
      <c r="L20" s="1508"/>
    </row>
    <row r="21" spans="2:256" s="696" customFormat="1" ht="18">
      <c r="B21" s="56" t="s">
        <v>1921</v>
      </c>
      <c r="C21" s="344" t="s">
        <v>1082</v>
      </c>
      <c r="D21" s="330" t="s">
        <v>2454</v>
      </c>
      <c r="E21" s="345"/>
      <c r="F21" s="345"/>
      <c r="G21" s="345"/>
      <c r="H21" s="345"/>
      <c r="I21" s="345"/>
      <c r="J21" s="670">
        <f>SUM(E21:I21)</f>
        <v>0</v>
      </c>
      <c r="K21" s="668"/>
      <c r="L21" s="1508"/>
      <c r="N21" s="388"/>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8"/>
      <c r="AU21" s="388"/>
      <c r="AV21" s="388"/>
      <c r="AW21" s="388"/>
      <c r="AX21" s="388"/>
      <c r="AY21" s="388"/>
      <c r="AZ21" s="388"/>
      <c r="BA21" s="388"/>
      <c r="BB21" s="388"/>
      <c r="BC21" s="388"/>
      <c r="BD21" s="388"/>
      <c r="BE21" s="388"/>
      <c r="BF21" s="388"/>
      <c r="BG21" s="388"/>
      <c r="BH21" s="388"/>
      <c r="BI21" s="388"/>
      <c r="BJ21" s="388"/>
      <c r="BK21" s="388"/>
      <c r="BL21" s="388"/>
      <c r="BM21" s="388"/>
      <c r="BN21" s="388"/>
      <c r="BO21" s="388"/>
      <c r="BP21" s="388"/>
      <c r="BQ21" s="388"/>
      <c r="BR21" s="388"/>
      <c r="BS21" s="388"/>
      <c r="BT21" s="388"/>
      <c r="BU21" s="388"/>
      <c r="BV21" s="388"/>
      <c r="BW21" s="388"/>
      <c r="BX21" s="388"/>
      <c r="BY21" s="388"/>
      <c r="BZ21" s="388"/>
      <c r="CA21" s="388"/>
      <c r="CB21" s="388"/>
      <c r="CC21" s="388"/>
      <c r="CD21" s="388"/>
      <c r="CE21" s="388"/>
      <c r="CF21" s="388"/>
      <c r="CG21" s="388"/>
      <c r="CH21" s="388"/>
      <c r="CI21" s="388"/>
      <c r="CJ21" s="388"/>
      <c r="CK21" s="388"/>
      <c r="CL21" s="388"/>
      <c r="CM21" s="388"/>
      <c r="CN21" s="388"/>
      <c r="CO21" s="388"/>
      <c r="CP21" s="388"/>
      <c r="CQ21" s="388"/>
      <c r="CR21" s="388"/>
      <c r="CS21" s="388"/>
      <c r="CT21" s="388"/>
      <c r="CU21" s="388"/>
      <c r="CV21" s="388"/>
      <c r="CW21" s="388"/>
      <c r="CX21" s="388"/>
      <c r="CY21" s="388"/>
      <c r="CZ21" s="388"/>
      <c r="DA21" s="388"/>
      <c r="DB21" s="388"/>
      <c r="DC21" s="388"/>
      <c r="DD21" s="388"/>
      <c r="DE21" s="388"/>
      <c r="DF21" s="388"/>
      <c r="DG21" s="388"/>
      <c r="DH21" s="388"/>
      <c r="DI21" s="388"/>
      <c r="DJ21" s="388"/>
      <c r="DK21" s="388"/>
      <c r="DL21" s="388"/>
      <c r="DM21" s="388"/>
      <c r="DN21" s="388"/>
      <c r="DO21" s="388"/>
      <c r="DP21" s="388"/>
      <c r="DQ21" s="388"/>
      <c r="DR21" s="388"/>
      <c r="DS21" s="388"/>
      <c r="DT21" s="388"/>
      <c r="DU21" s="388"/>
      <c r="DV21" s="388"/>
      <c r="DW21" s="388"/>
      <c r="DX21" s="388"/>
      <c r="DY21" s="388"/>
      <c r="DZ21" s="388"/>
      <c r="EA21" s="388"/>
      <c r="EB21" s="388"/>
      <c r="EC21" s="388"/>
      <c r="ED21" s="388"/>
      <c r="EE21" s="388"/>
      <c r="EF21" s="388"/>
      <c r="EG21" s="388"/>
      <c r="EH21" s="388"/>
      <c r="EI21" s="388"/>
      <c r="EJ21" s="388"/>
      <c r="EK21" s="388"/>
      <c r="EL21" s="388"/>
      <c r="EM21" s="388"/>
      <c r="EN21" s="388"/>
      <c r="EO21" s="388"/>
      <c r="EP21" s="388"/>
      <c r="EQ21" s="388"/>
      <c r="ER21" s="388"/>
      <c r="ES21" s="388"/>
      <c r="ET21" s="388"/>
      <c r="EU21" s="388"/>
      <c r="EV21" s="388"/>
      <c r="EW21" s="388"/>
      <c r="EX21" s="388"/>
      <c r="EY21" s="388"/>
      <c r="EZ21" s="388"/>
      <c r="FA21" s="388"/>
      <c r="FB21" s="388"/>
      <c r="FC21" s="388"/>
      <c r="FD21" s="388"/>
      <c r="FE21" s="388"/>
      <c r="FF21" s="388"/>
      <c r="FG21" s="388"/>
      <c r="FH21" s="388"/>
      <c r="FI21" s="388"/>
      <c r="FJ21" s="388"/>
      <c r="FK21" s="388"/>
      <c r="FL21" s="388"/>
      <c r="FM21" s="388"/>
      <c r="FN21" s="388"/>
      <c r="FO21" s="388"/>
      <c r="FP21" s="388"/>
      <c r="FQ21" s="388"/>
      <c r="FR21" s="388"/>
      <c r="FS21" s="388"/>
      <c r="FT21" s="388"/>
      <c r="FU21" s="388"/>
      <c r="FV21" s="388"/>
      <c r="FW21" s="388"/>
      <c r="FX21" s="388"/>
      <c r="FY21" s="388"/>
      <c r="FZ21" s="388"/>
      <c r="GA21" s="388"/>
      <c r="GB21" s="388"/>
      <c r="GC21" s="388"/>
      <c r="GD21" s="388"/>
      <c r="GE21" s="388"/>
      <c r="GF21" s="388"/>
      <c r="GG21" s="388"/>
      <c r="GH21" s="388"/>
      <c r="GI21" s="388"/>
      <c r="GJ21" s="388"/>
      <c r="GK21" s="388"/>
      <c r="GL21" s="388"/>
      <c r="GM21" s="388"/>
      <c r="GN21" s="388"/>
      <c r="GO21" s="388"/>
      <c r="GP21" s="388"/>
      <c r="GQ21" s="388"/>
      <c r="GR21" s="388"/>
      <c r="GS21" s="388"/>
      <c r="GT21" s="388"/>
      <c r="GU21" s="388"/>
      <c r="GV21" s="388"/>
      <c r="GW21" s="388"/>
      <c r="GX21" s="388"/>
      <c r="GY21" s="388"/>
      <c r="GZ21" s="388"/>
      <c r="HA21" s="388"/>
      <c r="HB21" s="388"/>
      <c r="HC21" s="388"/>
      <c r="HD21" s="388"/>
      <c r="HE21" s="388"/>
      <c r="HF21" s="388"/>
      <c r="HG21" s="388"/>
      <c r="HH21" s="388"/>
      <c r="HI21" s="388"/>
      <c r="HJ21" s="388"/>
      <c r="HK21" s="388"/>
      <c r="HL21" s="388"/>
      <c r="HM21" s="388"/>
      <c r="HN21" s="388"/>
      <c r="HO21" s="388"/>
      <c r="HP21" s="388"/>
      <c r="HQ21" s="388"/>
      <c r="HR21" s="388"/>
      <c r="HS21" s="388"/>
      <c r="HT21" s="388"/>
      <c r="HU21" s="388"/>
      <c r="HV21" s="388"/>
      <c r="HW21" s="388"/>
      <c r="HX21" s="388"/>
      <c r="HY21" s="388"/>
      <c r="HZ21" s="388"/>
      <c r="IA21" s="388"/>
      <c r="IB21" s="388"/>
      <c r="IC21" s="388"/>
      <c r="ID21" s="388"/>
      <c r="IE21" s="388"/>
      <c r="IF21" s="388"/>
      <c r="IG21" s="388"/>
      <c r="IH21" s="388"/>
      <c r="II21" s="388"/>
      <c r="IJ21" s="388"/>
      <c r="IK21" s="388"/>
      <c r="IL21" s="388"/>
      <c r="IM21" s="388"/>
      <c r="IN21" s="388"/>
      <c r="IO21" s="388"/>
      <c r="IP21" s="388"/>
      <c r="IQ21" s="388"/>
      <c r="IR21" s="388"/>
      <c r="IS21" s="388"/>
      <c r="IT21" s="388"/>
      <c r="IU21" s="388"/>
      <c r="IV21" s="388"/>
    </row>
    <row r="22" spans="2:256" s="696" customFormat="1" ht="36">
      <c r="B22" s="960" t="s">
        <v>2052</v>
      </c>
      <c r="C22" s="508" t="s">
        <v>634</v>
      </c>
      <c r="D22" s="330"/>
      <c r="E22" s="585" t="s">
        <v>1058</v>
      </c>
      <c r="F22" s="585" t="s">
        <v>1058</v>
      </c>
      <c r="G22" s="585" t="s">
        <v>1058</v>
      </c>
      <c r="H22" s="585" t="s">
        <v>1058</v>
      </c>
      <c r="I22" s="585" t="s">
        <v>1058</v>
      </c>
      <c r="J22" s="35"/>
      <c r="K22" s="668"/>
      <c r="L22" s="1508"/>
      <c r="N22" s="388"/>
      <c r="O22" s="388"/>
      <c r="P22" s="388"/>
      <c r="Q22" s="388"/>
      <c r="R22" s="388"/>
      <c r="S22" s="388"/>
      <c r="T22" s="388"/>
      <c r="U22" s="388"/>
      <c r="V22" s="388"/>
      <c r="W22" s="388"/>
      <c r="X22" s="388"/>
      <c r="Y22" s="388"/>
      <c r="Z22" s="388"/>
      <c r="AA22" s="388"/>
      <c r="AB22" s="388"/>
      <c r="AC22" s="388"/>
      <c r="AD22" s="388"/>
      <c r="AE22" s="388"/>
      <c r="AF22" s="388"/>
      <c r="AG22" s="388"/>
      <c r="AH22" s="388"/>
      <c r="AI22" s="388"/>
      <c r="AJ22" s="388"/>
      <c r="AK22" s="388"/>
      <c r="AL22" s="388"/>
      <c r="AM22" s="388"/>
      <c r="AN22" s="388"/>
      <c r="AO22" s="388"/>
      <c r="AP22" s="388"/>
      <c r="AQ22" s="388"/>
      <c r="AR22" s="388"/>
      <c r="AS22" s="388"/>
      <c r="AT22" s="388"/>
      <c r="AU22" s="388"/>
      <c r="AV22" s="388"/>
      <c r="AW22" s="388"/>
      <c r="AX22" s="388"/>
      <c r="AY22" s="388"/>
      <c r="AZ22" s="388"/>
      <c r="BA22" s="388"/>
      <c r="BB22" s="388"/>
      <c r="BC22" s="388"/>
      <c r="BD22" s="388"/>
      <c r="BE22" s="388"/>
      <c r="BF22" s="388"/>
      <c r="BG22" s="388"/>
      <c r="BH22" s="388"/>
      <c r="BI22" s="388"/>
      <c r="BJ22" s="388"/>
      <c r="BK22" s="388"/>
      <c r="BL22" s="388"/>
      <c r="BM22" s="388"/>
      <c r="BN22" s="388"/>
      <c r="BO22" s="388"/>
      <c r="BP22" s="388"/>
      <c r="BQ22" s="388"/>
      <c r="BR22" s="388"/>
      <c r="BS22" s="388"/>
      <c r="BT22" s="388"/>
      <c r="BU22" s="388"/>
      <c r="BV22" s="388"/>
      <c r="BW22" s="388"/>
      <c r="BX22" s="388"/>
      <c r="BY22" s="388"/>
      <c r="BZ22" s="388"/>
      <c r="CA22" s="388"/>
      <c r="CB22" s="388"/>
      <c r="CC22" s="388"/>
      <c r="CD22" s="388"/>
      <c r="CE22" s="388"/>
      <c r="CF22" s="388"/>
      <c r="CG22" s="388"/>
      <c r="CH22" s="388"/>
      <c r="CI22" s="388"/>
      <c r="CJ22" s="388"/>
      <c r="CK22" s="388"/>
      <c r="CL22" s="388"/>
      <c r="CM22" s="388"/>
      <c r="CN22" s="388"/>
      <c r="CO22" s="388"/>
      <c r="CP22" s="388"/>
      <c r="CQ22" s="388"/>
      <c r="CR22" s="388"/>
      <c r="CS22" s="388"/>
      <c r="CT22" s="388"/>
      <c r="CU22" s="388"/>
      <c r="CV22" s="388"/>
      <c r="CW22" s="388"/>
      <c r="CX22" s="388"/>
      <c r="CY22" s="388"/>
      <c r="CZ22" s="388"/>
      <c r="DA22" s="388"/>
      <c r="DB22" s="388"/>
      <c r="DC22" s="388"/>
      <c r="DD22" s="388"/>
      <c r="DE22" s="388"/>
      <c r="DF22" s="388"/>
      <c r="DG22" s="388"/>
      <c r="DH22" s="388"/>
      <c r="DI22" s="388"/>
      <c r="DJ22" s="388"/>
      <c r="DK22" s="388"/>
      <c r="DL22" s="388"/>
      <c r="DM22" s="388"/>
      <c r="DN22" s="388"/>
      <c r="DO22" s="388"/>
      <c r="DP22" s="388"/>
      <c r="DQ22" s="388"/>
      <c r="DR22" s="388"/>
      <c r="DS22" s="388"/>
      <c r="DT22" s="388"/>
      <c r="DU22" s="388"/>
      <c r="DV22" s="388"/>
      <c r="DW22" s="388"/>
      <c r="DX22" s="388"/>
      <c r="DY22" s="388"/>
      <c r="DZ22" s="388"/>
      <c r="EA22" s="388"/>
      <c r="EB22" s="388"/>
      <c r="EC22" s="388"/>
      <c r="ED22" s="388"/>
      <c r="EE22" s="388"/>
      <c r="EF22" s="388"/>
      <c r="EG22" s="388"/>
      <c r="EH22" s="388"/>
      <c r="EI22" s="388"/>
      <c r="EJ22" s="388"/>
      <c r="EK22" s="388"/>
      <c r="EL22" s="388"/>
      <c r="EM22" s="388"/>
      <c r="EN22" s="388"/>
      <c r="EO22" s="388"/>
      <c r="EP22" s="388"/>
      <c r="EQ22" s="388"/>
      <c r="ER22" s="388"/>
      <c r="ES22" s="388"/>
      <c r="ET22" s="388"/>
      <c r="EU22" s="388"/>
      <c r="EV22" s="388"/>
      <c r="EW22" s="388"/>
      <c r="EX22" s="388"/>
      <c r="EY22" s="388"/>
      <c r="EZ22" s="388"/>
      <c r="FA22" s="388"/>
      <c r="FB22" s="388"/>
      <c r="FC22" s="388"/>
      <c r="FD22" s="388"/>
      <c r="FE22" s="388"/>
      <c r="FF22" s="388"/>
      <c r="FG22" s="388"/>
      <c r="FH22" s="388"/>
      <c r="FI22" s="388"/>
      <c r="FJ22" s="388"/>
      <c r="FK22" s="388"/>
      <c r="FL22" s="388"/>
      <c r="FM22" s="388"/>
      <c r="FN22" s="388"/>
      <c r="FO22" s="388"/>
      <c r="FP22" s="388"/>
      <c r="FQ22" s="388"/>
      <c r="FR22" s="388"/>
      <c r="FS22" s="388"/>
      <c r="FT22" s="388"/>
      <c r="FU22" s="388"/>
      <c r="FV22" s="388"/>
      <c r="FW22" s="388"/>
      <c r="FX22" s="388"/>
      <c r="FY22" s="388"/>
      <c r="FZ22" s="388"/>
      <c r="GA22" s="388"/>
      <c r="GB22" s="388"/>
      <c r="GC22" s="388"/>
      <c r="GD22" s="388"/>
      <c r="GE22" s="388"/>
      <c r="GF22" s="388"/>
      <c r="GG22" s="388"/>
      <c r="GH22" s="388"/>
      <c r="GI22" s="388"/>
      <c r="GJ22" s="388"/>
      <c r="GK22" s="388"/>
      <c r="GL22" s="388"/>
      <c r="GM22" s="388"/>
      <c r="GN22" s="388"/>
      <c r="GO22" s="388"/>
      <c r="GP22" s="388"/>
      <c r="GQ22" s="388"/>
      <c r="GR22" s="388"/>
      <c r="GS22" s="388"/>
      <c r="GT22" s="388"/>
      <c r="GU22" s="388"/>
      <c r="GV22" s="388"/>
      <c r="GW22" s="388"/>
      <c r="GX22" s="388"/>
      <c r="GY22" s="388"/>
      <c r="GZ22" s="388"/>
      <c r="HA22" s="388"/>
      <c r="HB22" s="388"/>
      <c r="HC22" s="388"/>
      <c r="HD22" s="388"/>
      <c r="HE22" s="388"/>
      <c r="HF22" s="388"/>
      <c r="HG22" s="388"/>
      <c r="HH22" s="388"/>
      <c r="HI22" s="388"/>
      <c r="HJ22" s="388"/>
      <c r="HK22" s="388"/>
      <c r="HL22" s="388"/>
      <c r="HM22" s="388"/>
      <c r="HN22" s="388"/>
      <c r="HO22" s="388"/>
      <c r="HP22" s="388"/>
      <c r="HQ22" s="388"/>
      <c r="HR22" s="388"/>
      <c r="HS22" s="388"/>
      <c r="HT22" s="388"/>
      <c r="HU22" s="388"/>
      <c r="HV22" s="388"/>
      <c r="HW22" s="388"/>
      <c r="HX22" s="388"/>
      <c r="HY22" s="388"/>
      <c r="HZ22" s="388"/>
      <c r="IA22" s="388"/>
      <c r="IB22" s="388"/>
      <c r="IC22" s="388"/>
      <c r="ID22" s="388"/>
      <c r="IE22" s="388"/>
      <c r="IF22" s="388"/>
      <c r="IG22" s="388"/>
      <c r="IH22" s="388"/>
      <c r="II22" s="388"/>
      <c r="IJ22" s="388"/>
      <c r="IK22" s="388"/>
      <c r="IL22" s="388"/>
      <c r="IM22" s="388"/>
      <c r="IN22" s="388"/>
      <c r="IO22" s="388"/>
      <c r="IP22" s="388"/>
      <c r="IQ22" s="388"/>
      <c r="IR22" s="388"/>
      <c r="IS22" s="388"/>
      <c r="IT22" s="388"/>
      <c r="IU22" s="388"/>
      <c r="IV22" s="388"/>
    </row>
    <row r="23" spans="2:12" ht="18">
      <c r="B23" s="360"/>
      <c r="C23" s="38"/>
      <c r="D23" s="330"/>
      <c r="E23" s="33"/>
      <c r="F23" s="35"/>
      <c r="G23" s="35"/>
      <c r="H23" s="35"/>
      <c r="I23" s="35"/>
      <c r="J23" s="35"/>
      <c r="K23" s="668"/>
      <c r="L23" s="1508"/>
    </row>
    <row r="24" spans="2:12" ht="18">
      <c r="B24" s="56" t="s">
        <v>422</v>
      </c>
      <c r="C24" s="344" t="s">
        <v>1922</v>
      </c>
      <c r="D24" s="330" t="s">
        <v>2456</v>
      </c>
      <c r="E24" s="345"/>
      <c r="F24" s="345"/>
      <c r="G24" s="345"/>
      <c r="H24" s="345"/>
      <c r="I24" s="345"/>
      <c r="J24" s="670">
        <f>SUM(E24:I24)</f>
        <v>0</v>
      </c>
      <c r="K24" s="668"/>
      <c r="L24" s="1508"/>
    </row>
    <row r="25" spans="2:12" ht="18">
      <c r="B25" s="358" t="s">
        <v>89</v>
      </c>
      <c r="C25" s="344" t="s">
        <v>1923</v>
      </c>
      <c r="D25" s="330"/>
      <c r="E25" s="33"/>
      <c r="F25" s="35"/>
      <c r="G25" s="35"/>
      <c r="H25" s="35"/>
      <c r="I25" s="35"/>
      <c r="J25" s="35"/>
      <c r="K25" s="668"/>
      <c r="L25" s="1508"/>
    </row>
    <row r="26" spans="2:12" ht="18">
      <c r="B26" s="56"/>
      <c r="C26" s="344" t="s">
        <v>1438</v>
      </c>
      <c r="D26" s="330" t="s">
        <v>2016</v>
      </c>
      <c r="E26" s="1200" t="s">
        <v>1058</v>
      </c>
      <c r="F26" s="1200" t="s">
        <v>1058</v>
      </c>
      <c r="G26" s="1200" t="s">
        <v>1058</v>
      </c>
      <c r="H26" s="1200" t="s">
        <v>1058</v>
      </c>
      <c r="I26" s="1200" t="s">
        <v>1058</v>
      </c>
      <c r="J26" s="35"/>
      <c r="K26" s="668"/>
      <c r="L26" s="1508"/>
    </row>
    <row r="27" spans="2:12" ht="18">
      <c r="B27" s="358"/>
      <c r="C27" s="344" t="s">
        <v>99</v>
      </c>
      <c r="D27" s="330"/>
      <c r="E27" s="33"/>
      <c r="F27" s="35"/>
      <c r="G27" s="35"/>
      <c r="H27" s="35"/>
      <c r="I27" s="35"/>
      <c r="J27" s="35"/>
      <c r="K27" s="668"/>
      <c r="L27" s="1508"/>
    </row>
    <row r="28" spans="2:12" ht="18">
      <c r="B28" s="46" t="s">
        <v>2451</v>
      </c>
      <c r="C28" s="344" t="s">
        <v>1765</v>
      </c>
      <c r="D28" s="330" t="s">
        <v>1804</v>
      </c>
      <c r="E28" s="345"/>
      <c r="F28" s="345"/>
      <c r="G28" s="345"/>
      <c r="H28" s="345"/>
      <c r="I28" s="345"/>
      <c r="J28" s="670">
        <f>SUM(E28:I28)</f>
        <v>0</v>
      </c>
      <c r="K28" s="668"/>
      <c r="L28" s="1508"/>
    </row>
    <row r="29" spans="2:12" ht="18">
      <c r="B29" s="35"/>
      <c r="C29" s="38"/>
      <c r="D29" s="344"/>
      <c r="E29" s="37"/>
      <c r="F29" s="35"/>
      <c r="G29" s="35"/>
      <c r="H29" s="35"/>
      <c r="I29" s="35"/>
      <c r="J29" s="35"/>
      <c r="K29" s="668"/>
      <c r="L29" s="1508"/>
    </row>
    <row r="30" spans="2:12" ht="18">
      <c r="B30" s="46" t="s">
        <v>422</v>
      </c>
      <c r="C30" s="344" t="s">
        <v>1918</v>
      </c>
      <c r="D30" s="330" t="s">
        <v>2018</v>
      </c>
      <c r="E30" s="345"/>
      <c r="F30" s="345"/>
      <c r="G30" s="345"/>
      <c r="H30" s="345"/>
      <c r="I30" s="345"/>
      <c r="J30" s="670">
        <f>SUM(E30:I30)</f>
        <v>0</v>
      </c>
      <c r="K30" s="668"/>
      <c r="L30" s="1508"/>
    </row>
    <row r="31" spans="2:12" ht="25.5" customHeight="1">
      <c r="B31" s="506" t="s">
        <v>89</v>
      </c>
      <c r="C31" s="507" t="s">
        <v>1919</v>
      </c>
      <c r="D31" s="330"/>
      <c r="E31" s="37"/>
      <c r="F31" s="35"/>
      <c r="G31" s="35"/>
      <c r="H31" s="37"/>
      <c r="I31" s="35"/>
      <c r="J31" s="35"/>
      <c r="K31" s="668"/>
      <c r="L31" s="1508"/>
    </row>
    <row r="32" spans="2:12" ht="25.5" customHeight="1">
      <c r="B32" s="763" t="s">
        <v>1915</v>
      </c>
      <c r="C32" s="344" t="s">
        <v>1764</v>
      </c>
      <c r="D32" s="330" t="s">
        <v>1805</v>
      </c>
      <c r="E32" s="345"/>
      <c r="F32" s="345"/>
      <c r="G32" s="345"/>
      <c r="H32" s="345"/>
      <c r="I32" s="345"/>
      <c r="J32" s="670">
        <f>SUM(E32:I32)</f>
        <v>0</v>
      </c>
      <c r="K32" s="668"/>
      <c r="L32" s="1508"/>
    </row>
    <row r="33" spans="2:12" ht="25.5" customHeight="1">
      <c r="B33" s="506"/>
      <c r="C33" s="507"/>
      <c r="D33" s="330"/>
      <c r="E33" s="37"/>
      <c r="F33" s="35"/>
      <c r="G33" s="35"/>
      <c r="H33" s="37"/>
      <c r="I33" s="35"/>
      <c r="J33" s="35"/>
      <c r="K33" s="668"/>
      <c r="L33" s="1508"/>
    </row>
    <row r="34" spans="2:12" ht="18">
      <c r="B34" s="56" t="s">
        <v>1921</v>
      </c>
      <c r="C34" s="344" t="s">
        <v>1920</v>
      </c>
      <c r="D34" s="330" t="s">
        <v>1806</v>
      </c>
      <c r="E34" s="345"/>
      <c r="F34" s="345"/>
      <c r="G34" s="345"/>
      <c r="H34" s="345"/>
      <c r="I34" s="345"/>
      <c r="J34" s="670">
        <f>SUM(E34:I34)</f>
        <v>0</v>
      </c>
      <c r="K34" s="668"/>
      <c r="L34" s="1508"/>
    </row>
    <row r="35" spans="2:12" ht="18">
      <c r="B35" s="33"/>
      <c r="C35" s="339"/>
      <c r="D35" s="330"/>
      <c r="E35" s="33"/>
      <c r="F35" s="33"/>
      <c r="G35" s="33"/>
      <c r="H35" s="33"/>
      <c r="I35" s="33"/>
      <c r="J35" s="33"/>
      <c r="K35" s="668"/>
      <c r="L35" s="1508"/>
    </row>
    <row r="36" spans="2:12" ht="18">
      <c r="B36" s="56" t="s">
        <v>2457</v>
      </c>
      <c r="C36" s="344" t="s">
        <v>1528</v>
      </c>
      <c r="D36" s="330" t="s">
        <v>1456</v>
      </c>
      <c r="E36" s="345"/>
      <c r="F36" s="345"/>
      <c r="G36" s="345"/>
      <c r="H36" s="345"/>
      <c r="I36" s="345"/>
      <c r="J36" s="670">
        <f>SUM(E36:I36)</f>
        <v>0</v>
      </c>
      <c r="K36" s="668"/>
      <c r="L36" s="1508"/>
    </row>
    <row r="37" spans="2:12" ht="18">
      <c r="B37" s="35"/>
      <c r="C37" s="38"/>
      <c r="D37" s="330"/>
      <c r="E37" s="33"/>
      <c r="F37" s="33"/>
      <c r="G37" s="33"/>
      <c r="H37" s="33"/>
      <c r="I37" s="33"/>
      <c r="J37" s="35"/>
      <c r="K37" s="668"/>
      <c r="L37" s="1508"/>
    </row>
    <row r="38" spans="2:12" ht="18">
      <c r="B38" s="46" t="s">
        <v>422</v>
      </c>
      <c r="C38" s="344" t="s">
        <v>1918</v>
      </c>
      <c r="D38" s="330" t="s">
        <v>532</v>
      </c>
      <c r="E38" s="345"/>
      <c r="F38" s="345"/>
      <c r="G38" s="345"/>
      <c r="H38" s="345"/>
      <c r="I38" s="345"/>
      <c r="J38" s="670">
        <f>SUM(E38:I38)</f>
        <v>0</v>
      </c>
      <c r="K38" s="668"/>
      <c r="L38" s="1508"/>
    </row>
    <row r="39" spans="2:12" ht="24" customHeight="1">
      <c r="B39" s="35"/>
      <c r="C39" s="507" t="s">
        <v>2551</v>
      </c>
      <c r="D39" s="344"/>
      <c r="E39" s="33"/>
      <c r="F39" s="35"/>
      <c r="G39" s="35"/>
      <c r="H39" s="35"/>
      <c r="I39" s="35"/>
      <c r="J39" s="35"/>
      <c r="K39" s="668"/>
      <c r="L39" s="1508"/>
    </row>
    <row r="40" spans="2:12" ht="24" customHeight="1">
      <c r="B40" s="35"/>
      <c r="C40" s="1675" t="s">
        <v>1766</v>
      </c>
      <c r="D40" s="330">
        <v>35</v>
      </c>
      <c r="E40" s="345"/>
      <c r="F40" s="345"/>
      <c r="G40" s="345"/>
      <c r="H40" s="345"/>
      <c r="I40" s="345"/>
      <c r="J40" s="670">
        <f>SUM(E40:I40)</f>
        <v>0</v>
      </c>
      <c r="K40" s="668"/>
      <c r="L40" s="1508"/>
    </row>
    <row r="41" spans="2:12" ht="24" customHeight="1">
      <c r="B41" s="35"/>
      <c r="C41" s="1675"/>
      <c r="D41" s="344"/>
      <c r="E41" s="33"/>
      <c r="F41" s="35"/>
      <c r="G41" s="35"/>
      <c r="H41" s="35"/>
      <c r="I41" s="35"/>
      <c r="J41" s="35"/>
      <c r="K41" s="668"/>
      <c r="L41" s="1508"/>
    </row>
    <row r="42" spans="2:12" ht="18">
      <c r="B42" s="56"/>
      <c r="C42" s="344" t="s">
        <v>1786</v>
      </c>
      <c r="D42" s="330" t="s">
        <v>1455</v>
      </c>
      <c r="E42" s="505"/>
      <c r="F42" s="505"/>
      <c r="G42" s="505"/>
      <c r="H42" s="505"/>
      <c r="I42" s="505"/>
      <c r="J42" s="35"/>
      <c r="K42" s="668"/>
      <c r="L42" s="1508"/>
    </row>
    <row r="43" spans="2:12" ht="18">
      <c r="B43" s="35"/>
      <c r="C43" s="38"/>
      <c r="D43" s="330"/>
      <c r="E43" s="33"/>
      <c r="F43" s="35"/>
      <c r="G43" s="35"/>
      <c r="H43" s="35"/>
      <c r="I43" s="35"/>
      <c r="J43" s="35"/>
      <c r="K43" s="668"/>
      <c r="L43" s="1508"/>
    </row>
    <row r="44" spans="2:12" ht="18">
      <c r="B44" s="46"/>
      <c r="C44" s="344" t="s">
        <v>1539</v>
      </c>
      <c r="D44" s="330" t="s">
        <v>1789</v>
      </c>
      <c r="E44" s="345"/>
      <c r="F44" s="345"/>
      <c r="G44" s="345"/>
      <c r="H44" s="345"/>
      <c r="I44" s="345"/>
      <c r="J44" s="670">
        <f>SUM(E44:I44)</f>
        <v>0</v>
      </c>
      <c r="K44" s="668"/>
      <c r="L44" s="1508"/>
    </row>
    <row r="45" spans="2:12" ht="18">
      <c r="B45" s="38"/>
      <c r="C45" s="38"/>
      <c r="D45" s="35"/>
      <c r="E45" s="33"/>
      <c r="F45" s="35"/>
      <c r="G45" s="35"/>
      <c r="H45" s="35"/>
      <c r="I45" s="35"/>
      <c r="J45" s="35"/>
      <c r="K45" s="668"/>
      <c r="L45" s="1508"/>
    </row>
    <row r="46" spans="2:12" ht="18">
      <c r="B46" s="38"/>
      <c r="C46" s="38"/>
      <c r="D46" s="35"/>
      <c r="E46" s="37"/>
      <c r="F46" s="35"/>
      <c r="G46" s="35"/>
      <c r="H46" s="35"/>
      <c r="I46" s="35"/>
      <c r="J46" s="35"/>
      <c r="K46" s="668"/>
      <c r="L46" s="1508"/>
    </row>
    <row r="47" spans="2:12" ht="18">
      <c r="B47" s="38"/>
      <c r="C47" s="38"/>
      <c r="D47" s="35"/>
      <c r="E47" s="37"/>
      <c r="F47" s="35"/>
      <c r="G47" s="35"/>
      <c r="H47" s="35"/>
      <c r="I47" s="35"/>
      <c r="J47" s="35"/>
      <c r="K47" s="668"/>
      <c r="L47" s="1508"/>
    </row>
    <row r="48" spans="2:12" ht="18.75" thickBot="1">
      <c r="B48" s="311"/>
      <c r="C48" s="312"/>
      <c r="D48" s="311"/>
      <c r="E48" s="313"/>
      <c r="F48" s="314"/>
      <c r="G48" s="314"/>
      <c r="H48" s="671"/>
      <c r="I48" s="314"/>
      <c r="J48" s="672"/>
      <c r="K48" s="673"/>
      <c r="L48" s="1508"/>
    </row>
    <row r="49" spans="2:12" ht="18">
      <c r="B49" s="46"/>
      <c r="C49" s="33" t="str">
        <f>"T4RSP-"&amp;yeartext&amp;" GENERAL DATA SUMMARY"</f>
        <v>T4RSP-2007 GENERAL DATA SUMMARY</v>
      </c>
      <c r="D49" s="33"/>
      <c r="E49" s="339" t="s">
        <v>1264</v>
      </c>
      <c r="F49" s="35"/>
      <c r="G49" s="35"/>
      <c r="H49" s="36"/>
      <c r="I49" s="35"/>
      <c r="J49" s="36" t="str">
        <f>yeartext</f>
        <v>2007</v>
      </c>
      <c r="K49" s="668"/>
      <c r="L49" s="357"/>
    </row>
    <row r="50" spans="2:12" ht="18">
      <c r="B50" s="46"/>
      <c r="C50" s="33"/>
      <c r="D50" s="33"/>
      <c r="E50" s="339"/>
      <c r="F50" s="35"/>
      <c r="G50" s="35"/>
      <c r="H50" s="36"/>
      <c r="I50" s="35"/>
      <c r="J50" s="36"/>
      <c r="K50" s="668"/>
      <c r="L50" s="357"/>
    </row>
    <row r="51" spans="2:12" ht="18">
      <c r="B51" s="46"/>
      <c r="C51" s="33" t="s">
        <v>2319</v>
      </c>
      <c r="D51" s="33"/>
      <c r="E51" s="583">
        <f>IF(OR(E26="Yes",AND(E42&gt;0,E42='T1 GEN-1'!$T$26)),2,1)</f>
        <v>1</v>
      </c>
      <c r="F51" s="583">
        <f>IF(OR(F26="Yes",AND(F42&gt;0,F42='T1 GEN-1'!$T$26)),2,1)</f>
        <v>1</v>
      </c>
      <c r="G51" s="583">
        <f>IF(OR(G26="Yes",AND(G42&gt;0,G42='T1 GEN-1'!$T$26)),2,1)</f>
        <v>1</v>
      </c>
      <c r="H51" s="583">
        <f>IF(OR(H26="Yes",AND(H42&gt;0,H42='T1 GEN-1'!$T$26)),2,1)</f>
        <v>1</v>
      </c>
      <c r="I51" s="583">
        <f>IF(OR(I26="Yes",AND(I42&gt;0,I42='T1 GEN-1'!$T$26)),2,1)</f>
        <v>1</v>
      </c>
      <c r="J51" s="36"/>
      <c r="K51" s="668"/>
      <c r="L51" s="357"/>
    </row>
    <row r="52" spans="2:12" ht="18">
      <c r="B52" s="46"/>
      <c r="C52" s="49" t="s">
        <v>2321</v>
      </c>
      <c r="D52" s="46"/>
      <c r="E52" s="584">
        <f>IF(OR(age&gt;=65,E17="Yes"),2,1)</f>
        <v>1</v>
      </c>
      <c r="F52" s="584">
        <f>IF(OR(age&gt;=65,F17="Yes"),2,1)</f>
        <v>1</v>
      </c>
      <c r="G52" s="584">
        <f>IF(OR(age&gt;=65,G17="Yes"),2,1)</f>
        <v>1</v>
      </c>
      <c r="H52" s="584">
        <f>IF(OR(age&gt;=65,H17="Yes"),2,1)</f>
        <v>1</v>
      </c>
      <c r="I52" s="584">
        <f>IF(OR(age&gt;=65,I17="Yes"),2,1)</f>
        <v>1</v>
      </c>
      <c r="J52" s="675"/>
      <c r="K52" s="668"/>
      <c r="L52" s="357"/>
    </row>
    <row r="53" spans="2:12" ht="36">
      <c r="B53" s="46"/>
      <c r="C53" s="41" t="s">
        <v>1930</v>
      </c>
      <c r="D53" s="41" t="s">
        <v>1529</v>
      </c>
      <c r="E53" s="573" t="s">
        <v>1931</v>
      </c>
      <c r="F53" s="573" t="s">
        <v>1932</v>
      </c>
      <c r="G53" s="573" t="s">
        <v>1933</v>
      </c>
      <c r="H53" s="573" t="s">
        <v>1934</v>
      </c>
      <c r="I53" s="573" t="s">
        <v>987</v>
      </c>
      <c r="J53" s="41" t="s">
        <v>1904</v>
      </c>
      <c r="K53" s="668"/>
      <c r="L53" s="357"/>
    </row>
    <row r="54" spans="2:12" ht="18">
      <c r="B54" s="46"/>
      <c r="C54" s="309" t="s">
        <v>147</v>
      </c>
      <c r="D54" s="391" t="s">
        <v>962</v>
      </c>
      <c r="E54" s="681">
        <f>IF(E52=2,E16,0)</f>
        <v>0</v>
      </c>
      <c r="F54" s="681">
        <f>IF(F52=2,F16,0)</f>
        <v>0</v>
      </c>
      <c r="G54" s="681">
        <f>IF(G52=2,G16,0)</f>
        <v>0</v>
      </c>
      <c r="H54" s="681">
        <f>IF(H52=2,H16,0)</f>
        <v>0</v>
      </c>
      <c r="I54" s="681">
        <f>IF(I52=2,I16,0)</f>
        <v>0</v>
      </c>
      <c r="J54" s="351">
        <f>SUM(E54:I54)</f>
        <v>0</v>
      </c>
      <c r="K54" s="668"/>
      <c r="L54" s="357"/>
    </row>
    <row r="55" spans="2:12" ht="18">
      <c r="B55" s="46"/>
      <c r="C55" s="309"/>
      <c r="D55" s="391"/>
      <c r="E55" s="697"/>
      <c r="F55" s="697"/>
      <c r="G55" s="697"/>
      <c r="H55" s="697"/>
      <c r="I55" s="697"/>
      <c r="J55" s="347"/>
      <c r="K55" s="668"/>
      <c r="L55" s="357"/>
    </row>
    <row r="56" spans="2:12" ht="18">
      <c r="B56" s="46"/>
      <c r="C56" s="309" t="s">
        <v>854</v>
      </c>
      <c r="D56" s="310" t="s">
        <v>422</v>
      </c>
      <c r="E56" s="351">
        <f>E16</f>
        <v>0</v>
      </c>
      <c r="F56" s="351">
        <f>F16</f>
        <v>0</v>
      </c>
      <c r="G56" s="351">
        <f>G16</f>
        <v>0</v>
      </c>
      <c r="H56" s="351">
        <f>H16</f>
        <v>0</v>
      </c>
      <c r="I56" s="351">
        <f>I16</f>
        <v>0</v>
      </c>
      <c r="J56" s="347"/>
      <c r="K56" s="668"/>
      <c r="L56" s="357"/>
    </row>
    <row r="57" spans="2:12" ht="18">
      <c r="B57" s="46"/>
      <c r="C57" s="309" t="s">
        <v>1243</v>
      </c>
      <c r="D57" s="310" t="s">
        <v>422</v>
      </c>
      <c r="E57" s="351">
        <f>E19</f>
        <v>0</v>
      </c>
      <c r="F57" s="351">
        <f>F19</f>
        <v>0</v>
      </c>
      <c r="G57" s="351">
        <f>G19</f>
        <v>0</v>
      </c>
      <c r="H57" s="351">
        <f>H19</f>
        <v>0</v>
      </c>
      <c r="I57" s="351">
        <f>I19</f>
        <v>0</v>
      </c>
      <c r="J57" s="347"/>
      <c r="K57" s="668"/>
      <c r="L57" s="357"/>
    </row>
    <row r="58" spans="2:12" ht="18">
      <c r="B58" s="46"/>
      <c r="C58" s="309" t="s">
        <v>855</v>
      </c>
      <c r="D58" s="310" t="s">
        <v>422</v>
      </c>
      <c r="E58" s="351">
        <f>IF(E51=1,E21,0)</f>
        <v>0</v>
      </c>
      <c r="F58" s="351">
        <f>IF(F51=1,F21,0)</f>
        <v>0</v>
      </c>
      <c r="G58" s="351">
        <f>IF(G51=1,G21,0)</f>
        <v>0</v>
      </c>
      <c r="H58" s="351">
        <f>IF(H51=1,H21,0)</f>
        <v>0</v>
      </c>
      <c r="I58" s="351">
        <f>IF(I51=1,I21,0)</f>
        <v>0</v>
      </c>
      <c r="J58" s="347"/>
      <c r="K58" s="668"/>
      <c r="L58" s="357"/>
    </row>
    <row r="59" spans="2:12" ht="18">
      <c r="B59" s="46"/>
      <c r="C59" s="309" t="s">
        <v>1860</v>
      </c>
      <c r="D59" s="310" t="s">
        <v>422</v>
      </c>
      <c r="E59" s="351">
        <f>IF(E51=1,E24,0)</f>
        <v>0</v>
      </c>
      <c r="F59" s="351">
        <f>IF(F51=1,F24,0)</f>
        <v>0</v>
      </c>
      <c r="G59" s="351">
        <f>IF(G51=1,G24,0)</f>
        <v>0</v>
      </c>
      <c r="H59" s="351">
        <f>IF(H51=1,H24,0)</f>
        <v>0</v>
      </c>
      <c r="I59" s="351">
        <f>IF(I51=1,I24,0)</f>
        <v>0</v>
      </c>
      <c r="J59" s="351">
        <f>SUM(E56:I62)</f>
        <v>0</v>
      </c>
      <c r="K59" s="668"/>
      <c r="L59" s="357"/>
    </row>
    <row r="60" spans="2:12" ht="18">
      <c r="B60" s="46"/>
      <c r="C60" s="309" t="s">
        <v>2579</v>
      </c>
      <c r="D60" s="310" t="s">
        <v>422</v>
      </c>
      <c r="E60" s="351">
        <f>IF(E51=1,E30,0)</f>
        <v>0</v>
      </c>
      <c r="F60" s="351">
        <f>IF(F51=1,F30,0)</f>
        <v>0</v>
      </c>
      <c r="G60" s="351">
        <f>IF(G51=1,G30,0)</f>
        <v>0</v>
      </c>
      <c r="H60" s="351">
        <f>IF(H51=1,H30,0)</f>
        <v>0</v>
      </c>
      <c r="I60" s="351">
        <f>IF(I51=1,I30,0)</f>
        <v>0</v>
      </c>
      <c r="J60" s="347"/>
      <c r="K60" s="668"/>
      <c r="L60" s="357" t="s">
        <v>2530</v>
      </c>
    </row>
    <row r="61" spans="2:12" ht="18">
      <c r="B61" s="46"/>
      <c r="C61" s="309" t="s">
        <v>2554</v>
      </c>
      <c r="D61" s="310" t="s">
        <v>422</v>
      </c>
      <c r="E61" s="351">
        <f>MAX(E34,0)</f>
        <v>0</v>
      </c>
      <c r="F61" s="351">
        <f>MAX(F34,0)</f>
        <v>0</v>
      </c>
      <c r="G61" s="351">
        <f>MAX(G34,0)</f>
        <v>0</v>
      </c>
      <c r="H61" s="351">
        <f>MAX(H34,0)</f>
        <v>0</v>
      </c>
      <c r="I61" s="351">
        <f>MAX(I34,0)</f>
        <v>0</v>
      </c>
      <c r="J61" s="347"/>
      <c r="K61" s="668"/>
      <c r="L61" s="764" t="s">
        <v>2531</v>
      </c>
    </row>
    <row r="62" spans="2:12" ht="18">
      <c r="B62" s="46"/>
      <c r="C62" s="309" t="s">
        <v>2553</v>
      </c>
      <c r="D62" s="310" t="s">
        <v>422</v>
      </c>
      <c r="E62" s="351">
        <f>E38</f>
        <v>0</v>
      </c>
      <c r="F62" s="351">
        <f>F38</f>
        <v>0</v>
      </c>
      <c r="G62" s="351">
        <f>G38</f>
        <v>0</v>
      </c>
      <c r="H62" s="351">
        <f>H38</f>
        <v>0</v>
      </c>
      <c r="I62" s="351">
        <f>I38</f>
        <v>0</v>
      </c>
      <c r="J62" s="347"/>
      <c r="K62" s="668"/>
      <c r="L62" s="357" t="s">
        <v>2532</v>
      </c>
    </row>
    <row r="63" spans="2:12" ht="18">
      <c r="B63" s="46"/>
      <c r="C63" s="309"/>
      <c r="D63" s="310"/>
      <c r="E63" s="697"/>
      <c r="F63" s="697"/>
      <c r="G63" s="697"/>
      <c r="H63" s="697"/>
      <c r="I63" s="697"/>
      <c r="J63" s="697"/>
      <c r="K63" s="668"/>
      <c r="L63" s="357" t="s">
        <v>2533</v>
      </c>
    </row>
    <row r="64" spans="2:12" ht="18">
      <c r="B64" s="46"/>
      <c r="C64" s="309" t="s">
        <v>146</v>
      </c>
      <c r="D64" s="310" t="s">
        <v>163</v>
      </c>
      <c r="E64" s="351">
        <f>IF(E22="Yes",E21,0)</f>
        <v>0</v>
      </c>
      <c r="F64" s="351">
        <f>IF(F22="Yes",F21,0)</f>
        <v>0</v>
      </c>
      <c r="G64" s="351">
        <f>IF(G22="Yes",G21,0)</f>
        <v>0</v>
      </c>
      <c r="H64" s="351">
        <f>IF(H22="Yes",H21,0)</f>
        <v>0</v>
      </c>
      <c r="I64" s="351">
        <f>IF(I22="Yes",I21,0)</f>
        <v>0</v>
      </c>
      <c r="J64" s="351">
        <f>SUM(E64:I65)</f>
        <v>0</v>
      </c>
      <c r="K64" s="668"/>
      <c r="L64" s="357" t="s">
        <v>2534</v>
      </c>
    </row>
    <row r="65" spans="2:12" ht="18">
      <c r="B65" s="46"/>
      <c r="C65" s="309" t="s">
        <v>2555</v>
      </c>
      <c r="D65" s="310" t="s">
        <v>163</v>
      </c>
      <c r="E65" s="351">
        <f>-MIN(0,E34)</f>
        <v>0</v>
      </c>
      <c r="F65" s="351">
        <f>-MIN(0,F34)</f>
        <v>0</v>
      </c>
      <c r="G65" s="351">
        <f>-MIN(0,G34)</f>
        <v>0</v>
      </c>
      <c r="H65" s="351">
        <f>-MIN(0,H34)</f>
        <v>0</v>
      </c>
      <c r="I65" s="351">
        <f>-MIN(0,I34)</f>
        <v>0</v>
      </c>
      <c r="J65" s="347"/>
      <c r="K65" s="668"/>
      <c r="L65" s="357" t="s">
        <v>2535</v>
      </c>
    </row>
    <row r="66" spans="2:12" ht="18">
      <c r="B66" s="46"/>
      <c r="C66" s="309"/>
      <c r="D66" s="310"/>
      <c r="E66" s="697"/>
      <c r="F66" s="697"/>
      <c r="G66" s="697"/>
      <c r="H66" s="697"/>
      <c r="I66" s="697"/>
      <c r="J66" s="697"/>
      <c r="K66" s="668"/>
      <c r="L66" s="357" t="s">
        <v>2538</v>
      </c>
    </row>
    <row r="67" spans="2:12" ht="18">
      <c r="B67" s="46"/>
      <c r="C67" s="309" t="s">
        <v>1048</v>
      </c>
      <c r="D67" s="310" t="s">
        <v>2457</v>
      </c>
      <c r="E67" s="681">
        <f>E36</f>
        <v>0</v>
      </c>
      <c r="F67" s="681">
        <f>F36</f>
        <v>0</v>
      </c>
      <c r="G67" s="681">
        <f>G36</f>
        <v>0</v>
      </c>
      <c r="H67" s="681">
        <f>H36</f>
        <v>0</v>
      </c>
      <c r="I67" s="681">
        <f>I36</f>
        <v>0</v>
      </c>
      <c r="J67" s="681">
        <f>SUM(E67:I67)</f>
        <v>0</v>
      </c>
      <c r="K67" s="668"/>
      <c r="L67" s="357" t="s">
        <v>1281</v>
      </c>
    </row>
    <row r="68" spans="2:12" ht="18">
      <c r="B68" s="46"/>
      <c r="C68" s="309"/>
      <c r="D68" s="310"/>
      <c r="E68" s="697"/>
      <c r="F68" s="697"/>
      <c r="G68" s="697"/>
      <c r="H68" s="697"/>
      <c r="I68" s="697"/>
      <c r="J68" s="697"/>
      <c r="K68" s="668"/>
      <c r="L68" s="357" t="s">
        <v>2539</v>
      </c>
    </row>
    <row r="69" spans="2:12" ht="18">
      <c r="B69" s="46"/>
      <c r="C69" s="309" t="s">
        <v>1741</v>
      </c>
      <c r="D69" s="310" t="s">
        <v>1915</v>
      </c>
      <c r="E69" s="351">
        <f>E32</f>
        <v>0</v>
      </c>
      <c r="F69" s="351">
        <f>F32</f>
        <v>0</v>
      </c>
      <c r="G69" s="351">
        <f>G32</f>
        <v>0</v>
      </c>
      <c r="H69" s="351">
        <f>H32</f>
        <v>0</v>
      </c>
      <c r="I69" s="351">
        <f>I32</f>
        <v>0</v>
      </c>
      <c r="J69" s="681">
        <f>SUM(E69:I69)</f>
        <v>0</v>
      </c>
      <c r="K69" s="668"/>
      <c r="L69" s="357"/>
    </row>
    <row r="70" spans="2:12" ht="18">
      <c r="B70" s="46"/>
      <c r="C70" s="309" t="s">
        <v>1741</v>
      </c>
      <c r="D70" s="310" t="s">
        <v>2451</v>
      </c>
      <c r="E70" s="351">
        <f>E28</f>
        <v>0</v>
      </c>
      <c r="F70" s="351">
        <f>F28</f>
        <v>0</v>
      </c>
      <c r="G70" s="351">
        <f>G28</f>
        <v>0</v>
      </c>
      <c r="H70" s="351">
        <f>H28</f>
        <v>0</v>
      </c>
      <c r="I70" s="351">
        <f>I28</f>
        <v>0</v>
      </c>
      <c r="J70" s="681">
        <f>SUM(E70:I70)</f>
        <v>0</v>
      </c>
      <c r="K70" s="668"/>
      <c r="L70" s="347" t="s">
        <v>2322</v>
      </c>
    </row>
    <row r="71" spans="2:12" ht="18">
      <c r="B71" s="46"/>
      <c r="C71" s="309"/>
      <c r="D71" s="310"/>
      <c r="E71" s="697"/>
      <c r="F71" s="697"/>
      <c r="G71" s="697"/>
      <c r="H71" s="697"/>
      <c r="I71" s="697"/>
      <c r="J71" s="347"/>
      <c r="K71" s="668"/>
      <c r="L71" s="347" t="s">
        <v>2536</v>
      </c>
    </row>
    <row r="72" spans="2:12" ht="18">
      <c r="B72" s="46"/>
      <c r="C72" s="309" t="s">
        <v>2317</v>
      </c>
      <c r="D72" s="310" t="s">
        <v>661</v>
      </c>
      <c r="E72" s="351">
        <f>IF(E51=2,E21,0)</f>
        <v>0</v>
      </c>
      <c r="F72" s="351">
        <f>IF(F51=2,F21,0)</f>
        <v>0</v>
      </c>
      <c r="G72" s="351">
        <f>IF(G51=2,G21,0)</f>
        <v>0</v>
      </c>
      <c r="H72" s="351">
        <f>IF(H51=2,H21,0)</f>
        <v>0</v>
      </c>
      <c r="I72" s="351">
        <f>IF(I51=2,I21,0)</f>
        <v>0</v>
      </c>
      <c r="J72" s="347"/>
      <c r="K72" s="668"/>
      <c r="L72" s="347" t="s">
        <v>89</v>
      </c>
    </row>
    <row r="73" spans="2:12" ht="18">
      <c r="B73" s="46"/>
      <c r="C73" s="309" t="s">
        <v>2318</v>
      </c>
      <c r="D73" s="310" t="s">
        <v>661</v>
      </c>
      <c r="E73" s="351">
        <f>IF(E51=2,E24,0)</f>
        <v>0</v>
      </c>
      <c r="F73" s="351">
        <f>IF(F51=2,F24,0)</f>
        <v>0</v>
      </c>
      <c r="G73" s="351">
        <f>IF(G51=2,G24,0)</f>
        <v>0</v>
      </c>
      <c r="H73" s="351">
        <f>IF(H51=2,H24,0)</f>
        <v>0</v>
      </c>
      <c r="I73" s="351">
        <f>IF(I51=2,I24,0)</f>
        <v>0</v>
      </c>
      <c r="J73" s="351">
        <f>SUM(E72:I74)</f>
        <v>0</v>
      </c>
      <c r="K73" s="668"/>
      <c r="L73" s="347"/>
    </row>
    <row r="74" spans="2:12" ht="18">
      <c r="B74" s="46"/>
      <c r="C74" s="309" t="s">
        <v>2320</v>
      </c>
      <c r="D74" s="310" t="s">
        <v>661</v>
      </c>
      <c r="E74" s="351">
        <f>IF(E51=2,E30,0)</f>
        <v>0</v>
      </c>
      <c r="F74" s="351">
        <f>IF(F51=2,F30,0)</f>
        <v>0</v>
      </c>
      <c r="G74" s="351">
        <f>IF(G51=2,G30,0)</f>
        <v>0</v>
      </c>
      <c r="H74" s="351">
        <f>IF(H51=2,H30,0)</f>
        <v>0</v>
      </c>
      <c r="I74" s="351">
        <f>IF(I51=2,I30,0)</f>
        <v>0</v>
      </c>
      <c r="J74" s="347"/>
      <c r="K74" s="668"/>
      <c r="L74" s="347"/>
    </row>
    <row r="75" spans="2:12" ht="18">
      <c r="B75" s="46"/>
      <c r="C75" s="309"/>
      <c r="D75" s="310"/>
      <c r="E75" s="351"/>
      <c r="F75" s="351"/>
      <c r="G75" s="351"/>
      <c r="H75" s="351"/>
      <c r="I75" s="351"/>
      <c r="J75" s="351"/>
      <c r="K75" s="668"/>
      <c r="L75" s="347"/>
    </row>
    <row r="76" spans="2:12" ht="18">
      <c r="B76" s="46"/>
      <c r="C76" s="309" t="s">
        <v>2552</v>
      </c>
      <c r="D76" s="310"/>
      <c r="E76" s="351">
        <f>E44</f>
        <v>0</v>
      </c>
      <c r="F76" s="351">
        <f>F44</f>
        <v>0</v>
      </c>
      <c r="G76" s="351">
        <f>G44</f>
        <v>0</v>
      </c>
      <c r="H76" s="351">
        <f>H44</f>
        <v>0</v>
      </c>
      <c r="I76" s="351">
        <f>I44</f>
        <v>0</v>
      </c>
      <c r="J76" s="681">
        <f>SUM(E76:I76)</f>
        <v>0</v>
      </c>
      <c r="K76" s="668"/>
      <c r="L76" s="347"/>
    </row>
    <row r="77" spans="2:12" ht="18">
      <c r="B77" s="46"/>
      <c r="C77" s="49"/>
      <c r="D77" s="46"/>
      <c r="E77" s="51"/>
      <c r="F77" s="550"/>
      <c r="G77" s="347"/>
      <c r="H77" s="347"/>
      <c r="I77" s="347"/>
      <c r="J77" s="347"/>
      <c r="K77" s="668"/>
      <c r="L77" s="357"/>
    </row>
    <row r="78" spans="1:12" ht="18">
      <c r="A78" s="669">
        <v>0</v>
      </c>
      <c r="B78" s="46"/>
      <c r="C78" s="49"/>
      <c r="D78" s="46"/>
      <c r="E78" s="51"/>
      <c r="F78" s="574"/>
      <c r="G78" s="48"/>
      <c r="H78" s="674"/>
      <c r="I78" s="48"/>
      <c r="J78" s="675"/>
      <c r="K78" s="668"/>
      <c r="L78" s="357"/>
    </row>
    <row r="79" spans="2:4" ht="15">
      <c r="B79" s="676"/>
      <c r="D79" s="55"/>
    </row>
    <row r="80" spans="2:4" ht="15">
      <c r="B80" s="676"/>
      <c r="D80" s="55"/>
    </row>
    <row r="81" spans="2:4" ht="15">
      <c r="B81" s="676"/>
      <c r="D81" s="55"/>
    </row>
    <row r="82" spans="2:4" ht="15">
      <c r="B82" s="676"/>
      <c r="D82" s="55"/>
    </row>
    <row r="83" spans="2:4" ht="15">
      <c r="B83" s="676"/>
      <c r="D83" s="55"/>
    </row>
    <row r="84" spans="2:4" ht="15">
      <c r="B84" s="676"/>
      <c r="D84" s="55"/>
    </row>
    <row r="85" spans="2:4" ht="15">
      <c r="B85" s="676"/>
      <c r="D85" s="55"/>
    </row>
    <row r="86" spans="2:4" ht="15">
      <c r="B86" s="676"/>
      <c r="D86" s="55"/>
    </row>
    <row r="87" spans="2:4" ht="15">
      <c r="B87" s="676"/>
      <c r="D87" s="55"/>
    </row>
    <row r="88" spans="2:4" ht="15">
      <c r="B88" s="676"/>
      <c r="D88" s="55"/>
    </row>
    <row r="89" spans="2:4" ht="15">
      <c r="B89" s="676"/>
      <c r="D89" s="55"/>
    </row>
    <row r="90" spans="2:4" ht="15">
      <c r="B90" s="676"/>
      <c r="D90" s="55"/>
    </row>
  </sheetData>
  <sheetProtection password="EC35" sheet="1" objects="1" scenarios="1"/>
  <mergeCells count="2">
    <mergeCell ref="L1:L48"/>
    <mergeCell ref="C40:C41"/>
  </mergeCells>
  <dataValidations count="2">
    <dataValidation type="whole" operator="greaterThan" allowBlank="1" showInputMessage="1" showErrorMessage="1" errorTitle="SOCIAL INSURANCE NUMBER FORMAT" error="Enter a number without any  - or blanks&#10;Example:  012034056&#10;" sqref="E42:I42">
      <formula1>0</formula1>
    </dataValidation>
    <dataValidation type="list" allowBlank="1" showInputMessage="1" showErrorMessage="1" sqref="E17:I17 E26:I26 E22:I22">
      <formula1>"Yes,No"</formula1>
    </dataValidation>
  </dataValidations>
  <hyperlinks>
    <hyperlink ref="L1:L48" location="'GO TO'!G15" display=" "/>
  </hyperlinks>
  <printOptions horizontalCentered="1"/>
  <pageMargins left="0" right="0" top="0" bottom="0" header="0.5" footer="0.5"/>
  <pageSetup fitToHeight="0" fitToWidth="1" horizontalDpi="600" verticalDpi="600" orientation="portrait" scale="53" r:id="rId3"/>
  <legacyDrawing r:id="rId2"/>
</worksheet>
</file>

<file path=xl/worksheets/sheet33.xml><?xml version="1.0" encoding="utf-8"?>
<worksheet xmlns="http://schemas.openxmlformats.org/spreadsheetml/2006/main" xmlns:r="http://schemas.openxmlformats.org/officeDocument/2006/relationships">
  <sheetPr codeName="Sheet6">
    <pageSetUpPr fitToPage="1"/>
  </sheetPr>
  <dimension ref="A1:T141"/>
  <sheetViews>
    <sheetView showGridLines="0" zoomScale="70" zoomScaleNormal="70" workbookViewId="0" topLeftCell="A1">
      <selection activeCell="B4" sqref="B4"/>
    </sheetView>
  </sheetViews>
  <sheetFormatPr defaultColWidth="8.88671875" defaultRowHeight="15"/>
  <cols>
    <col min="1" max="1" width="3.21484375" style="608" customWidth="1"/>
    <col min="2" max="2" width="4.99609375" style="608" customWidth="1"/>
    <col min="3" max="3" width="10.77734375" style="608" customWidth="1"/>
    <col min="4" max="4" width="4.77734375" style="608" customWidth="1"/>
    <col min="5" max="5" width="12.77734375" style="608" customWidth="1"/>
    <col min="6" max="6" width="2.77734375" style="608" customWidth="1"/>
    <col min="7" max="7" width="12.10546875" style="608" customWidth="1"/>
    <col min="8" max="9" width="8.88671875" style="608" customWidth="1"/>
    <col min="10" max="10" width="6.77734375" style="608" customWidth="1"/>
    <col min="11" max="11" width="13.3359375" style="608" bestFit="1" customWidth="1"/>
    <col min="12" max="12" width="10.21484375" style="608" customWidth="1"/>
    <col min="13" max="13" width="4.77734375" style="608" customWidth="1"/>
    <col min="14" max="14" width="12.77734375" style="608" customWidth="1"/>
    <col min="15" max="15" width="3.6640625" style="608" customWidth="1"/>
    <col min="16" max="16" width="8.88671875" style="608" customWidth="1"/>
    <col min="17" max="18" width="6.3359375" style="608" customWidth="1"/>
    <col min="19" max="19" width="6.21484375" style="608" customWidth="1"/>
    <col min="20" max="20" width="5.77734375" style="608" customWidth="1"/>
    <col min="21" max="16384" width="8.88671875" style="608" customWidth="1"/>
  </cols>
  <sheetData>
    <row r="1" spans="1:16" ht="15">
      <c r="A1" s="607"/>
      <c r="B1" s="607"/>
      <c r="C1" s="607"/>
      <c r="D1" s="698" t="s">
        <v>440</v>
      </c>
      <c r="E1" s="699"/>
      <c r="F1" s="698" t="s">
        <v>183</v>
      </c>
      <c r="G1" s="699"/>
      <c r="H1" s="699"/>
      <c r="I1" s="699"/>
      <c r="J1" s="699"/>
      <c r="K1" s="607"/>
      <c r="L1" s="607"/>
      <c r="M1" s="607"/>
      <c r="N1" s="607"/>
      <c r="O1" s="607"/>
      <c r="P1" s="1573" t="s">
        <v>1659</v>
      </c>
    </row>
    <row r="2" spans="1:16" ht="20.25">
      <c r="A2" s="607"/>
      <c r="B2" s="607"/>
      <c r="C2" s="607"/>
      <c r="D2" s="1208" t="s">
        <v>182</v>
      </c>
      <c r="E2" s="699"/>
      <c r="F2" s="1208" t="s">
        <v>441</v>
      </c>
      <c r="G2" s="699"/>
      <c r="H2" s="600"/>
      <c r="I2" s="607"/>
      <c r="J2" s="700" t="str">
        <f>"CHILD CARE EXPENSES DEDUCTION FOR "&amp;yeartext</f>
        <v>CHILD CARE EXPENSES DEDUCTION FOR 2007</v>
      </c>
      <c r="K2" s="607"/>
      <c r="L2" s="607"/>
      <c r="M2" s="607"/>
      <c r="N2" s="607"/>
      <c r="O2" s="607"/>
      <c r="P2" s="1573"/>
    </row>
    <row r="3" spans="1:16" ht="15">
      <c r="A3" s="607"/>
      <c r="B3" s="607"/>
      <c r="C3" s="607"/>
      <c r="D3" s="607"/>
      <c r="E3" s="607"/>
      <c r="F3" s="607"/>
      <c r="G3" s="607"/>
      <c r="H3" s="607"/>
      <c r="I3" s="607"/>
      <c r="J3" s="607"/>
      <c r="K3" s="607"/>
      <c r="L3" s="607"/>
      <c r="M3" s="607"/>
      <c r="N3" s="607"/>
      <c r="O3" s="607"/>
      <c r="P3" s="1573"/>
    </row>
    <row r="4" spans="1:16" ht="15.75">
      <c r="A4" s="607"/>
      <c r="B4" s="607" t="s">
        <v>442</v>
      </c>
      <c r="C4" s="607"/>
      <c r="D4" s="607"/>
      <c r="E4" s="607"/>
      <c r="F4" s="607"/>
      <c r="G4" s="607"/>
      <c r="H4" s="607"/>
      <c r="I4" s="607"/>
      <c r="J4" s="607"/>
      <c r="K4" s="607"/>
      <c r="L4" s="607"/>
      <c r="M4" s="607"/>
      <c r="N4" s="607"/>
      <c r="O4" s="607"/>
      <c r="P4" s="1573"/>
    </row>
    <row r="5" spans="1:16" ht="15.75">
      <c r="A5" s="607"/>
      <c r="B5" s="720" t="s">
        <v>728</v>
      </c>
      <c r="C5" s="607"/>
      <c r="D5" s="607"/>
      <c r="E5" s="607"/>
      <c r="F5" s="607"/>
      <c r="G5" s="607"/>
      <c r="H5" s="607"/>
      <c r="I5" s="607"/>
      <c r="J5" s="607"/>
      <c r="K5" s="607"/>
      <c r="L5" s="607"/>
      <c r="M5" s="607"/>
      <c r="N5" s="607"/>
      <c r="O5" s="607"/>
      <c r="P5" s="1573"/>
    </row>
    <row r="6" spans="1:16" ht="15">
      <c r="A6" s="607"/>
      <c r="B6" s="607" t="s">
        <v>443</v>
      </c>
      <c r="C6" s="607"/>
      <c r="D6" s="607"/>
      <c r="E6" s="607"/>
      <c r="F6" s="607"/>
      <c r="G6" s="607"/>
      <c r="H6" s="607"/>
      <c r="I6" s="607"/>
      <c r="J6" s="607"/>
      <c r="K6" s="607"/>
      <c r="L6" s="607"/>
      <c r="M6" s="607"/>
      <c r="N6" s="607"/>
      <c r="O6" s="607"/>
      <c r="P6" s="1573"/>
    </row>
    <row r="7" spans="1:16" ht="15">
      <c r="A7" s="607"/>
      <c r="B7" s="607" t="s">
        <v>444</v>
      </c>
      <c r="C7" s="607"/>
      <c r="D7" s="607"/>
      <c r="E7" s="607"/>
      <c r="F7" s="607"/>
      <c r="G7" s="607"/>
      <c r="H7" s="607"/>
      <c r="I7" s="607"/>
      <c r="J7" s="607"/>
      <c r="K7" s="607"/>
      <c r="L7" s="607"/>
      <c r="M7" s="607"/>
      <c r="N7" s="607"/>
      <c r="O7" s="607"/>
      <c r="P7" s="1573"/>
    </row>
    <row r="8" spans="1:16" ht="21" customHeight="1">
      <c r="A8" s="607"/>
      <c r="B8" s="607" t="s">
        <v>445</v>
      </c>
      <c r="C8" s="607"/>
      <c r="D8" s="607"/>
      <c r="E8" s="607"/>
      <c r="F8" s="607"/>
      <c r="G8" s="607"/>
      <c r="H8" s="607"/>
      <c r="I8" s="607"/>
      <c r="J8" s="607"/>
      <c r="K8" s="607"/>
      <c r="L8" s="607"/>
      <c r="M8" s="607"/>
      <c r="N8" s="607"/>
      <c r="O8" s="607"/>
      <c r="P8" s="1573"/>
    </row>
    <row r="9" spans="1:16" ht="15.75">
      <c r="A9" s="607"/>
      <c r="B9" s="607" t="s">
        <v>1296</v>
      </c>
      <c r="C9" s="607"/>
      <c r="D9" s="607"/>
      <c r="E9" s="607"/>
      <c r="F9" s="607"/>
      <c r="G9" s="607"/>
      <c r="H9" s="607"/>
      <c r="I9" s="607"/>
      <c r="J9" s="607"/>
      <c r="K9" s="607"/>
      <c r="L9" s="607"/>
      <c r="M9" s="607"/>
      <c r="N9" s="607"/>
      <c r="O9" s="607"/>
      <c r="P9" s="1573"/>
    </row>
    <row r="10" spans="1:16" ht="15.75">
      <c r="A10" s="607"/>
      <c r="B10" s="607" t="s">
        <v>1297</v>
      </c>
      <c r="C10" s="607"/>
      <c r="D10" s="607"/>
      <c r="E10" s="607"/>
      <c r="F10" s="607"/>
      <c r="G10" s="607"/>
      <c r="H10" s="607"/>
      <c r="I10" s="607"/>
      <c r="J10" s="607"/>
      <c r="K10" s="607"/>
      <c r="L10" s="607"/>
      <c r="M10" s="607"/>
      <c r="N10" s="607"/>
      <c r="O10" s="607"/>
      <c r="P10" s="1573"/>
    </row>
    <row r="11" spans="1:16" ht="15.75">
      <c r="A11" s="607"/>
      <c r="B11" s="607" t="s">
        <v>1296</v>
      </c>
      <c r="C11" s="607"/>
      <c r="D11" s="607"/>
      <c r="E11" s="607"/>
      <c r="F11" s="607"/>
      <c r="G11" s="607"/>
      <c r="H11" s="607"/>
      <c r="I11" s="607"/>
      <c r="J11" s="607"/>
      <c r="K11" s="607"/>
      <c r="L11" s="607"/>
      <c r="M11" s="607"/>
      <c r="N11" s="607"/>
      <c r="O11" s="607"/>
      <c r="P11" s="1573"/>
    </row>
    <row r="12" spans="1:16" ht="15.75">
      <c r="A12" s="607"/>
      <c r="B12" s="607" t="s">
        <v>1298</v>
      </c>
      <c r="C12" s="607"/>
      <c r="D12" s="607"/>
      <c r="E12" s="607"/>
      <c r="F12" s="607"/>
      <c r="G12" s="607"/>
      <c r="H12" s="607"/>
      <c r="I12" s="607"/>
      <c r="J12" s="607"/>
      <c r="K12" s="607"/>
      <c r="L12" s="607"/>
      <c r="M12" s="607"/>
      <c r="N12" s="607"/>
      <c r="O12" s="607"/>
      <c r="P12" s="1573"/>
    </row>
    <row r="13" spans="1:16" ht="15">
      <c r="A13" s="607"/>
      <c r="B13" s="607"/>
      <c r="C13" s="607"/>
      <c r="D13" s="607"/>
      <c r="E13" s="607"/>
      <c r="F13" s="607"/>
      <c r="G13" s="607"/>
      <c r="H13" s="607"/>
      <c r="I13" s="607"/>
      <c r="J13" s="607"/>
      <c r="K13" s="607"/>
      <c r="L13" s="607"/>
      <c r="M13" s="607"/>
      <c r="N13" s="607"/>
      <c r="O13" s="607"/>
      <c r="P13" s="1573"/>
    </row>
    <row r="14" spans="1:16" ht="20.25">
      <c r="A14" s="623"/>
      <c r="B14" s="701" t="s">
        <v>2071</v>
      </c>
      <c r="C14" s="701"/>
      <c r="D14" s="614"/>
      <c r="E14" s="614"/>
      <c r="F14" s="614"/>
      <c r="G14" s="614"/>
      <c r="H14" s="614"/>
      <c r="I14" s="614"/>
      <c r="J14" s="614"/>
      <c r="K14" s="614"/>
      <c r="L14" s="614"/>
      <c r="M14" s="614"/>
      <c r="N14" s="614"/>
      <c r="O14" s="615"/>
      <c r="P14" s="1573"/>
    </row>
    <row r="15" spans="1:16" ht="15">
      <c r="A15" s="616"/>
      <c r="B15" s="617"/>
      <c r="C15" s="617"/>
      <c r="D15" s="617"/>
      <c r="E15" s="617"/>
      <c r="F15" s="617"/>
      <c r="G15" s="617"/>
      <c r="H15" s="617"/>
      <c r="I15" s="617"/>
      <c r="J15" s="617"/>
      <c r="K15" s="617"/>
      <c r="L15" s="617"/>
      <c r="M15" s="617"/>
      <c r="N15" s="617"/>
      <c r="O15" s="702"/>
      <c r="P15" s="1573"/>
    </row>
    <row r="16" spans="1:16" ht="15.75">
      <c r="A16" s="616"/>
      <c r="B16" s="617" t="s">
        <v>1299</v>
      </c>
      <c r="C16" s="617"/>
      <c r="D16" s="617"/>
      <c r="E16" s="617"/>
      <c r="F16" s="617"/>
      <c r="G16" s="617"/>
      <c r="H16" s="617"/>
      <c r="I16" s="617"/>
      <c r="J16" s="617"/>
      <c r="K16" s="617"/>
      <c r="L16" s="617"/>
      <c r="M16" s="617"/>
      <c r="N16" s="617"/>
      <c r="O16" s="702"/>
      <c r="P16" s="1573"/>
    </row>
    <row r="17" spans="1:16" ht="15">
      <c r="A17" s="616"/>
      <c r="B17" s="617" t="s">
        <v>74</v>
      </c>
      <c r="C17" s="617"/>
      <c r="D17" s="617"/>
      <c r="E17" s="617"/>
      <c r="F17" s="617"/>
      <c r="G17" s="617"/>
      <c r="H17" s="617"/>
      <c r="I17" s="617"/>
      <c r="J17" s="617"/>
      <c r="K17" s="617"/>
      <c r="L17" s="617"/>
      <c r="M17" s="617"/>
      <c r="N17" s="703" t="s">
        <v>1342</v>
      </c>
      <c r="O17" s="702"/>
      <c r="P17" s="1573"/>
    </row>
    <row r="18" spans="1:20" ht="15">
      <c r="A18" s="616"/>
      <c r="B18" s="1613"/>
      <c r="C18" s="1613"/>
      <c r="D18" s="1613"/>
      <c r="E18" s="1613"/>
      <c r="F18" s="1613"/>
      <c r="G18" s="1613"/>
      <c r="H18" s="704"/>
      <c r="I18" s="704"/>
      <c r="J18" s="704"/>
      <c r="K18" s="704"/>
      <c r="L18" s="704"/>
      <c r="M18" s="617"/>
      <c r="N18" s="705"/>
      <c r="O18" s="702"/>
      <c r="P18" s="1573"/>
      <c r="Q18" s="1212">
        <f aca="true" t="shared" si="0" ref="Q18:Q24">IF(YEAR(N18)&gt;=year6,1,0)</f>
        <v>0</v>
      </c>
      <c r="R18" s="1212">
        <f aca="true" t="shared" si="1" ref="R18:R24">IF(AND(YEAR(N18)&lt;year6,YEAR(N18)&gt;=year16),1,0)</f>
        <v>0</v>
      </c>
      <c r="S18" s="1212">
        <f aca="true" t="shared" si="2" ref="S18:S24">IF(YEAR(N18)&lt;year18,0,1)</f>
        <v>0</v>
      </c>
      <c r="T18" s="1212">
        <f aca="true" t="shared" si="3" ref="T18:T24">IF(YEAR(N18)&lt;year17,0,1)</f>
        <v>0</v>
      </c>
    </row>
    <row r="19" spans="1:20" ht="15">
      <c r="A19" s="616"/>
      <c r="B19" s="1676"/>
      <c r="C19" s="1676"/>
      <c r="D19" s="1676"/>
      <c r="E19" s="1676"/>
      <c r="F19" s="1676"/>
      <c r="G19" s="1676"/>
      <c r="H19" s="704"/>
      <c r="I19" s="704"/>
      <c r="J19" s="704"/>
      <c r="K19" s="704"/>
      <c r="L19" s="704"/>
      <c r="M19" s="617"/>
      <c r="N19" s="705"/>
      <c r="O19" s="702"/>
      <c r="P19" s="1573"/>
      <c r="Q19" s="1212">
        <f t="shared" si="0"/>
        <v>0</v>
      </c>
      <c r="R19" s="1212">
        <f t="shared" si="1"/>
        <v>0</v>
      </c>
      <c r="S19" s="1212">
        <f t="shared" si="2"/>
        <v>0</v>
      </c>
      <c r="T19" s="1212">
        <f t="shared" si="3"/>
        <v>0</v>
      </c>
    </row>
    <row r="20" spans="1:20" ht="15">
      <c r="A20" s="616"/>
      <c r="B20" s="1677"/>
      <c r="C20" s="1677"/>
      <c r="D20" s="1677"/>
      <c r="E20" s="1677"/>
      <c r="F20" s="1677"/>
      <c r="G20" s="1677"/>
      <c r="H20" s="704"/>
      <c r="I20" s="704"/>
      <c r="J20" s="704"/>
      <c r="K20" s="704"/>
      <c r="L20" s="704"/>
      <c r="M20" s="617"/>
      <c r="N20" s="705"/>
      <c r="O20" s="702"/>
      <c r="P20" s="1573"/>
      <c r="Q20" s="1212">
        <f t="shared" si="0"/>
        <v>0</v>
      </c>
      <c r="R20" s="1212">
        <f t="shared" si="1"/>
        <v>0</v>
      </c>
      <c r="S20" s="1212">
        <f t="shared" si="2"/>
        <v>0</v>
      </c>
      <c r="T20" s="1212">
        <f t="shared" si="3"/>
        <v>0</v>
      </c>
    </row>
    <row r="21" spans="1:20" ht="15">
      <c r="A21" s="616"/>
      <c r="B21" s="1676"/>
      <c r="C21" s="1676"/>
      <c r="D21" s="1676"/>
      <c r="E21" s="1676"/>
      <c r="F21" s="1676"/>
      <c r="G21" s="1676"/>
      <c r="H21" s="704"/>
      <c r="I21" s="704"/>
      <c r="J21" s="704"/>
      <c r="K21" s="704"/>
      <c r="L21" s="704"/>
      <c r="M21" s="617"/>
      <c r="N21" s="705"/>
      <c r="O21" s="702"/>
      <c r="P21" s="1573"/>
      <c r="Q21" s="1212">
        <f t="shared" si="0"/>
        <v>0</v>
      </c>
      <c r="R21" s="1212">
        <f t="shared" si="1"/>
        <v>0</v>
      </c>
      <c r="S21" s="1212">
        <f t="shared" si="2"/>
        <v>0</v>
      </c>
      <c r="T21" s="1212">
        <f t="shared" si="3"/>
        <v>0</v>
      </c>
    </row>
    <row r="22" spans="1:20" ht="15">
      <c r="A22" s="616"/>
      <c r="B22" s="962"/>
      <c r="C22" s="962"/>
      <c r="D22" s="962"/>
      <c r="E22" s="962"/>
      <c r="F22" s="962"/>
      <c r="G22" s="962"/>
      <c r="H22" s="704"/>
      <c r="I22" s="704"/>
      <c r="J22" s="704"/>
      <c r="K22" s="704"/>
      <c r="L22" s="704"/>
      <c r="M22" s="617"/>
      <c r="N22" s="705"/>
      <c r="O22" s="702"/>
      <c r="P22" s="1573"/>
      <c r="Q22" s="1212">
        <f t="shared" si="0"/>
        <v>0</v>
      </c>
      <c r="R22" s="1212">
        <f t="shared" si="1"/>
        <v>0</v>
      </c>
      <c r="S22" s="1212">
        <f t="shared" si="2"/>
        <v>0</v>
      </c>
      <c r="T22" s="1212">
        <f t="shared" si="3"/>
        <v>0</v>
      </c>
    </row>
    <row r="23" spans="1:20" ht="15">
      <c r="A23" s="616"/>
      <c r="B23" s="962"/>
      <c r="C23" s="962"/>
      <c r="D23" s="962"/>
      <c r="E23" s="962"/>
      <c r="F23" s="962"/>
      <c r="G23" s="962"/>
      <c r="H23" s="704"/>
      <c r="I23" s="704"/>
      <c r="J23" s="704"/>
      <c r="K23" s="704"/>
      <c r="L23" s="704"/>
      <c r="M23" s="617"/>
      <c r="N23" s="705"/>
      <c r="O23" s="702"/>
      <c r="P23" s="1573"/>
      <c r="Q23" s="1212">
        <f t="shared" si="0"/>
        <v>0</v>
      </c>
      <c r="R23" s="1212">
        <f t="shared" si="1"/>
        <v>0</v>
      </c>
      <c r="S23" s="1212">
        <f t="shared" si="2"/>
        <v>0</v>
      </c>
      <c r="T23" s="1212">
        <f t="shared" si="3"/>
        <v>0</v>
      </c>
    </row>
    <row r="24" spans="1:20" ht="15">
      <c r="A24" s="616"/>
      <c r="B24" s="1676"/>
      <c r="C24" s="1676"/>
      <c r="D24" s="1676"/>
      <c r="E24" s="1676"/>
      <c r="F24" s="1676"/>
      <c r="G24" s="1676"/>
      <c r="H24" s="704"/>
      <c r="I24" s="704"/>
      <c r="J24" s="704"/>
      <c r="K24" s="704"/>
      <c r="L24" s="704"/>
      <c r="M24" s="617"/>
      <c r="N24" s="706"/>
      <c r="O24" s="702"/>
      <c r="P24" s="1573"/>
      <c r="Q24" s="1212">
        <f t="shared" si="0"/>
        <v>0</v>
      </c>
      <c r="R24" s="1212">
        <f t="shared" si="1"/>
        <v>0</v>
      </c>
      <c r="S24" s="1212">
        <f t="shared" si="2"/>
        <v>0</v>
      </c>
      <c r="T24" s="1212">
        <f t="shared" si="3"/>
        <v>0</v>
      </c>
    </row>
    <row r="25" spans="1:20" ht="15">
      <c r="A25" s="616"/>
      <c r="B25" s="617" t="s">
        <v>2053</v>
      </c>
      <c r="C25" s="617"/>
      <c r="D25" s="617"/>
      <c r="E25" s="963">
        <f>COUNTA(B18:G24)</f>
        <v>0</v>
      </c>
      <c r="F25" s="617"/>
      <c r="G25" s="617"/>
      <c r="H25" s="617"/>
      <c r="I25" s="617"/>
      <c r="J25" s="617"/>
      <c r="K25" s="617"/>
      <c r="L25" s="617"/>
      <c r="M25" s="617"/>
      <c r="N25" s="617"/>
      <c r="O25" s="702"/>
      <c r="P25" s="1573"/>
      <c r="Q25" s="1212">
        <f>SUM(Q18:Q24)</f>
        <v>0</v>
      </c>
      <c r="R25" s="1212">
        <f>SUM(R18:R24)</f>
        <v>0</v>
      </c>
      <c r="S25" s="1212">
        <f>SUM(S18:S24)</f>
        <v>0</v>
      </c>
      <c r="T25" s="1212">
        <f>SUM(T18:T24)</f>
        <v>0</v>
      </c>
    </row>
    <row r="26" spans="1:16" ht="23.25" customHeight="1">
      <c r="A26" s="616"/>
      <c r="B26" s="707" t="s">
        <v>461</v>
      </c>
      <c r="C26" s="617"/>
      <c r="D26" s="617"/>
      <c r="E26" s="708" t="s">
        <v>464</v>
      </c>
      <c r="F26" s="617"/>
      <c r="G26" s="617" t="s">
        <v>446</v>
      </c>
      <c r="H26" s="617"/>
      <c r="I26" s="617"/>
      <c r="J26" s="617"/>
      <c r="K26" s="617"/>
      <c r="L26" s="617"/>
      <c r="M26" s="948"/>
      <c r="N26" s="1312" t="s">
        <v>1783</v>
      </c>
      <c r="O26" s="702"/>
      <c r="P26" s="1573"/>
    </row>
    <row r="27" spans="1:16" ht="15.75">
      <c r="A27" s="616"/>
      <c r="B27" s="707" t="s">
        <v>462</v>
      </c>
      <c r="C27" s="617"/>
      <c r="D27" s="617"/>
      <c r="E27" s="708" t="s">
        <v>465</v>
      </c>
      <c r="F27" s="617"/>
      <c r="G27" s="709" t="s">
        <v>806</v>
      </c>
      <c r="H27" s="617"/>
      <c r="I27" s="617"/>
      <c r="J27" s="617"/>
      <c r="K27" s="617"/>
      <c r="L27" s="617"/>
      <c r="M27" s="949"/>
      <c r="N27" s="1313" t="s">
        <v>76</v>
      </c>
      <c r="O27" s="702"/>
      <c r="P27" s="1573"/>
    </row>
    <row r="28" spans="1:16" ht="15">
      <c r="A28" s="616"/>
      <c r="B28" s="707" t="s">
        <v>463</v>
      </c>
      <c r="C28" s="617"/>
      <c r="D28" s="617"/>
      <c r="E28" s="707" t="s">
        <v>2391</v>
      </c>
      <c r="F28" s="617"/>
      <c r="G28" s="902"/>
      <c r="H28" s="617"/>
      <c r="I28" s="617"/>
      <c r="J28" s="617"/>
      <c r="K28" s="617"/>
      <c r="L28" s="617"/>
      <c r="M28" s="949"/>
      <c r="N28" s="1313" t="s">
        <v>75</v>
      </c>
      <c r="O28" s="702"/>
      <c r="P28" s="1573"/>
    </row>
    <row r="29" spans="1:16" ht="15">
      <c r="A29" s="616"/>
      <c r="B29" s="617"/>
      <c r="C29" s="617"/>
      <c r="D29" s="617"/>
      <c r="E29" s="617"/>
      <c r="F29" s="617"/>
      <c r="G29" s="617"/>
      <c r="H29" s="617"/>
      <c r="I29" s="617"/>
      <c r="J29" s="617"/>
      <c r="K29" s="617"/>
      <c r="L29" s="617"/>
      <c r="M29" s="617"/>
      <c r="N29" s="617"/>
      <c r="O29" s="702"/>
      <c r="P29" s="1573"/>
    </row>
    <row r="30" spans="1:16" ht="15">
      <c r="A30" s="616"/>
      <c r="B30" s="1613"/>
      <c r="C30" s="1613"/>
      <c r="D30" s="617"/>
      <c r="E30" s="104"/>
      <c r="F30" s="617"/>
      <c r="G30" s="1613"/>
      <c r="H30" s="1613"/>
      <c r="I30" s="1613"/>
      <c r="J30" s="1613"/>
      <c r="K30" s="1613"/>
      <c r="L30" s="1613"/>
      <c r="M30" s="617"/>
      <c r="N30" s="302"/>
      <c r="O30" s="702"/>
      <c r="P30" s="1573"/>
    </row>
    <row r="31" spans="1:16" ht="15">
      <c r="A31" s="616"/>
      <c r="B31" s="1676"/>
      <c r="C31" s="1676"/>
      <c r="D31" s="617"/>
      <c r="E31" s="104"/>
      <c r="F31" s="617"/>
      <c r="G31" s="1676"/>
      <c r="H31" s="1676"/>
      <c r="I31" s="1676"/>
      <c r="J31" s="1676"/>
      <c r="K31" s="1676"/>
      <c r="L31" s="1676"/>
      <c r="M31" s="617"/>
      <c r="N31" s="302"/>
      <c r="O31" s="702"/>
      <c r="P31" s="1573"/>
    </row>
    <row r="32" spans="1:16" ht="15">
      <c r="A32" s="616"/>
      <c r="B32" s="1676"/>
      <c r="C32" s="1676"/>
      <c r="D32" s="617"/>
      <c r="E32" s="104"/>
      <c r="F32" s="617"/>
      <c r="G32" s="1676"/>
      <c r="H32" s="1676"/>
      <c r="I32" s="1676"/>
      <c r="J32" s="1676"/>
      <c r="K32" s="1676"/>
      <c r="L32" s="1676"/>
      <c r="M32" s="617"/>
      <c r="N32" s="302"/>
      <c r="O32" s="702"/>
      <c r="P32" s="1573"/>
    </row>
    <row r="33" spans="1:16" ht="15">
      <c r="A33" s="616"/>
      <c r="B33" s="1676"/>
      <c r="C33" s="1676"/>
      <c r="D33" s="617"/>
      <c r="E33" s="104"/>
      <c r="F33" s="617"/>
      <c r="G33" s="1676"/>
      <c r="H33" s="1676"/>
      <c r="I33" s="1676"/>
      <c r="J33" s="1676"/>
      <c r="K33" s="1676"/>
      <c r="L33" s="1676"/>
      <c r="M33" s="617"/>
      <c r="N33" s="302"/>
      <c r="O33" s="702"/>
      <c r="P33" s="1573"/>
    </row>
    <row r="34" spans="1:16" ht="15">
      <c r="A34" s="616"/>
      <c r="B34" s="1676"/>
      <c r="C34" s="1676"/>
      <c r="D34" s="617"/>
      <c r="E34" s="104"/>
      <c r="F34" s="617"/>
      <c r="G34" s="1676"/>
      <c r="H34" s="1676"/>
      <c r="I34" s="1676"/>
      <c r="J34" s="1676"/>
      <c r="K34" s="1676"/>
      <c r="L34" s="1676"/>
      <c r="M34" s="617"/>
      <c r="N34" s="302"/>
      <c r="O34" s="702"/>
      <c r="P34" s="1573"/>
    </row>
    <row r="35" spans="1:16" ht="15.75">
      <c r="A35" s="616"/>
      <c r="B35" s="617"/>
      <c r="C35" s="710" t="s">
        <v>2444</v>
      </c>
      <c r="D35" s="617"/>
      <c r="E35" s="654">
        <f>SUM(E30:E34)</f>
        <v>0</v>
      </c>
      <c r="F35" s="617"/>
      <c r="G35" s="617"/>
      <c r="H35" s="617"/>
      <c r="I35" s="617"/>
      <c r="J35" s="617"/>
      <c r="K35" s="617"/>
      <c r="L35" s="617"/>
      <c r="M35" s="617"/>
      <c r="N35" s="617"/>
      <c r="O35" s="702"/>
      <c r="P35" s="1573"/>
    </row>
    <row r="36" spans="1:16" ht="15">
      <c r="A36" s="616"/>
      <c r="B36" s="617"/>
      <c r="C36" s="617"/>
      <c r="D36" s="617"/>
      <c r="E36" s="617"/>
      <c r="F36" s="617"/>
      <c r="G36" s="617"/>
      <c r="H36" s="617"/>
      <c r="I36" s="617"/>
      <c r="J36" s="617"/>
      <c r="K36" s="617"/>
      <c r="L36" s="617"/>
      <c r="M36" s="617"/>
      <c r="N36" s="617"/>
      <c r="O36" s="702"/>
      <c r="P36" s="1573"/>
    </row>
    <row r="37" spans="1:17" ht="15.75">
      <c r="A37" s="616"/>
      <c r="B37" s="709" t="s">
        <v>1293</v>
      </c>
      <c r="C37" s="617" t="s">
        <v>807</v>
      </c>
      <c r="D37" s="617"/>
      <c r="E37" s="617"/>
      <c r="F37" s="617"/>
      <c r="G37" s="617"/>
      <c r="H37" s="617"/>
      <c r="I37" s="617"/>
      <c r="J37" s="617"/>
      <c r="K37" s="617"/>
      <c r="L37" s="617"/>
      <c r="M37" s="617"/>
      <c r="N37" s="617"/>
      <c r="O37" s="702"/>
      <c r="P37" s="1573"/>
      <c r="Q37" s="1001">
        <f>year-6</f>
        <v>2001</v>
      </c>
    </row>
    <row r="38" spans="1:17" ht="15.75">
      <c r="A38" s="616"/>
      <c r="B38" s="617"/>
      <c r="C38" s="617" t="s">
        <v>808</v>
      </c>
      <c r="D38" s="617"/>
      <c r="E38" s="617"/>
      <c r="F38" s="617"/>
      <c r="G38" s="617"/>
      <c r="H38" s="617"/>
      <c r="I38" s="617"/>
      <c r="J38" s="617"/>
      <c r="K38" s="617"/>
      <c r="L38" s="617"/>
      <c r="M38" s="617"/>
      <c r="N38" s="617"/>
      <c r="O38" s="702"/>
      <c r="P38" s="1573"/>
      <c r="Q38" s="1002" t="str">
        <f>TEXT(year6,"0000")</f>
        <v>2001</v>
      </c>
    </row>
    <row r="39" spans="1:17" ht="15.75">
      <c r="A39" s="616"/>
      <c r="B39" s="617"/>
      <c r="C39" s="617" t="s">
        <v>809</v>
      </c>
      <c r="D39" s="617"/>
      <c r="E39" s="617"/>
      <c r="F39" s="617"/>
      <c r="G39" s="617"/>
      <c r="H39" s="617"/>
      <c r="I39" s="617"/>
      <c r="J39" s="617"/>
      <c r="K39" s="617"/>
      <c r="L39" s="617"/>
      <c r="M39" s="617"/>
      <c r="N39" s="617"/>
      <c r="O39" s="702"/>
      <c r="P39" s="1573"/>
      <c r="Q39" s="1001">
        <f>year6-1</f>
        <v>2000</v>
      </c>
    </row>
    <row r="40" spans="1:17" ht="15">
      <c r="A40" s="616"/>
      <c r="B40" s="617"/>
      <c r="C40" s="617"/>
      <c r="D40" s="617"/>
      <c r="E40" s="617"/>
      <c r="F40" s="617"/>
      <c r="G40" s="617"/>
      <c r="H40" s="617"/>
      <c r="I40" s="617"/>
      <c r="J40" s="617"/>
      <c r="K40" s="617"/>
      <c r="L40" s="617"/>
      <c r="M40" s="617"/>
      <c r="N40" s="617"/>
      <c r="O40" s="702"/>
      <c r="P40" s="1573"/>
      <c r="Q40" s="1002" t="str">
        <f>TEXT(year7,"0000")</f>
        <v>2000</v>
      </c>
    </row>
    <row r="41" spans="1:17" ht="15.75">
      <c r="A41" s="620"/>
      <c r="B41" s="711" t="str">
        <f>"Enter any child care expenses included above that were incurred in "&amp;yeartext&amp;" for a child who was 18 or older"</f>
        <v>Enter any child care expenses included above that were incurred in 2007 for a child who was 18 or older</v>
      </c>
      <c r="C41" s="618"/>
      <c r="D41" s="618"/>
      <c r="E41" s="618"/>
      <c r="F41" s="618"/>
      <c r="G41" s="618"/>
      <c r="H41" s="618"/>
      <c r="I41" s="618"/>
      <c r="J41" s="618"/>
      <c r="K41" s="618"/>
      <c r="L41" s="618"/>
      <c r="M41" s="301" t="s">
        <v>1367</v>
      </c>
      <c r="N41" s="104"/>
      <c r="O41" s="712"/>
      <c r="P41" s="1573"/>
      <c r="Q41" s="1003"/>
    </row>
    <row r="42" spans="1:17" ht="7.5" customHeight="1">
      <c r="A42" s="607"/>
      <c r="B42" s="607"/>
      <c r="C42" s="607"/>
      <c r="D42" s="607"/>
      <c r="E42" s="607"/>
      <c r="F42" s="607"/>
      <c r="G42" s="607"/>
      <c r="H42" s="607"/>
      <c r="I42" s="607"/>
      <c r="J42" s="607"/>
      <c r="K42" s="607"/>
      <c r="L42" s="607"/>
      <c r="M42" s="617"/>
      <c r="N42" s="607"/>
      <c r="O42" s="607"/>
      <c r="P42" s="1573"/>
      <c r="Q42" s="1001">
        <f>year18+2</f>
        <v>1991</v>
      </c>
    </row>
    <row r="43" spans="1:17" ht="7.5" customHeight="1">
      <c r="A43" s="607"/>
      <c r="B43" s="607"/>
      <c r="C43" s="607"/>
      <c r="D43" s="607"/>
      <c r="E43" s="607"/>
      <c r="F43" s="607"/>
      <c r="G43" s="607"/>
      <c r="H43" s="607"/>
      <c r="I43" s="607"/>
      <c r="J43" s="607"/>
      <c r="K43" s="607"/>
      <c r="L43" s="607"/>
      <c r="M43" s="617"/>
      <c r="N43" s="607"/>
      <c r="O43" s="607"/>
      <c r="P43" s="1573"/>
      <c r="Q43" s="1002" t="str">
        <f>TEXT(year16,"0000")</f>
        <v>1991</v>
      </c>
    </row>
    <row r="44" spans="1:17" ht="20.25">
      <c r="A44" s="623"/>
      <c r="B44" s="701" t="s">
        <v>810</v>
      </c>
      <c r="C44" s="701"/>
      <c r="D44" s="614"/>
      <c r="E44" s="614"/>
      <c r="F44" s="614"/>
      <c r="G44" s="614"/>
      <c r="H44" s="614"/>
      <c r="I44" s="614"/>
      <c r="J44" s="614"/>
      <c r="K44" s="614"/>
      <c r="L44" s="614"/>
      <c r="M44" s="614"/>
      <c r="N44" s="614"/>
      <c r="O44" s="615"/>
      <c r="P44" s="1573"/>
      <c r="Q44" s="1001">
        <f>year18+1</f>
        <v>1990</v>
      </c>
    </row>
    <row r="45" spans="1:17" ht="15">
      <c r="A45" s="616"/>
      <c r="B45" s="617"/>
      <c r="C45" s="617"/>
      <c r="D45" s="617"/>
      <c r="E45" s="617"/>
      <c r="F45" s="617"/>
      <c r="G45" s="617"/>
      <c r="H45" s="617"/>
      <c r="I45" s="617"/>
      <c r="J45" s="617"/>
      <c r="K45" s="617"/>
      <c r="L45" s="617"/>
      <c r="M45" s="617"/>
      <c r="N45" s="617"/>
      <c r="O45" s="702"/>
      <c r="P45" s="1573"/>
      <c r="Q45" s="1002" t="str">
        <f>TEXT(year17,"0000")</f>
        <v>1990</v>
      </c>
    </row>
    <row r="46" spans="1:16" ht="15">
      <c r="A46" s="616"/>
      <c r="B46" s="617" t="s">
        <v>1270</v>
      </c>
      <c r="C46" s="617"/>
      <c r="D46" s="617"/>
      <c r="E46" s="617"/>
      <c r="F46" s="617"/>
      <c r="G46" s="617"/>
      <c r="H46" s="617"/>
      <c r="I46" s="617"/>
      <c r="J46" s="617"/>
      <c r="K46" s="617"/>
      <c r="L46" s="617"/>
      <c r="M46" s="617"/>
      <c r="N46" s="617"/>
      <c r="O46" s="702"/>
      <c r="P46" s="1573"/>
    </row>
    <row r="47" spans="1:16" ht="15">
      <c r="A47" s="616"/>
      <c r="B47" s="617"/>
      <c r="C47" s="617"/>
      <c r="D47" s="617"/>
      <c r="E47" s="617"/>
      <c r="F47" s="617"/>
      <c r="G47" s="617"/>
      <c r="H47" s="617"/>
      <c r="I47" s="617"/>
      <c r="J47" s="617"/>
      <c r="K47" s="617"/>
      <c r="L47" s="617"/>
      <c r="M47" s="617"/>
      <c r="N47" s="617"/>
      <c r="O47" s="702"/>
      <c r="P47" s="1573"/>
    </row>
    <row r="48" spans="1:16" ht="15.75">
      <c r="A48" s="616"/>
      <c r="B48" s="617" t="s">
        <v>200</v>
      </c>
      <c r="C48" s="617"/>
      <c r="D48" s="710" t="str">
        <f>year6text&amp;" or later"</f>
        <v>2001 or later</v>
      </c>
      <c r="E48" s="617" t="s">
        <v>199</v>
      </c>
      <c r="F48" s="617"/>
      <c r="G48" s="617"/>
      <c r="H48" s="617"/>
      <c r="I48" s="713"/>
      <c r="J48" s="713"/>
      <c r="K48" s="302">
        <f>Q25</f>
        <v>0</v>
      </c>
      <c r="L48" s="714" t="s">
        <v>901</v>
      </c>
      <c r="M48" s="617"/>
      <c r="N48" s="369">
        <f>K48*7000</f>
        <v>0</v>
      </c>
      <c r="O48" s="715" t="s">
        <v>661</v>
      </c>
      <c r="P48" s="1573"/>
    </row>
    <row r="49" spans="1:16" ht="15.75">
      <c r="A49" s="616"/>
      <c r="B49" s="617" t="s">
        <v>1826</v>
      </c>
      <c r="C49" s="617"/>
      <c r="D49" s="710" t="str">
        <f>yeartext&amp;" &amp; earlier"</f>
        <v>2007 &amp; earlier</v>
      </c>
      <c r="E49" s="617" t="s">
        <v>769</v>
      </c>
      <c r="F49" s="617"/>
      <c r="G49" s="617"/>
      <c r="H49" s="617"/>
      <c r="I49" s="716"/>
      <c r="J49" s="716"/>
      <c r="K49" s="302"/>
      <c r="L49" s="714" t="s">
        <v>902</v>
      </c>
      <c r="M49" s="301" t="s">
        <v>912</v>
      </c>
      <c r="N49" s="369">
        <f>K49*10000</f>
        <v>0</v>
      </c>
      <c r="O49" s="715" t="s">
        <v>698</v>
      </c>
      <c r="P49" s="1573"/>
    </row>
    <row r="50" spans="1:16" ht="15.75">
      <c r="A50" s="616"/>
      <c r="B50" s="617" t="s">
        <v>1827</v>
      </c>
      <c r="C50" s="617"/>
      <c r="D50" s="710" t="str">
        <f>year16&amp;" to "&amp;year7</f>
        <v>1991 to 2000</v>
      </c>
      <c r="E50" s="617" t="str">
        <f>"(or born in "&amp;year17&amp;" and earlier with a mental or physical"</f>
        <v>(or born in 1990 and earlier with a mental or physical</v>
      </c>
      <c r="F50" s="617"/>
      <c r="G50" s="617"/>
      <c r="H50" s="617"/>
      <c r="I50" s="717"/>
      <c r="J50" s="717"/>
      <c r="K50" s="617"/>
      <c r="L50" s="617"/>
      <c r="M50" s="617"/>
      <c r="N50" s="617"/>
      <c r="O50" s="718"/>
      <c r="P50" s="1573"/>
    </row>
    <row r="51" spans="1:16" ht="16.5" thickBot="1">
      <c r="A51" s="616"/>
      <c r="B51" s="617" t="s">
        <v>959</v>
      </c>
      <c r="C51" s="617"/>
      <c r="D51" s="617"/>
      <c r="E51" s="617"/>
      <c r="F51" s="617"/>
      <c r="G51" s="617"/>
      <c r="H51" s="713"/>
      <c r="I51" s="713"/>
      <c r="J51" s="713"/>
      <c r="K51" s="302">
        <f>R25</f>
        <v>0</v>
      </c>
      <c r="L51" s="714" t="s">
        <v>903</v>
      </c>
      <c r="M51" s="617"/>
      <c r="N51" s="736">
        <f>K51*4000</f>
        <v>0</v>
      </c>
      <c r="O51" s="715" t="s">
        <v>699</v>
      </c>
      <c r="P51" s="1573"/>
    </row>
    <row r="52" spans="1:16" ht="15">
      <c r="A52" s="616"/>
      <c r="B52" s="617" t="s">
        <v>960</v>
      </c>
      <c r="C52" s="617"/>
      <c r="D52" s="713"/>
      <c r="E52" s="713"/>
      <c r="F52" s="713"/>
      <c r="G52" s="713"/>
      <c r="H52" s="713"/>
      <c r="I52" s="713"/>
      <c r="J52" s="713"/>
      <c r="K52" s="713"/>
      <c r="L52" s="713"/>
      <c r="M52" s="617"/>
      <c r="N52" s="369">
        <f>SUM(N48:N51)</f>
        <v>0</v>
      </c>
      <c r="O52" s="715" t="s">
        <v>700</v>
      </c>
      <c r="P52" s="1573"/>
    </row>
    <row r="53" spans="1:16" ht="15">
      <c r="A53" s="616"/>
      <c r="B53" s="617"/>
      <c r="C53" s="617"/>
      <c r="D53" s="617"/>
      <c r="E53" s="617"/>
      <c r="F53" s="617"/>
      <c r="G53" s="617"/>
      <c r="H53" s="617"/>
      <c r="I53" s="617"/>
      <c r="J53" s="617"/>
      <c r="K53" s="617"/>
      <c r="L53" s="617"/>
      <c r="M53" s="617"/>
      <c r="N53" s="617"/>
      <c r="O53" s="702"/>
      <c r="P53" s="1573"/>
    </row>
    <row r="54" spans="1:16" ht="15.75">
      <c r="A54" s="616"/>
      <c r="B54" s="617" t="s">
        <v>904</v>
      </c>
      <c r="C54" s="617"/>
      <c r="D54" s="617"/>
      <c r="E54" s="617"/>
      <c r="F54" s="617"/>
      <c r="G54" s="713"/>
      <c r="H54" s="713"/>
      <c r="I54" s="713"/>
      <c r="J54" s="713"/>
      <c r="K54" s="713"/>
      <c r="L54" s="713"/>
      <c r="M54" s="617"/>
      <c r="N54" s="369">
        <f>E35</f>
        <v>0</v>
      </c>
      <c r="O54" s="715" t="s">
        <v>701</v>
      </c>
      <c r="P54" s="1573"/>
    </row>
    <row r="55" spans="1:16" ht="15">
      <c r="A55" s="616"/>
      <c r="B55" s="617"/>
      <c r="C55" s="617"/>
      <c r="D55" s="617"/>
      <c r="E55" s="617"/>
      <c r="F55" s="617"/>
      <c r="G55" s="617"/>
      <c r="H55" s="617"/>
      <c r="I55" s="617"/>
      <c r="J55" s="617"/>
      <c r="K55" s="617"/>
      <c r="L55" s="617"/>
      <c r="M55" s="617"/>
      <c r="N55" s="617"/>
      <c r="O55" s="702"/>
      <c r="P55" s="1573"/>
    </row>
    <row r="56" spans="1:16" ht="15.75">
      <c r="A56" s="616"/>
      <c r="B56" s="617" t="s">
        <v>905</v>
      </c>
      <c r="C56" s="617"/>
      <c r="D56" s="617"/>
      <c r="E56" s="713"/>
      <c r="F56" s="713"/>
      <c r="G56" s="713"/>
      <c r="H56" s="713"/>
      <c r="I56" s="713"/>
      <c r="J56" s="713"/>
      <c r="K56" s="104">
        <f>MAX(0,'T1 GEN-2-3-4'!I13)+MAX(0,'T1 GEN-2-3-4'!I26)+MAX(0,'T1 GEN-2-3-4'!I33)+MAX(0,'T1 GEN-2-3-4'!I34)+MAX(0,'T1 GEN-2-3-4'!I35)+MAX(0,'T1 GEN-2-3-4'!I36)+MAX(0,'T1 GEN-2-3-4'!I37)+MAX(0,'T1 GEN-2-3-4'!G18)+MAX(0,'T1 GEN-2-3-4'!I31)</f>
        <v>0</v>
      </c>
      <c r="L56" s="714" t="s">
        <v>906</v>
      </c>
      <c r="M56" s="617"/>
      <c r="N56" s="369">
        <f>ROUND(K56*(2/3),2)</f>
        <v>0</v>
      </c>
      <c r="O56" s="715" t="s">
        <v>702</v>
      </c>
      <c r="P56" s="1573"/>
    </row>
    <row r="57" spans="1:16" ht="15">
      <c r="A57" s="616"/>
      <c r="B57" s="617"/>
      <c r="C57" s="617"/>
      <c r="D57" s="617"/>
      <c r="E57" s="617"/>
      <c r="F57" s="617"/>
      <c r="G57" s="617"/>
      <c r="H57" s="617"/>
      <c r="I57" s="617"/>
      <c r="J57" s="617"/>
      <c r="K57" s="617"/>
      <c r="L57" s="617"/>
      <c r="M57" s="617"/>
      <c r="N57" s="617"/>
      <c r="O57" s="702"/>
      <c r="P57" s="1573"/>
    </row>
    <row r="58" spans="1:16" ht="15.75">
      <c r="A58" s="616"/>
      <c r="B58" s="617" t="s">
        <v>811</v>
      </c>
      <c r="C58" s="617"/>
      <c r="D58" s="617"/>
      <c r="E58" s="617"/>
      <c r="F58" s="617"/>
      <c r="G58" s="617"/>
      <c r="H58" s="713"/>
      <c r="I58" s="713"/>
      <c r="J58" s="713"/>
      <c r="K58" s="713"/>
      <c r="L58" s="713"/>
      <c r="M58" s="617"/>
      <c r="N58" s="369">
        <f>MINA(N52,N54,N56)</f>
        <v>0</v>
      </c>
      <c r="O58" s="715" t="s">
        <v>64</v>
      </c>
      <c r="P58" s="1573"/>
    </row>
    <row r="59" spans="1:16" ht="6.75" customHeight="1">
      <c r="A59" s="616"/>
      <c r="B59" s="617"/>
      <c r="C59" s="617"/>
      <c r="D59" s="617"/>
      <c r="E59" s="617"/>
      <c r="F59" s="617"/>
      <c r="G59" s="617"/>
      <c r="H59" s="617"/>
      <c r="I59" s="617"/>
      <c r="J59" s="617"/>
      <c r="K59" s="617"/>
      <c r="L59" s="617"/>
      <c r="M59" s="617"/>
      <c r="N59" s="617"/>
      <c r="O59" s="702"/>
      <c r="P59" s="1573"/>
    </row>
    <row r="60" spans="1:16" ht="15.75">
      <c r="A60" s="616"/>
      <c r="B60" s="709" t="s">
        <v>812</v>
      </c>
      <c r="C60" s="617"/>
      <c r="D60" s="617"/>
      <c r="E60" s="617"/>
      <c r="F60" s="617"/>
      <c r="G60" s="617"/>
      <c r="H60" s="617"/>
      <c r="I60" s="617"/>
      <c r="J60" s="617"/>
      <c r="K60" s="617"/>
      <c r="L60" s="617"/>
      <c r="M60" s="617"/>
      <c r="N60" s="617"/>
      <c r="O60" s="702"/>
      <c r="P60" s="1573"/>
    </row>
    <row r="61" spans="1:16" ht="9" customHeight="1">
      <c r="A61" s="616"/>
      <c r="B61" s="617"/>
      <c r="C61" s="617"/>
      <c r="D61" s="617"/>
      <c r="E61" s="617"/>
      <c r="F61" s="617"/>
      <c r="G61" s="617"/>
      <c r="H61" s="617"/>
      <c r="I61" s="617"/>
      <c r="J61" s="617"/>
      <c r="K61" s="617"/>
      <c r="L61" s="617"/>
      <c r="M61" s="617"/>
      <c r="N61" s="617"/>
      <c r="O61" s="702"/>
      <c r="P61" s="1573"/>
    </row>
    <row r="62" spans="1:16" ht="15.75">
      <c r="A62" s="616"/>
      <c r="B62" s="617" t="s">
        <v>1271</v>
      </c>
      <c r="C62" s="617"/>
      <c r="D62" s="617"/>
      <c r="E62" s="617"/>
      <c r="F62" s="617"/>
      <c r="G62" s="617"/>
      <c r="H62" s="617"/>
      <c r="I62" s="617"/>
      <c r="J62" s="617"/>
      <c r="K62" s="617"/>
      <c r="L62" s="617"/>
      <c r="M62" s="617"/>
      <c r="N62" s="617"/>
      <c r="O62" s="702"/>
      <c r="P62" s="1573"/>
    </row>
    <row r="63" spans="1:16" ht="15">
      <c r="A63" s="616"/>
      <c r="B63" s="617" t="str">
        <f>"expenses?"&amp;CHAR(34)&amp;") with the higher net income deducted on line 214 of his or her "&amp;yeartext&amp;" return"</f>
        <v>expenses?") with the higher net income deducted on line 214 of his or her 2007 return</v>
      </c>
      <c r="C63" s="617"/>
      <c r="D63" s="617"/>
      <c r="E63" s="617"/>
      <c r="F63" s="617"/>
      <c r="G63" s="617"/>
      <c r="H63" s="617"/>
      <c r="I63" s="617"/>
      <c r="J63" s="713"/>
      <c r="K63" s="713"/>
      <c r="L63" s="713"/>
      <c r="M63" s="617"/>
      <c r="N63" s="104"/>
      <c r="O63" s="715" t="s">
        <v>703</v>
      </c>
      <c r="P63" s="1573"/>
    </row>
    <row r="64" spans="1:16" ht="17.25" customHeight="1">
      <c r="A64" s="616"/>
      <c r="B64" s="617" t="str">
        <f>"Line 7 minus line 8. If you attended school in "&amp;yeartext&amp;" and you are the only person making a claim, also go to"</f>
        <v>Line 7 minus line 8. If you attended school in 2007 and you are the only person making a claim, also go to</v>
      </c>
      <c r="C64" s="617"/>
      <c r="D64" s="617"/>
      <c r="E64" s="617"/>
      <c r="F64" s="617"/>
      <c r="G64" s="617"/>
      <c r="H64" s="617"/>
      <c r="I64" s="617"/>
      <c r="J64" s="617"/>
      <c r="K64" s="617"/>
      <c r="L64" s="617"/>
      <c r="M64" s="617"/>
      <c r="N64" s="617"/>
      <c r="O64" s="702"/>
      <c r="P64" s="1573"/>
    </row>
    <row r="65" spans="1:16" ht="15.75">
      <c r="A65" s="616"/>
      <c r="B65" s="617" t="s">
        <v>2519</v>
      </c>
      <c r="C65" s="617"/>
      <c r="D65" s="617"/>
      <c r="E65" s="617"/>
      <c r="F65" s="617"/>
      <c r="G65" s="617"/>
      <c r="H65" s="713"/>
      <c r="I65" s="713"/>
      <c r="J65" s="713"/>
      <c r="K65" s="617"/>
      <c r="L65" s="710" t="s">
        <v>415</v>
      </c>
      <c r="M65" s="617"/>
      <c r="N65" s="654">
        <f>IF(B79="",N58-N63,0)</f>
        <v>0</v>
      </c>
      <c r="O65" s="715" t="s">
        <v>2288</v>
      </c>
      <c r="P65" s="1573"/>
    </row>
    <row r="66" spans="1:16" ht="15">
      <c r="A66" s="616"/>
      <c r="B66" s="617"/>
      <c r="C66" s="617"/>
      <c r="D66" s="617"/>
      <c r="E66" s="617"/>
      <c r="F66" s="617"/>
      <c r="G66" s="617"/>
      <c r="H66" s="617"/>
      <c r="I66" s="617"/>
      <c r="J66" s="617"/>
      <c r="K66" s="617"/>
      <c r="L66" s="617"/>
      <c r="M66" s="617"/>
      <c r="N66" s="617"/>
      <c r="O66" s="702"/>
      <c r="P66" s="1573"/>
    </row>
    <row r="67" spans="1:16" ht="15">
      <c r="A67" s="616"/>
      <c r="B67" s="617" t="s">
        <v>2520</v>
      </c>
      <c r="C67" s="617"/>
      <c r="D67" s="617"/>
      <c r="E67" s="617"/>
      <c r="F67" s="617"/>
      <c r="G67" s="617"/>
      <c r="H67" s="617"/>
      <c r="I67" s="617"/>
      <c r="J67" s="617"/>
      <c r="K67" s="617"/>
      <c r="L67" s="617"/>
      <c r="M67" s="617"/>
      <c r="N67" s="617"/>
      <c r="O67" s="702"/>
      <c r="P67" s="1573"/>
    </row>
    <row r="68" spans="1:16" ht="15">
      <c r="A68" s="616"/>
      <c r="B68" s="617" t="s">
        <v>426</v>
      </c>
      <c r="C68" s="617"/>
      <c r="D68" s="617"/>
      <c r="E68" s="617"/>
      <c r="F68" s="617"/>
      <c r="G68" s="617"/>
      <c r="H68" s="617"/>
      <c r="I68" s="617"/>
      <c r="J68" s="617"/>
      <c r="K68" s="617"/>
      <c r="L68" s="617"/>
      <c r="M68" s="617"/>
      <c r="N68" s="617"/>
      <c r="O68" s="702"/>
      <c r="P68" s="1573"/>
    </row>
    <row r="69" spans="1:16" ht="15">
      <c r="A69" s="620"/>
      <c r="B69" s="618"/>
      <c r="C69" s="618"/>
      <c r="D69" s="618"/>
      <c r="E69" s="618"/>
      <c r="F69" s="618"/>
      <c r="G69" s="618"/>
      <c r="H69" s="618"/>
      <c r="I69" s="618"/>
      <c r="J69" s="618"/>
      <c r="K69" s="618"/>
      <c r="L69" s="618"/>
      <c r="M69" s="618"/>
      <c r="N69" s="618"/>
      <c r="O69" s="712"/>
      <c r="P69" s="1573"/>
    </row>
    <row r="70" spans="1:16" ht="23.25">
      <c r="A70" s="607"/>
      <c r="B70" s="607"/>
      <c r="C70" s="607"/>
      <c r="D70" s="607"/>
      <c r="E70" s="607"/>
      <c r="F70" s="607"/>
      <c r="G70" s="607"/>
      <c r="H70" s="607"/>
      <c r="I70" s="607"/>
      <c r="J70" s="607"/>
      <c r="K70" s="607"/>
      <c r="L70" s="607"/>
      <c r="M70" s="617"/>
      <c r="N70" s="607"/>
      <c r="O70" s="719" t="s">
        <v>907</v>
      </c>
      <c r="P70" s="1573"/>
    </row>
    <row r="71" spans="1:16" ht="15">
      <c r="A71" s="607"/>
      <c r="B71" s="607"/>
      <c r="C71" s="607"/>
      <c r="D71" s="607"/>
      <c r="E71" s="607"/>
      <c r="F71" s="607"/>
      <c r="G71" s="607"/>
      <c r="H71" s="607"/>
      <c r="I71" s="607"/>
      <c r="J71" s="607"/>
      <c r="K71" s="607"/>
      <c r="L71" s="607"/>
      <c r="M71" s="617"/>
      <c r="N71" s="607"/>
      <c r="O71" s="607"/>
      <c r="P71" s="1573"/>
    </row>
    <row r="72" spans="1:16" ht="7.5" customHeight="1">
      <c r="A72" s="607"/>
      <c r="B72" s="607"/>
      <c r="C72" s="607"/>
      <c r="D72" s="607"/>
      <c r="E72" s="607"/>
      <c r="F72" s="607"/>
      <c r="G72" s="607"/>
      <c r="H72" s="607"/>
      <c r="I72" s="607"/>
      <c r="J72" s="607"/>
      <c r="K72" s="607"/>
      <c r="L72" s="607"/>
      <c r="M72" s="617"/>
      <c r="N72" s="607"/>
      <c r="O72" s="607"/>
      <c r="P72" s="1573"/>
    </row>
    <row r="73" spans="1:16" ht="20.25">
      <c r="A73" s="623"/>
      <c r="B73" s="701" t="s">
        <v>694</v>
      </c>
      <c r="C73" s="701"/>
      <c r="D73" s="614"/>
      <c r="E73" s="614"/>
      <c r="F73" s="614"/>
      <c r="G73" s="614"/>
      <c r="H73" s="614"/>
      <c r="I73" s="614"/>
      <c r="J73" s="614"/>
      <c r="K73" s="614"/>
      <c r="L73" s="614"/>
      <c r="M73" s="614"/>
      <c r="N73" s="614"/>
      <c r="O73" s="615"/>
      <c r="P73" s="1573"/>
    </row>
    <row r="74" spans="1:16" ht="7.5" customHeight="1">
      <c r="A74" s="616"/>
      <c r="B74" s="617"/>
      <c r="C74" s="617"/>
      <c r="D74" s="617"/>
      <c r="E74" s="617"/>
      <c r="F74" s="617"/>
      <c r="G74" s="617"/>
      <c r="H74" s="617"/>
      <c r="I74" s="617"/>
      <c r="J74" s="617"/>
      <c r="K74" s="617"/>
      <c r="L74" s="617"/>
      <c r="M74" s="617"/>
      <c r="N74" s="617"/>
      <c r="O74" s="702"/>
      <c r="P74" s="1573"/>
    </row>
    <row r="75" spans="1:16" ht="15">
      <c r="A75" s="616"/>
      <c r="B75" s="617" t="str">
        <f>"Complete Part C if, in "&amp;yeartext&amp;", another person (as described in the section called "&amp;CHAR(34)&amp;"Who can claim child care expenses?"&amp;CHAR(34)&amp;") with lower"</f>
        <v>Complete Part C if, in 2007, another person (as described in the section called "Who can claim child care expenses?") with lower</v>
      </c>
      <c r="C75" s="617"/>
      <c r="D75" s="617"/>
      <c r="E75" s="617"/>
      <c r="F75" s="617"/>
      <c r="G75" s="617"/>
      <c r="H75" s="617"/>
      <c r="I75" s="617"/>
      <c r="J75" s="617"/>
      <c r="K75" s="617"/>
      <c r="L75" s="617"/>
      <c r="M75" s="617"/>
      <c r="N75" s="617"/>
      <c r="O75" s="702"/>
      <c r="P75" s="1573"/>
    </row>
    <row r="76" spans="1:16" ht="15">
      <c r="A76" s="616"/>
      <c r="B76" s="617" t="s">
        <v>1300</v>
      </c>
      <c r="C76" s="617"/>
      <c r="D76" s="617"/>
      <c r="E76" s="617"/>
      <c r="F76" s="617"/>
      <c r="G76" s="617"/>
      <c r="H76" s="617"/>
      <c r="I76" s="617"/>
      <c r="J76" s="617"/>
      <c r="K76" s="617"/>
      <c r="L76" s="617"/>
      <c r="M76" s="617"/>
      <c r="N76" s="617"/>
      <c r="O76" s="702"/>
      <c r="P76" s="1573"/>
    </row>
    <row r="77" spans="1:16" ht="15.75">
      <c r="A77" s="616"/>
      <c r="B77" s="709" t="s">
        <v>813</v>
      </c>
      <c r="C77" s="617"/>
      <c r="D77" s="617"/>
      <c r="E77" s="617"/>
      <c r="F77" s="617"/>
      <c r="G77" s="617"/>
      <c r="H77" s="617"/>
      <c r="I77" s="617"/>
      <c r="J77" s="617"/>
      <c r="K77" s="617"/>
      <c r="L77" s="617"/>
      <c r="M77" s="617"/>
      <c r="N77" s="617"/>
      <c r="O77" s="702"/>
      <c r="P77" s="1573"/>
    </row>
    <row r="78" spans="1:16" ht="21.75" customHeight="1">
      <c r="A78" s="616"/>
      <c r="B78" s="607"/>
      <c r="C78" s="617"/>
      <c r="D78" s="617"/>
      <c r="E78" s="627" t="s">
        <v>1301</v>
      </c>
      <c r="F78" s="617"/>
      <c r="G78" s="617"/>
      <c r="H78" s="617"/>
      <c r="I78" s="617"/>
      <c r="J78" s="617"/>
      <c r="K78" s="627" t="s">
        <v>1786</v>
      </c>
      <c r="L78" s="617"/>
      <c r="M78" s="617"/>
      <c r="N78" s="627" t="s">
        <v>173</v>
      </c>
      <c r="O78" s="702"/>
      <c r="P78" s="1573"/>
    </row>
    <row r="79" spans="1:16" ht="19.5" customHeight="1">
      <c r="A79" s="616"/>
      <c r="B79" s="1680"/>
      <c r="C79" s="1680"/>
      <c r="D79" s="1680"/>
      <c r="E79" s="1680"/>
      <c r="F79" s="1680"/>
      <c r="G79" s="1680"/>
      <c r="H79" s="617"/>
      <c r="I79" s="617"/>
      <c r="J79" s="617"/>
      <c r="K79" s="304"/>
      <c r="L79" s="617"/>
      <c r="M79" s="617"/>
      <c r="N79" s="104"/>
      <c r="O79" s="702"/>
      <c r="P79" s="1573"/>
    </row>
    <row r="80" spans="1:16" ht="15">
      <c r="A80" s="616"/>
      <c r="B80" s="617"/>
      <c r="C80" s="617"/>
      <c r="D80" s="617"/>
      <c r="E80" s="617"/>
      <c r="F80" s="617"/>
      <c r="G80" s="617"/>
      <c r="H80" s="617"/>
      <c r="I80" s="617"/>
      <c r="J80" s="617"/>
      <c r="K80" s="617"/>
      <c r="L80" s="617"/>
      <c r="M80" s="617"/>
      <c r="N80" s="617"/>
      <c r="O80" s="702"/>
      <c r="P80" s="1573"/>
    </row>
    <row r="81" spans="1:16" ht="18">
      <c r="A81" s="616"/>
      <c r="B81" s="305"/>
      <c r="C81" s="617" t="s">
        <v>257</v>
      </c>
      <c r="D81" s="617"/>
      <c r="E81" s="617"/>
      <c r="F81" s="617"/>
      <c r="G81" s="617"/>
      <c r="H81" s="617"/>
      <c r="I81" s="617"/>
      <c r="J81" s="617"/>
      <c r="K81" s="617"/>
      <c r="L81" s="617"/>
      <c r="M81" s="617"/>
      <c r="N81" s="617"/>
      <c r="O81" s="702"/>
      <c r="P81" s="1573"/>
    </row>
    <row r="82" spans="1:16" ht="15">
      <c r="A82" s="616"/>
      <c r="B82" s="617"/>
      <c r="C82" s="617" t="str">
        <f>"     you enrolled in an educational program ?"&amp;CHAR(34)&amp;" on the attached information sheet."</f>
        <v>     you enrolled in an educational program ?" on the attached information sheet.</v>
      </c>
      <c r="D82" s="617"/>
      <c r="E82" s="617"/>
      <c r="F82" s="617"/>
      <c r="G82" s="617"/>
      <c r="H82" s="617"/>
      <c r="I82" s="617"/>
      <c r="J82" s="617"/>
      <c r="K82" s="617"/>
      <c r="L82" s="617"/>
      <c r="M82" s="617"/>
      <c r="N82" s="617"/>
      <c r="O82" s="702"/>
      <c r="P82" s="1573"/>
    </row>
    <row r="83" spans="1:16" ht="15">
      <c r="A83" s="616"/>
      <c r="B83" s="617"/>
      <c r="C83" s="617"/>
      <c r="D83" s="617"/>
      <c r="E83" s="617"/>
      <c r="F83" s="617"/>
      <c r="G83" s="617"/>
      <c r="H83" s="617"/>
      <c r="I83" s="617"/>
      <c r="J83" s="617"/>
      <c r="K83" s="617"/>
      <c r="L83" s="617"/>
      <c r="M83" s="617"/>
      <c r="N83" s="617"/>
      <c r="O83" s="702"/>
      <c r="P83" s="1573"/>
    </row>
    <row r="84" spans="1:16" ht="18">
      <c r="A84" s="616"/>
      <c r="B84" s="305"/>
      <c r="C84" s="617" t="s">
        <v>258</v>
      </c>
      <c r="D84" s="617"/>
      <c r="E84" s="617"/>
      <c r="F84" s="617"/>
      <c r="G84" s="617"/>
      <c r="H84" s="617"/>
      <c r="I84" s="617"/>
      <c r="J84" s="617"/>
      <c r="K84" s="617"/>
      <c r="L84" s="617"/>
      <c r="M84" s="617"/>
      <c r="N84" s="617"/>
      <c r="O84" s="702"/>
      <c r="P84" s="1573"/>
    </row>
    <row r="85" spans="1:16" ht="15">
      <c r="A85" s="616"/>
      <c r="B85" s="617"/>
      <c r="C85" s="617" t="str">
        <f>"     you enrolled in an educational program ?"&amp;CHAR(34)&amp;" on the attached information sheet."</f>
        <v>     you enrolled in an educational program ?" on the attached information sheet.</v>
      </c>
      <c r="D85" s="617"/>
      <c r="E85" s="617"/>
      <c r="F85" s="617"/>
      <c r="G85" s="617"/>
      <c r="H85" s="617"/>
      <c r="I85" s="617"/>
      <c r="J85" s="617"/>
      <c r="K85" s="617"/>
      <c r="L85" s="617"/>
      <c r="M85" s="617"/>
      <c r="N85" s="617"/>
      <c r="O85" s="702"/>
      <c r="P85" s="1573"/>
    </row>
    <row r="86" spans="1:16" ht="15">
      <c r="A86" s="616"/>
      <c r="B86" s="617"/>
      <c r="C86" s="617"/>
      <c r="D86" s="617"/>
      <c r="E86" s="617"/>
      <c r="F86" s="617"/>
      <c r="G86" s="617"/>
      <c r="H86" s="617"/>
      <c r="I86" s="617"/>
      <c r="J86" s="617"/>
      <c r="K86" s="617"/>
      <c r="L86" s="617"/>
      <c r="M86" s="617"/>
      <c r="N86" s="617"/>
      <c r="O86" s="702"/>
      <c r="P86" s="1573"/>
    </row>
    <row r="87" spans="1:16" ht="18">
      <c r="A87" s="616"/>
      <c r="B87" s="305"/>
      <c r="C87" s="617" t="s">
        <v>814</v>
      </c>
      <c r="D87" s="617"/>
      <c r="E87" s="617"/>
      <c r="F87" s="617"/>
      <c r="G87" s="617"/>
      <c r="H87" s="617"/>
      <c r="I87" s="617"/>
      <c r="J87" s="617"/>
      <c r="K87" s="617"/>
      <c r="L87" s="617"/>
      <c r="M87" s="617"/>
      <c r="N87" s="617"/>
      <c r="O87" s="702"/>
      <c r="P87" s="1573"/>
    </row>
    <row r="88" spans="1:16" ht="15">
      <c r="A88" s="616"/>
      <c r="B88" s="617"/>
      <c r="C88" s="617" t="s">
        <v>77</v>
      </c>
      <c r="D88" s="617"/>
      <c r="E88" s="617"/>
      <c r="F88" s="617"/>
      <c r="G88" s="617"/>
      <c r="H88" s="617"/>
      <c r="I88" s="617"/>
      <c r="J88" s="617"/>
      <c r="K88" s="617"/>
      <c r="L88" s="617"/>
      <c r="M88" s="617"/>
      <c r="N88" s="617"/>
      <c r="O88" s="702"/>
      <c r="P88" s="1573"/>
    </row>
    <row r="89" spans="1:16" ht="15">
      <c r="A89" s="616"/>
      <c r="B89" s="617"/>
      <c r="C89" s="617" t="s">
        <v>78</v>
      </c>
      <c r="D89" s="617"/>
      <c r="E89" s="617"/>
      <c r="F89" s="617"/>
      <c r="G89" s="617"/>
      <c r="H89" s="617"/>
      <c r="I89" s="617"/>
      <c r="J89" s="617"/>
      <c r="K89" s="617"/>
      <c r="L89" s="617"/>
      <c r="M89" s="617"/>
      <c r="N89" s="617"/>
      <c r="O89" s="702"/>
      <c r="P89" s="1573"/>
    </row>
    <row r="90" spans="1:16" ht="7.5" customHeight="1">
      <c r="A90" s="616"/>
      <c r="B90" s="617"/>
      <c r="C90" s="617"/>
      <c r="D90" s="617"/>
      <c r="E90" s="617"/>
      <c r="F90" s="617"/>
      <c r="G90" s="617"/>
      <c r="H90" s="617"/>
      <c r="I90" s="617"/>
      <c r="J90" s="617"/>
      <c r="K90" s="617"/>
      <c r="L90" s="617"/>
      <c r="M90" s="617"/>
      <c r="N90" s="617"/>
      <c r="O90" s="702"/>
      <c r="P90" s="1573"/>
    </row>
    <row r="91" spans="1:16" ht="18">
      <c r="A91" s="616"/>
      <c r="B91" s="305"/>
      <c r="C91" s="617" t="s">
        <v>79</v>
      </c>
      <c r="D91" s="617"/>
      <c r="E91" s="617"/>
      <c r="F91" s="617"/>
      <c r="G91" s="617"/>
      <c r="H91" s="617"/>
      <c r="I91" s="617"/>
      <c r="J91" s="617"/>
      <c r="K91" s="617"/>
      <c r="L91" s="617"/>
      <c r="M91" s="617"/>
      <c r="N91" s="617"/>
      <c r="O91" s="702"/>
      <c r="P91" s="1573"/>
    </row>
    <row r="92" spans="1:16" ht="15">
      <c r="A92" s="616"/>
      <c r="B92" s="617"/>
      <c r="C92" s="617" t="s">
        <v>80</v>
      </c>
      <c r="D92" s="617"/>
      <c r="E92" s="617"/>
      <c r="F92" s="617"/>
      <c r="G92" s="617"/>
      <c r="H92" s="617"/>
      <c r="I92" s="617"/>
      <c r="J92" s="617"/>
      <c r="K92" s="617"/>
      <c r="L92" s="617"/>
      <c r="M92" s="617"/>
      <c r="N92" s="617"/>
      <c r="O92" s="702"/>
      <c r="P92" s="1573"/>
    </row>
    <row r="93" spans="1:16" ht="7.5" customHeight="1">
      <c r="A93" s="616"/>
      <c r="B93" s="617"/>
      <c r="C93" s="617"/>
      <c r="D93" s="617"/>
      <c r="E93" s="617"/>
      <c r="F93" s="617"/>
      <c r="G93" s="617"/>
      <c r="H93" s="617"/>
      <c r="I93" s="617"/>
      <c r="J93" s="617"/>
      <c r="K93" s="617"/>
      <c r="L93" s="617"/>
      <c r="M93" s="617"/>
      <c r="N93" s="617"/>
      <c r="O93" s="702"/>
      <c r="P93" s="1573"/>
    </row>
    <row r="94" spans="1:16" ht="18">
      <c r="A94" s="616"/>
      <c r="B94" s="305"/>
      <c r="C94" s="617" t="s">
        <v>259</v>
      </c>
      <c r="D94" s="617"/>
      <c r="E94" s="617"/>
      <c r="F94" s="617"/>
      <c r="G94" s="617"/>
      <c r="H94" s="617"/>
      <c r="I94" s="617"/>
      <c r="J94" s="617"/>
      <c r="K94" s="617"/>
      <c r="L94" s="617"/>
      <c r="M94" s="617"/>
      <c r="N94" s="617"/>
      <c r="O94" s="702"/>
      <c r="P94" s="1573"/>
    </row>
    <row r="95" spans="1:16" ht="15">
      <c r="A95" s="616"/>
      <c r="B95" s="617"/>
      <c r="C95" s="617"/>
      <c r="D95" s="617"/>
      <c r="E95" s="617"/>
      <c r="F95" s="617"/>
      <c r="G95" s="617"/>
      <c r="H95" s="617"/>
      <c r="I95" s="617"/>
      <c r="J95" s="617"/>
      <c r="K95" s="617"/>
      <c r="L95" s="617"/>
      <c r="M95" s="617"/>
      <c r="N95" s="617"/>
      <c r="O95" s="702"/>
      <c r="P95" s="1573"/>
    </row>
    <row r="96" spans="1:16" ht="18">
      <c r="A96" s="616"/>
      <c r="B96" s="305"/>
      <c r="C96" s="617" t="s">
        <v>1685</v>
      </c>
      <c r="D96" s="617"/>
      <c r="E96" s="617"/>
      <c r="F96" s="617"/>
      <c r="G96" s="617"/>
      <c r="H96" s="617"/>
      <c r="I96" s="617"/>
      <c r="J96" s="617"/>
      <c r="K96" s="617"/>
      <c r="L96" s="617"/>
      <c r="M96" s="617"/>
      <c r="N96" s="617"/>
      <c r="O96" s="702"/>
      <c r="P96" s="1573"/>
    </row>
    <row r="97" spans="1:16" ht="15">
      <c r="A97" s="616"/>
      <c r="B97" s="617"/>
      <c r="C97" s="617" t="str">
        <f>"    end of "&amp;yeartext&amp;" and for a period of at least 90 days beginning in "&amp;yeartext&amp;", but you reconciled before March 1, "&amp;nextyeartext&amp;"."</f>
        <v>    end of 2007 and for a period of at least 90 days beginning in 2007, but you reconciled before March 1, 2008.</v>
      </c>
      <c r="D97" s="617"/>
      <c r="E97" s="617"/>
      <c r="F97" s="617"/>
      <c r="G97" s="617"/>
      <c r="H97" s="617"/>
      <c r="I97" s="617"/>
      <c r="J97" s="617"/>
      <c r="K97" s="617"/>
      <c r="L97" s="617"/>
      <c r="M97" s="617"/>
      <c r="N97" s="617"/>
      <c r="O97" s="702"/>
      <c r="P97" s="1573"/>
    </row>
    <row r="98" spans="1:16" ht="7.5" customHeight="1">
      <c r="A98" s="616"/>
      <c r="B98" s="617"/>
      <c r="C98" s="617"/>
      <c r="D98" s="617"/>
      <c r="E98" s="617"/>
      <c r="F98" s="617"/>
      <c r="G98" s="617"/>
      <c r="H98" s="617"/>
      <c r="I98" s="617"/>
      <c r="J98" s="617"/>
      <c r="K98" s="617"/>
      <c r="L98" s="617"/>
      <c r="M98" s="617"/>
      <c r="N98" s="617"/>
      <c r="O98" s="702"/>
      <c r="P98" s="1573"/>
    </row>
    <row r="99" spans="1:16" ht="15.75">
      <c r="A99" s="616"/>
      <c r="B99" s="617" t="s">
        <v>1417</v>
      </c>
      <c r="C99" s="617"/>
      <c r="D99" s="617"/>
      <c r="E99" s="369">
        <f>N52</f>
        <v>0</v>
      </c>
      <c r="F99" s="617"/>
      <c r="G99" s="709" t="s">
        <v>438</v>
      </c>
      <c r="H99" s="713"/>
      <c r="I99" s="713"/>
      <c r="J99" s="713"/>
      <c r="K99" s="713"/>
      <c r="L99" s="713"/>
      <c r="M99" s="617"/>
      <c r="N99" s="369">
        <f>E99*0.025</f>
        <v>0</v>
      </c>
      <c r="O99" s="715" t="s">
        <v>2445</v>
      </c>
      <c r="P99" s="1573"/>
    </row>
    <row r="100" spans="1:16" ht="15">
      <c r="A100" s="616"/>
      <c r="B100" s="617"/>
      <c r="C100" s="617"/>
      <c r="D100" s="617"/>
      <c r="E100" s="617"/>
      <c r="F100" s="617"/>
      <c r="G100" s="617"/>
      <c r="H100" s="617"/>
      <c r="I100" s="617"/>
      <c r="J100" s="617"/>
      <c r="K100" s="617"/>
      <c r="L100" s="617"/>
      <c r="M100" s="617"/>
      <c r="N100" s="617"/>
      <c r="O100" s="702"/>
      <c r="P100" s="1573"/>
    </row>
    <row r="101" spans="1:16" ht="15.75">
      <c r="A101" s="616"/>
      <c r="B101" s="617" t="s">
        <v>2343</v>
      </c>
      <c r="C101" s="617"/>
      <c r="D101" s="617"/>
      <c r="E101" s="617"/>
      <c r="F101" s="617"/>
      <c r="G101" s="617"/>
      <c r="H101" s="303"/>
      <c r="I101" s="1678" t="str">
        <f>" in "&amp;yeartext&amp;" that"</f>
        <v> in 2007 that</v>
      </c>
      <c r="J101" s="1679"/>
      <c r="K101" s="1211" t="s">
        <v>739</v>
      </c>
      <c r="L101" s="617"/>
      <c r="M101" s="617"/>
      <c r="N101" s="617"/>
      <c r="O101" s="702"/>
      <c r="P101" s="1573"/>
    </row>
    <row r="102" spans="1:16" ht="15.75">
      <c r="A102" s="616"/>
      <c r="B102" s="617" t="s">
        <v>1050</v>
      </c>
      <c r="C102" s="617"/>
      <c r="D102" s="617"/>
      <c r="E102" s="617"/>
      <c r="F102" s="617"/>
      <c r="G102" s="617"/>
      <c r="H102" s="617"/>
      <c r="I102" s="617"/>
      <c r="J102" s="713"/>
      <c r="K102" s="713"/>
      <c r="L102" s="713"/>
      <c r="M102" s="617"/>
      <c r="N102" s="369">
        <f>ROUND(H101,0)*N99</f>
        <v>0</v>
      </c>
      <c r="O102" s="715" t="s">
        <v>884</v>
      </c>
      <c r="P102" s="1573"/>
    </row>
    <row r="103" spans="1:16" ht="16.5" thickBot="1">
      <c r="A103" s="616"/>
      <c r="B103" s="617" t="s">
        <v>2344</v>
      </c>
      <c r="C103" s="617"/>
      <c r="D103" s="617"/>
      <c r="E103" s="617"/>
      <c r="F103" s="617"/>
      <c r="G103" s="617"/>
      <c r="H103" s="303"/>
      <c r="I103" s="607"/>
      <c r="J103" s="703" t="str">
        <f>" in "&amp;yeartext&amp;" that any of"</f>
        <v> in 2007 that any of</v>
      </c>
      <c r="K103" s="617" t="s">
        <v>740</v>
      </c>
      <c r="L103" s="617"/>
      <c r="M103" s="617"/>
      <c r="N103" s="733">
        <f>ROUND(H103,0)*N99</f>
        <v>0</v>
      </c>
      <c r="O103" s="715" t="s">
        <v>886</v>
      </c>
      <c r="P103" s="1573"/>
    </row>
    <row r="104" spans="1:16" ht="15.75">
      <c r="A104" s="616"/>
      <c r="B104" s="617" t="s">
        <v>260</v>
      </c>
      <c r="C104" s="617"/>
      <c r="D104" s="617"/>
      <c r="E104" s="713"/>
      <c r="F104" s="713"/>
      <c r="G104" s="713"/>
      <c r="H104" s="713"/>
      <c r="I104" s="713"/>
      <c r="J104" s="713"/>
      <c r="K104" s="713"/>
      <c r="L104" s="713"/>
      <c r="M104" s="301" t="s">
        <v>911</v>
      </c>
      <c r="N104" s="369">
        <f>N102+N103</f>
        <v>0</v>
      </c>
      <c r="O104" s="715" t="s">
        <v>888</v>
      </c>
      <c r="P104" s="1573"/>
    </row>
    <row r="105" spans="1:16" ht="15">
      <c r="A105" s="616"/>
      <c r="B105" s="617"/>
      <c r="C105" s="617"/>
      <c r="D105" s="617"/>
      <c r="E105" s="617"/>
      <c r="F105" s="617"/>
      <c r="G105" s="617"/>
      <c r="H105" s="617"/>
      <c r="I105" s="617"/>
      <c r="J105" s="617"/>
      <c r="K105" s="617"/>
      <c r="L105" s="617"/>
      <c r="M105" s="617"/>
      <c r="N105" s="617"/>
      <c r="O105" s="702"/>
      <c r="P105" s="1573"/>
    </row>
    <row r="106" spans="1:16" ht="15.75">
      <c r="A106" s="616"/>
      <c r="B106" s="617" t="s">
        <v>466</v>
      </c>
      <c r="C106" s="617"/>
      <c r="D106" s="617"/>
      <c r="E106" s="617"/>
      <c r="F106" s="617"/>
      <c r="G106" s="617"/>
      <c r="H106" s="617"/>
      <c r="I106" s="617"/>
      <c r="J106" s="617"/>
      <c r="K106" s="617"/>
      <c r="L106" s="617"/>
      <c r="M106" s="617"/>
      <c r="N106" s="617"/>
      <c r="O106" s="702"/>
      <c r="P106" s="1573"/>
    </row>
    <row r="107" spans="1:16" ht="15">
      <c r="A107" s="616"/>
      <c r="B107" s="617" t="str">
        <f>"If you attended school in "&amp;yeartext&amp;", go to Part D."</f>
        <v>If you attended school in 2007, go to Part D.</v>
      </c>
      <c r="C107" s="617"/>
      <c r="D107" s="617"/>
      <c r="E107" s="617"/>
      <c r="F107" s="617"/>
      <c r="G107" s="617"/>
      <c r="H107" s="617"/>
      <c r="I107" s="617"/>
      <c r="J107" s="617"/>
      <c r="K107" s="617"/>
      <c r="L107" s="617"/>
      <c r="M107" s="617"/>
      <c r="N107" s="617"/>
      <c r="O107" s="702"/>
      <c r="P107" s="1573"/>
    </row>
    <row r="108" spans="1:16" ht="15.75">
      <c r="A108" s="616"/>
      <c r="B108" s="617" t="s">
        <v>414</v>
      </c>
      <c r="C108" s="617"/>
      <c r="D108" s="617"/>
      <c r="E108" s="617"/>
      <c r="F108" s="617"/>
      <c r="G108" s="617"/>
      <c r="H108" s="713"/>
      <c r="I108" s="713"/>
      <c r="J108" s="713"/>
      <c r="K108" s="617"/>
      <c r="L108" s="710" t="s">
        <v>415</v>
      </c>
      <c r="M108" s="617"/>
      <c r="N108" s="654">
        <f>MINA(N58,N104)</f>
        <v>0</v>
      </c>
      <c r="O108" s="715" t="s">
        <v>2447</v>
      </c>
      <c r="P108" s="1573"/>
    </row>
    <row r="109" spans="1:16" ht="7.5" customHeight="1">
      <c r="A109" s="620"/>
      <c r="B109" s="618"/>
      <c r="C109" s="618"/>
      <c r="D109" s="618"/>
      <c r="E109" s="618"/>
      <c r="F109" s="618"/>
      <c r="G109" s="618"/>
      <c r="H109" s="618"/>
      <c r="I109" s="618"/>
      <c r="J109" s="618"/>
      <c r="K109" s="618"/>
      <c r="L109" s="758"/>
      <c r="M109" s="618"/>
      <c r="N109" s="621"/>
      <c r="O109" s="759"/>
      <c r="P109" s="1573"/>
    </row>
    <row r="110" spans="1:16" ht="7.5" customHeight="1">
      <c r="A110" s="607"/>
      <c r="B110" s="607"/>
      <c r="C110" s="607"/>
      <c r="D110" s="607"/>
      <c r="E110" s="607"/>
      <c r="F110" s="607"/>
      <c r="G110" s="607"/>
      <c r="H110" s="607"/>
      <c r="I110" s="607"/>
      <c r="J110" s="607"/>
      <c r="K110" s="607"/>
      <c r="L110" s="607"/>
      <c r="M110" s="617"/>
      <c r="N110" s="607"/>
      <c r="O110" s="607"/>
      <c r="P110" s="1573"/>
    </row>
    <row r="111" spans="1:16" ht="20.25">
      <c r="A111" s="623"/>
      <c r="B111" s="701" t="str">
        <f>"Part D – Are you enrolled in an educational program in "&amp;yeartext&amp;"?"</f>
        <v>Part D – Are you enrolled in an educational program in 2007?</v>
      </c>
      <c r="C111" s="614"/>
      <c r="D111" s="614"/>
      <c r="E111" s="614"/>
      <c r="F111" s="614"/>
      <c r="G111" s="614"/>
      <c r="H111" s="614"/>
      <c r="I111" s="614"/>
      <c r="J111" s="614"/>
      <c r="K111" s="614"/>
      <c r="L111" s="614"/>
      <c r="M111" s="614"/>
      <c r="N111" s="614"/>
      <c r="O111" s="615"/>
      <c r="P111" s="1573"/>
    </row>
    <row r="112" spans="1:16" ht="15">
      <c r="A112" s="616"/>
      <c r="B112" s="617" t="str">
        <f>"Complete Part D if, at a given time in "&amp;yeartext&amp;", either of the following situations applies to you:"</f>
        <v>Complete Part D if, at a given time in 2007, either of the following situations applies to you:</v>
      </c>
      <c r="C112" s="617"/>
      <c r="D112" s="617"/>
      <c r="E112" s="617"/>
      <c r="F112" s="617"/>
      <c r="G112" s="617"/>
      <c r="H112" s="617"/>
      <c r="I112" s="617"/>
      <c r="J112" s="617"/>
      <c r="K112" s="617"/>
      <c r="L112" s="617"/>
      <c r="M112" s="617"/>
      <c r="N112" s="617"/>
      <c r="O112" s="702"/>
      <c r="P112" s="1573"/>
    </row>
    <row r="113" spans="1:16" ht="15.75" customHeight="1">
      <c r="A113" s="616"/>
      <c r="B113" s="950" t="s">
        <v>1559</v>
      </c>
      <c r="C113" s="617" t="s">
        <v>1563</v>
      </c>
      <c r="D113" s="617"/>
      <c r="E113" s="617"/>
      <c r="F113" s="617"/>
      <c r="G113" s="617"/>
      <c r="H113" s="617"/>
      <c r="I113" s="617"/>
      <c r="J113" s="617"/>
      <c r="K113" s="617"/>
      <c r="L113" s="617"/>
      <c r="M113" s="617"/>
      <c r="N113" s="617"/>
      <c r="O113" s="702"/>
      <c r="P113" s="1573"/>
    </row>
    <row r="114" spans="1:16" ht="15.75" customHeight="1">
      <c r="A114" s="616"/>
      <c r="B114" s="617"/>
      <c r="C114" s="617" t="s">
        <v>81</v>
      </c>
      <c r="D114" s="617"/>
      <c r="E114" s="617"/>
      <c r="F114" s="617"/>
      <c r="G114" s="617"/>
      <c r="H114" s="617"/>
      <c r="I114" s="617"/>
      <c r="J114" s="617"/>
      <c r="K114" s="617"/>
      <c r="L114" s="617"/>
      <c r="M114" s="617"/>
      <c r="N114" s="617"/>
      <c r="O114" s="702"/>
      <c r="P114" s="1573"/>
    </row>
    <row r="115" spans="1:16" ht="15.75" customHeight="1">
      <c r="A115" s="616"/>
      <c r="B115" s="950" t="s">
        <v>1559</v>
      </c>
      <c r="C115" s="634" t="s">
        <v>1735</v>
      </c>
      <c r="D115" s="634"/>
      <c r="E115" s="634"/>
      <c r="F115" s="634"/>
      <c r="G115" s="634"/>
      <c r="H115" s="634"/>
      <c r="I115" s="634"/>
      <c r="J115" s="634"/>
      <c r="K115" s="634"/>
      <c r="L115" s="617" t="str">
        <f>yeartext&amp;", you and another"</f>
        <v>2007, you and another</v>
      </c>
      <c r="M115" s="617"/>
      <c r="N115" s="617"/>
      <c r="O115" s="702"/>
      <c r="P115" s="1573"/>
    </row>
    <row r="116" spans="1:16" ht="15.75" customHeight="1">
      <c r="A116" s="616"/>
      <c r="B116" s="617"/>
      <c r="C116" s="709" t="s">
        <v>1736</v>
      </c>
      <c r="D116" s="617"/>
      <c r="E116" s="617"/>
      <c r="F116" s="617"/>
      <c r="G116" s="617"/>
      <c r="H116" s="617"/>
      <c r="I116" s="617"/>
      <c r="J116" s="617"/>
      <c r="K116" s="617"/>
      <c r="L116" s="617"/>
      <c r="M116" s="617"/>
      <c r="N116" s="617"/>
      <c r="O116" s="702"/>
      <c r="P116" s="1573"/>
    </row>
    <row r="117" spans="1:16" ht="15.75" customHeight="1">
      <c r="A117" s="616"/>
      <c r="B117" s="617"/>
      <c r="C117" s="902" t="s">
        <v>2561</v>
      </c>
      <c r="D117" s="617"/>
      <c r="E117" s="617"/>
      <c r="F117" s="617"/>
      <c r="G117" s="617"/>
      <c r="H117" s="617"/>
      <c r="I117" s="617"/>
      <c r="J117" s="617"/>
      <c r="K117" s="617"/>
      <c r="L117" s="617"/>
      <c r="M117" s="617"/>
      <c r="N117" s="617"/>
      <c r="O117" s="702"/>
      <c r="P117" s="1573"/>
    </row>
    <row r="118" spans="1:16" ht="15.75" customHeight="1">
      <c r="A118" s="616"/>
      <c r="B118" s="902" t="s">
        <v>1795</v>
      </c>
      <c r="C118" s="617"/>
      <c r="D118" s="617"/>
      <c r="E118" s="617"/>
      <c r="F118" s="617"/>
      <c r="G118" s="617"/>
      <c r="H118" s="617"/>
      <c r="I118" s="617"/>
      <c r="J118" s="617"/>
      <c r="K118" s="617"/>
      <c r="L118" s="617"/>
      <c r="M118" s="617"/>
      <c r="N118" s="617"/>
      <c r="O118" s="702"/>
      <c r="P118" s="1573"/>
    </row>
    <row r="119" spans="1:16" ht="15.75" customHeight="1">
      <c r="A119" s="616"/>
      <c r="B119" s="617" t="s">
        <v>1417</v>
      </c>
      <c r="C119" s="617"/>
      <c r="D119" s="617"/>
      <c r="E119" s="369">
        <f>N52</f>
        <v>0</v>
      </c>
      <c r="F119" s="617"/>
      <c r="G119" s="709" t="s">
        <v>438</v>
      </c>
      <c r="H119" s="713"/>
      <c r="I119" s="713"/>
      <c r="J119" s="713"/>
      <c r="K119" s="713"/>
      <c r="L119" s="713"/>
      <c r="M119" s="617"/>
      <c r="N119" s="369">
        <f>E119*0.025</f>
        <v>0</v>
      </c>
      <c r="O119" s="715" t="s">
        <v>1915</v>
      </c>
      <c r="P119" s="1573"/>
    </row>
    <row r="120" spans="1:16" ht="15.75" customHeight="1">
      <c r="A120" s="616"/>
      <c r="B120" s="617" t="s">
        <v>717</v>
      </c>
      <c r="C120" s="617"/>
      <c r="D120" s="617"/>
      <c r="E120" s="617"/>
      <c r="F120" s="617"/>
      <c r="G120" s="617"/>
      <c r="H120" s="303"/>
      <c r="I120" s="617" t="str">
        <f>" in "&amp;yeartext&amp;" during which you were enrolled in a"</f>
        <v> in 2007 during which you were enrolled in a</v>
      </c>
      <c r="J120" s="617"/>
      <c r="K120" s="617"/>
      <c r="L120" s="617"/>
      <c r="M120" s="617"/>
      <c r="N120" s="617"/>
      <c r="O120" s="715"/>
      <c r="P120" s="1573"/>
    </row>
    <row r="121" spans="1:16" ht="15.75" customHeight="1">
      <c r="A121" s="616"/>
      <c r="B121" s="709" t="s">
        <v>82</v>
      </c>
      <c r="C121" s="617"/>
      <c r="D121" s="617"/>
      <c r="E121" s="617"/>
      <c r="F121" s="617"/>
      <c r="G121" s="617"/>
      <c r="H121" s="617"/>
      <c r="I121" s="617"/>
      <c r="J121" s="617"/>
      <c r="K121" s="617"/>
      <c r="L121" s="617"/>
      <c r="M121" s="617"/>
      <c r="N121" s="617"/>
      <c r="O121" s="702"/>
      <c r="P121" s="1573"/>
    </row>
    <row r="122" spans="1:16" ht="15.75" customHeight="1">
      <c r="A122" s="616"/>
      <c r="B122" s="617" t="s">
        <v>2562</v>
      </c>
      <c r="C122" s="617"/>
      <c r="D122" s="617"/>
      <c r="E122" s="617"/>
      <c r="F122" s="617"/>
      <c r="G122" s="617"/>
      <c r="H122" s="617"/>
      <c r="I122" s="617"/>
      <c r="J122" s="617"/>
      <c r="K122" s="617"/>
      <c r="L122" s="617"/>
      <c r="M122" s="617"/>
      <c r="N122" s="617"/>
      <c r="O122" s="702"/>
      <c r="P122" s="1573"/>
    </row>
    <row r="123" spans="1:16" ht="15.75" customHeight="1">
      <c r="A123" s="616"/>
      <c r="B123" s="617" t="s">
        <v>954</v>
      </c>
      <c r="C123" s="617"/>
      <c r="D123" s="617"/>
      <c r="E123" s="713"/>
      <c r="F123" s="713"/>
      <c r="G123" s="713"/>
      <c r="H123" s="713"/>
      <c r="I123" s="713"/>
      <c r="J123" s="713"/>
      <c r="K123" s="713"/>
      <c r="L123" s="713"/>
      <c r="M123" s="617"/>
      <c r="N123" s="369">
        <f>H120*N119</f>
        <v>0</v>
      </c>
      <c r="O123" s="715" t="s">
        <v>2449</v>
      </c>
      <c r="P123" s="1573"/>
    </row>
    <row r="124" spans="1:16" ht="15.75" customHeight="1">
      <c r="A124" s="616"/>
      <c r="B124" s="617" t="s">
        <v>2442</v>
      </c>
      <c r="C124" s="617"/>
      <c r="D124" s="617"/>
      <c r="E124" s="617"/>
      <c r="F124" s="617"/>
      <c r="G124" s="617"/>
      <c r="H124" s="303"/>
      <c r="I124" s="617" t="s">
        <v>1558</v>
      </c>
      <c r="J124" s="617"/>
      <c r="K124" s="617"/>
      <c r="L124" s="617"/>
      <c r="M124" s="617"/>
      <c r="N124" s="617"/>
      <c r="O124" s="702"/>
      <c r="P124" s="1573"/>
    </row>
    <row r="125" spans="1:16" ht="15.75" customHeight="1">
      <c r="A125" s="616"/>
      <c r="B125" s="617" t="str">
        <f>"used to calculate the amount on line 16) in "&amp;yeartext&amp;" during which:"</f>
        <v>used to calculate the amount on line 16) in 2007 during which:</v>
      </c>
      <c r="C125" s="617"/>
      <c r="D125" s="617"/>
      <c r="E125" s="617"/>
      <c r="F125" s="617"/>
      <c r="G125" s="617"/>
      <c r="H125" s="617"/>
      <c r="I125" s="617"/>
      <c r="J125" s="617"/>
      <c r="K125" s="617"/>
      <c r="L125" s="617"/>
      <c r="M125" s="617"/>
      <c r="N125" s="617"/>
      <c r="O125" s="702"/>
      <c r="P125" s="1573"/>
    </row>
    <row r="126" spans="1:16" ht="15.75" customHeight="1">
      <c r="A126" s="616"/>
      <c r="B126" s="950" t="s">
        <v>1559</v>
      </c>
      <c r="C126" s="617" t="s">
        <v>83</v>
      </c>
      <c r="D126" s="617"/>
      <c r="E126" s="617"/>
      <c r="F126" s="617"/>
      <c r="G126" s="617"/>
      <c r="H126" s="617"/>
      <c r="I126" s="617"/>
      <c r="J126" s="617"/>
      <c r="K126" s="617"/>
      <c r="L126" s="617"/>
      <c r="M126" s="617"/>
      <c r="N126" s="617"/>
      <c r="O126" s="702"/>
      <c r="P126" s="1573"/>
    </row>
    <row r="127" spans="1:16" ht="15.75" customHeight="1">
      <c r="A127" s="616"/>
      <c r="B127" s="617"/>
      <c r="C127" s="617" t="s">
        <v>2563</v>
      </c>
      <c r="D127" s="617"/>
      <c r="E127" s="617"/>
      <c r="F127" s="617"/>
      <c r="G127" s="617"/>
      <c r="H127" s="617"/>
      <c r="I127" s="617"/>
      <c r="J127" s="617"/>
      <c r="K127" s="617"/>
      <c r="L127" s="617"/>
      <c r="M127" s="617"/>
      <c r="N127" s="617"/>
      <c r="O127" s="702"/>
      <c r="P127" s="1573"/>
    </row>
    <row r="128" spans="1:16" ht="15.75" customHeight="1">
      <c r="A128" s="616"/>
      <c r="B128" s="950" t="s">
        <v>1559</v>
      </c>
      <c r="C128" s="617" t="s">
        <v>1560</v>
      </c>
      <c r="D128" s="617"/>
      <c r="E128" s="617"/>
      <c r="F128" s="617"/>
      <c r="G128" s="617"/>
      <c r="H128" s="617"/>
      <c r="I128" s="617"/>
      <c r="J128" s="617"/>
      <c r="K128" s="617"/>
      <c r="L128" s="617"/>
      <c r="M128" s="617"/>
      <c r="N128" s="617"/>
      <c r="O128" s="702"/>
      <c r="P128" s="1573"/>
    </row>
    <row r="129" spans="1:16" ht="15.75" customHeight="1" thickBot="1">
      <c r="A129" s="616"/>
      <c r="B129" s="617"/>
      <c r="C129" s="617" t="s">
        <v>1561</v>
      </c>
      <c r="D129" s="617"/>
      <c r="E129" s="617"/>
      <c r="F129" s="617"/>
      <c r="G129" s="617"/>
      <c r="H129" s="617"/>
      <c r="I129" s="617"/>
      <c r="J129" s="713"/>
      <c r="K129" s="713"/>
      <c r="L129" s="713"/>
      <c r="M129" s="617"/>
      <c r="N129" s="736">
        <f>H124*N119</f>
        <v>0</v>
      </c>
      <c r="O129" s="715" t="s">
        <v>2451</v>
      </c>
      <c r="P129" s="1573"/>
    </row>
    <row r="130" spans="1:16" ht="20.25" customHeight="1">
      <c r="A130" s="616"/>
      <c r="B130" s="617" t="s">
        <v>1562</v>
      </c>
      <c r="C130" s="617"/>
      <c r="D130" s="617"/>
      <c r="E130" s="713"/>
      <c r="F130" s="713"/>
      <c r="G130" s="713"/>
      <c r="H130" s="713"/>
      <c r="I130" s="713"/>
      <c r="J130" s="713"/>
      <c r="K130" s="713"/>
      <c r="L130" s="713"/>
      <c r="M130" s="301" t="s">
        <v>910</v>
      </c>
      <c r="N130" s="369">
        <f>N123+N129</f>
        <v>0</v>
      </c>
      <c r="O130" s="715" t="s">
        <v>2452</v>
      </c>
      <c r="P130" s="1573"/>
    </row>
    <row r="131" spans="1:16" ht="15">
      <c r="A131" s="616"/>
      <c r="B131" s="617"/>
      <c r="C131" s="617"/>
      <c r="D131" s="617"/>
      <c r="E131" s="617"/>
      <c r="F131" s="617"/>
      <c r="G131" s="617"/>
      <c r="H131" s="617"/>
      <c r="I131" s="617"/>
      <c r="J131" s="617"/>
      <c r="K131" s="617"/>
      <c r="L131" s="617"/>
      <c r="M131" s="617"/>
      <c r="N131" s="617"/>
      <c r="O131" s="702"/>
      <c r="P131" s="1573"/>
    </row>
    <row r="132" spans="1:16" ht="15">
      <c r="A132" s="616"/>
      <c r="B132" s="617" t="s">
        <v>1061</v>
      </c>
      <c r="C132" s="617"/>
      <c r="D132" s="617"/>
      <c r="E132" s="617"/>
      <c r="F132" s="617"/>
      <c r="G132" s="617"/>
      <c r="H132" s="617"/>
      <c r="I132" s="617"/>
      <c r="J132" s="713"/>
      <c r="K132" s="713"/>
      <c r="L132" s="713"/>
      <c r="M132" s="617"/>
      <c r="N132" s="369">
        <f>IF(N108&gt;0,N108,(N52-N65))</f>
        <v>0</v>
      </c>
      <c r="O132" s="715" t="s">
        <v>1911</v>
      </c>
      <c r="P132" s="1573"/>
    </row>
    <row r="133" spans="1:16" ht="15">
      <c r="A133" s="616"/>
      <c r="B133" s="617" t="s">
        <v>1060</v>
      </c>
      <c r="C133" s="617"/>
      <c r="D133" s="617"/>
      <c r="E133" s="617"/>
      <c r="F133" s="617"/>
      <c r="G133" s="617"/>
      <c r="H133" s="617"/>
      <c r="I133" s="617"/>
      <c r="J133" s="713"/>
      <c r="K133" s="713"/>
      <c r="L133" s="713"/>
      <c r="M133" s="617"/>
      <c r="N133" s="447">
        <f>IF(N108&gt;0,N108,(N54-N65))</f>
        <v>0</v>
      </c>
      <c r="O133" s="715" t="s">
        <v>2454</v>
      </c>
      <c r="P133" s="1573"/>
    </row>
    <row r="134" spans="1:16" ht="15.75">
      <c r="A134" s="616"/>
      <c r="B134" s="617" t="s">
        <v>2118</v>
      </c>
      <c r="C134" s="617"/>
      <c r="D134" s="617"/>
      <c r="E134" s="617"/>
      <c r="F134" s="617"/>
      <c r="G134" s="617"/>
      <c r="H134" s="713"/>
      <c r="I134" s="713"/>
      <c r="J134" s="713"/>
      <c r="K134" s="369">
        <f>MAX(0,'T1 GEN-2-3-4'!K59-('T1 GEN-2-3-4'!I64+'T1 GEN-2-3-4'!I65+'T1 GEN-2-3-4'!I66+'T1 GEN-2-3-4'!I68+'T1 GEN-2-3-4'!I71+'T1 GEN-2-3-4'!I73+'T1 GEN-2-3-4'!I74+'T1 GEN-2-3-4'!I76+'T1 GEN-2-3-4'!I77+'T1 GEN-2-3-4'!I79+'T1 GEN-2-3-4'!I80+'T1 GEN-2-3-4'!I81+'T1 GEN-2-3-4'!I82+'T1 GEN-2-3-4'!I83))</f>
        <v>0</v>
      </c>
      <c r="L134" s="714" t="s">
        <v>906</v>
      </c>
      <c r="M134" s="617"/>
      <c r="N134" s="369">
        <f>ROUND(K134*(2/3),2)</f>
        <v>0</v>
      </c>
      <c r="O134" s="715" t="s">
        <v>1916</v>
      </c>
      <c r="P134" s="1573"/>
    </row>
    <row r="135" spans="1:16" ht="15">
      <c r="A135" s="616"/>
      <c r="B135" s="617" t="s">
        <v>2074</v>
      </c>
      <c r="C135" s="617"/>
      <c r="D135" s="617"/>
      <c r="E135" s="617"/>
      <c r="F135" s="617"/>
      <c r="G135" s="617"/>
      <c r="H135" s="713"/>
      <c r="I135" s="713"/>
      <c r="J135" s="713"/>
      <c r="K135" s="713"/>
      <c r="L135" s="713"/>
      <c r="M135" s="617"/>
      <c r="N135" s="369">
        <f>IF(B79="",0,MAX(N104-N56,0))</f>
        <v>0</v>
      </c>
      <c r="O135" s="715" t="s">
        <v>2456</v>
      </c>
      <c r="P135" s="1573"/>
    </row>
    <row r="136" spans="1:16" ht="15">
      <c r="A136" s="616"/>
      <c r="B136" s="617"/>
      <c r="C136" s="617"/>
      <c r="D136" s="617"/>
      <c r="E136" s="617"/>
      <c r="F136" s="617"/>
      <c r="G136" s="617"/>
      <c r="H136" s="617"/>
      <c r="I136" s="617"/>
      <c r="J136" s="617"/>
      <c r="K136" s="617"/>
      <c r="L136" s="617"/>
      <c r="M136" s="617"/>
      <c r="N136" s="617"/>
      <c r="O136" s="702"/>
      <c r="P136" s="1573"/>
    </row>
    <row r="137" spans="1:16" ht="15.75">
      <c r="A137" s="616"/>
      <c r="B137" s="617" t="s">
        <v>2075</v>
      </c>
      <c r="C137" s="617"/>
      <c r="D137" s="617"/>
      <c r="E137" s="617"/>
      <c r="F137" s="617"/>
      <c r="G137" s="617"/>
      <c r="H137" s="617"/>
      <c r="I137" s="617"/>
      <c r="J137" s="713"/>
      <c r="K137" s="713"/>
      <c r="L137" s="713"/>
      <c r="M137" s="617"/>
      <c r="N137" s="369">
        <f>IF(B79="",MINA(N130,N132,N133,N134),MINA(N130,N132,N133,N134,N135))</f>
        <v>0</v>
      </c>
      <c r="O137" s="715" t="s">
        <v>1917</v>
      </c>
      <c r="P137" s="1573"/>
    </row>
    <row r="138" spans="1:16" ht="15">
      <c r="A138" s="616"/>
      <c r="B138" s="617" t="s">
        <v>2073</v>
      </c>
      <c r="C138" s="617"/>
      <c r="D138" s="617"/>
      <c r="E138" s="617"/>
      <c r="F138" s="617"/>
      <c r="G138" s="617"/>
      <c r="H138" s="617"/>
      <c r="I138" s="617"/>
      <c r="J138" s="713"/>
      <c r="K138" s="713"/>
      <c r="L138" s="713"/>
      <c r="M138" s="617"/>
      <c r="N138" s="369">
        <f>IF(B79="",N65,N108)</f>
        <v>0</v>
      </c>
      <c r="O138" s="715" t="s">
        <v>2016</v>
      </c>
      <c r="P138" s="1573"/>
    </row>
    <row r="139" spans="1:16" ht="15.75">
      <c r="A139" s="616"/>
      <c r="B139" s="617" t="s">
        <v>980</v>
      </c>
      <c r="C139" s="617"/>
      <c r="D139" s="617"/>
      <c r="E139" s="617"/>
      <c r="F139" s="617"/>
      <c r="G139" s="617"/>
      <c r="H139" s="617"/>
      <c r="I139" s="713"/>
      <c r="J139" s="713"/>
      <c r="K139" s="617"/>
      <c r="L139" s="710" t="s">
        <v>415</v>
      </c>
      <c r="M139" s="617"/>
      <c r="N139" s="654">
        <f>IF(N56=N58,IF(N63&gt;0,0,N137+N138),0)</f>
        <v>0</v>
      </c>
      <c r="O139" s="715" t="s">
        <v>1804</v>
      </c>
      <c r="P139" s="1573"/>
    </row>
    <row r="140" spans="1:16" ht="15">
      <c r="A140" s="620"/>
      <c r="B140" s="618"/>
      <c r="C140" s="618"/>
      <c r="D140" s="618"/>
      <c r="E140" s="618"/>
      <c r="F140" s="618"/>
      <c r="G140" s="618"/>
      <c r="H140" s="618"/>
      <c r="I140" s="618"/>
      <c r="J140" s="618"/>
      <c r="K140" s="618"/>
      <c r="L140" s="618"/>
      <c r="M140" s="618"/>
      <c r="N140" s="618"/>
      <c r="O140" s="712"/>
      <c r="P140" s="1573"/>
    </row>
    <row r="141" spans="1:16" ht="7.5" customHeight="1">
      <c r="A141" s="607"/>
      <c r="B141" s="607"/>
      <c r="C141" s="607"/>
      <c r="D141" s="607"/>
      <c r="E141" s="607"/>
      <c r="F141" s="607"/>
      <c r="G141" s="607"/>
      <c r="H141" s="607"/>
      <c r="I141" s="607"/>
      <c r="J141" s="607"/>
      <c r="K141" s="607"/>
      <c r="L141" s="607"/>
      <c r="M141" s="617"/>
      <c r="N141" s="607"/>
      <c r="O141" s="607"/>
      <c r="P141" s="1573"/>
    </row>
  </sheetData>
  <sheetProtection password="EC35" sheet="1" objects="1" scenarios="1"/>
  <mergeCells count="18">
    <mergeCell ref="I101:J101"/>
    <mergeCell ref="P1:P141"/>
    <mergeCell ref="B79:G79"/>
    <mergeCell ref="B24:G24"/>
    <mergeCell ref="B30:C30"/>
    <mergeCell ref="B31:C31"/>
    <mergeCell ref="B32:C32"/>
    <mergeCell ref="G34:L34"/>
    <mergeCell ref="G30:L30"/>
    <mergeCell ref="G31:L31"/>
    <mergeCell ref="G32:L32"/>
    <mergeCell ref="G33:L33"/>
    <mergeCell ref="B33:C33"/>
    <mergeCell ref="B34:C34"/>
    <mergeCell ref="B18:G18"/>
    <mergeCell ref="B19:G19"/>
    <mergeCell ref="B21:G21"/>
    <mergeCell ref="B20:G20"/>
  </mergeCells>
  <hyperlinks>
    <hyperlink ref="P1:P141" location="'GO TO'!G16" display=" "/>
  </hyperlinks>
  <printOptions horizontalCentered="1"/>
  <pageMargins left="0" right="0" top="0" bottom="0" header="0.5" footer="0.3"/>
  <pageSetup fitToHeight="0" fitToWidth="1" horizontalDpi="600" verticalDpi="600" orientation="portrait" scale="70" r:id="rId4"/>
  <headerFooter alignWithMargins="0">
    <oddFooter>&amp;LT778 E (05)
&amp;C(Vous pouvez obtenir ce formulaire en francais a www.arc.gc.ca ou au 1 800 959-3376. )
</oddFooter>
  </headerFooter>
  <rowBreaks count="1" manualBreakCount="1">
    <brk id="71" max="255" man="1"/>
  </rowBreaks>
  <drawing r:id="rId3"/>
  <legacyDrawing r:id="rId2"/>
</worksheet>
</file>

<file path=xl/worksheets/sheet34.xml><?xml version="1.0" encoding="utf-8"?>
<worksheet xmlns="http://schemas.openxmlformats.org/spreadsheetml/2006/main" xmlns:r="http://schemas.openxmlformats.org/officeDocument/2006/relationships">
  <sheetPr codeName="Sheet24">
    <pageSetUpPr fitToPage="1"/>
  </sheetPr>
  <dimension ref="A1:R142"/>
  <sheetViews>
    <sheetView zoomScale="75" zoomScaleNormal="75" zoomScaleSheetLayoutView="70" workbookViewId="0" topLeftCell="A1">
      <selection activeCell="A3" sqref="A3"/>
    </sheetView>
  </sheetViews>
  <sheetFormatPr defaultColWidth="8.88671875" defaultRowHeight="15"/>
  <cols>
    <col min="1" max="2" width="1.77734375" style="0" customWidth="1"/>
    <col min="3" max="3" width="10.10546875" style="0" customWidth="1"/>
    <col min="4" max="4" width="14.21484375" style="0" customWidth="1"/>
    <col min="5" max="5" width="3.99609375" style="0" customWidth="1"/>
    <col min="6" max="6" width="5.3359375" style="0" customWidth="1"/>
    <col min="7" max="7" width="2.10546875" style="0" customWidth="1"/>
    <col min="8" max="8" width="11.77734375" style="0" customWidth="1"/>
    <col min="9" max="9" width="4.5546875" style="0" customWidth="1"/>
    <col min="10" max="10" width="12.77734375" style="0" customWidth="1"/>
    <col min="11" max="11" width="3.6640625" style="0" customWidth="1"/>
    <col min="12" max="12" width="12.77734375" style="0" customWidth="1"/>
    <col min="13" max="13" width="5.3359375" style="0" customWidth="1"/>
    <col min="14" max="14" width="16.4453125" style="0" customWidth="1"/>
    <col min="15" max="15" width="4.10546875" style="0" customWidth="1"/>
    <col min="16" max="17" width="2.77734375" style="0" customWidth="1"/>
    <col min="18" max="18" width="6.77734375" style="0" customWidth="1"/>
  </cols>
  <sheetData>
    <row r="1" spans="1:18" ht="15">
      <c r="A1" s="112"/>
      <c r="B1" s="112"/>
      <c r="C1" s="112"/>
      <c r="D1" s="802" t="s">
        <v>181</v>
      </c>
      <c r="E1" s="802" t="s">
        <v>183</v>
      </c>
      <c r="F1" s="112"/>
      <c r="G1" s="112"/>
      <c r="H1" s="112"/>
      <c r="I1" s="112"/>
      <c r="J1" s="112"/>
      <c r="K1" s="112"/>
      <c r="L1" s="112"/>
      <c r="M1" s="112"/>
      <c r="N1" s="112"/>
      <c r="O1" s="112"/>
      <c r="P1" s="112"/>
      <c r="Q1" s="112"/>
      <c r="R1" s="1508" t="s">
        <v>1659</v>
      </c>
    </row>
    <row r="2" spans="1:18" ht="15">
      <c r="A2" s="112"/>
      <c r="B2" s="112"/>
      <c r="C2" s="112"/>
      <c r="D2" s="1058" t="s">
        <v>182</v>
      </c>
      <c r="E2" s="1058" t="s">
        <v>184</v>
      </c>
      <c r="F2" s="112"/>
      <c r="G2" s="112"/>
      <c r="H2" s="112"/>
      <c r="I2" s="112"/>
      <c r="J2" s="112"/>
      <c r="K2" s="112"/>
      <c r="L2" s="112"/>
      <c r="M2" s="112"/>
      <c r="N2" s="112"/>
      <c r="O2" s="112"/>
      <c r="P2" s="112"/>
      <c r="Q2" s="112"/>
      <c r="R2" s="1508"/>
    </row>
    <row r="3" spans="1:18" ht="29.25" customHeight="1">
      <c r="A3" s="112"/>
      <c r="B3" s="112"/>
      <c r="C3" s="112"/>
      <c r="D3" s="1058"/>
      <c r="E3" s="1273" t="s">
        <v>319</v>
      </c>
      <c r="F3" s="112"/>
      <c r="G3" s="112"/>
      <c r="H3" s="112"/>
      <c r="I3" s="112"/>
      <c r="J3" s="112"/>
      <c r="K3" s="112"/>
      <c r="L3" s="112"/>
      <c r="M3" s="112"/>
      <c r="N3" s="112"/>
      <c r="O3" s="112"/>
      <c r="P3" s="112"/>
      <c r="Q3" s="112"/>
      <c r="R3" s="1508"/>
    </row>
    <row r="4" spans="1:18" ht="6" customHeight="1">
      <c r="A4" s="112"/>
      <c r="B4" s="112"/>
      <c r="C4" s="112"/>
      <c r="D4" s="112"/>
      <c r="E4" s="112"/>
      <c r="F4" s="112"/>
      <c r="G4" s="112"/>
      <c r="H4" s="112"/>
      <c r="I4" s="112"/>
      <c r="J4" s="112"/>
      <c r="K4" s="112"/>
      <c r="L4" s="112"/>
      <c r="M4" s="112"/>
      <c r="N4" s="112"/>
      <c r="O4" s="112"/>
      <c r="P4" s="112"/>
      <c r="Q4" s="112"/>
      <c r="R4" s="1508"/>
    </row>
    <row r="5" spans="1:18" ht="15">
      <c r="A5" s="112"/>
      <c r="B5" s="112" t="s">
        <v>317</v>
      </c>
      <c r="C5" s="112"/>
      <c r="D5" s="112"/>
      <c r="E5" s="112"/>
      <c r="F5" s="112"/>
      <c r="G5" s="112"/>
      <c r="H5" s="112"/>
      <c r="I5" s="112"/>
      <c r="J5" s="112"/>
      <c r="K5" s="112"/>
      <c r="L5" s="112"/>
      <c r="M5" s="112"/>
      <c r="N5" s="112"/>
      <c r="O5" s="112"/>
      <c r="P5" s="112"/>
      <c r="Q5" s="112"/>
      <c r="R5" s="1508"/>
    </row>
    <row r="6" spans="1:18" ht="15">
      <c r="A6" s="112"/>
      <c r="B6" s="112" t="s">
        <v>318</v>
      </c>
      <c r="C6" s="112"/>
      <c r="D6" s="112"/>
      <c r="E6" s="112"/>
      <c r="F6" s="112"/>
      <c r="G6" s="112"/>
      <c r="H6" s="112"/>
      <c r="I6" s="112"/>
      <c r="J6" s="112"/>
      <c r="K6" s="112"/>
      <c r="L6" s="112"/>
      <c r="M6" s="112"/>
      <c r="N6" s="112"/>
      <c r="O6" s="112"/>
      <c r="P6" s="112"/>
      <c r="Q6" s="112"/>
      <c r="R6" s="1508"/>
    </row>
    <row r="7" spans="1:18" ht="15">
      <c r="A7" s="112"/>
      <c r="B7" s="112"/>
      <c r="C7" s="112"/>
      <c r="D7" s="112"/>
      <c r="E7" s="112"/>
      <c r="F7" s="112"/>
      <c r="G7" s="112"/>
      <c r="H7" s="112"/>
      <c r="I7" s="112"/>
      <c r="J7" s="112"/>
      <c r="K7" s="112"/>
      <c r="L7" s="112"/>
      <c r="M7" s="112"/>
      <c r="N7" s="112"/>
      <c r="O7" s="112"/>
      <c r="P7" s="112"/>
      <c r="Q7" s="112"/>
      <c r="R7" s="1508"/>
    </row>
    <row r="8" spans="1:18" ht="15">
      <c r="A8" s="112"/>
      <c r="B8" s="1274" t="s">
        <v>1705</v>
      </c>
      <c r="C8" s="112" t="s">
        <v>1579</v>
      </c>
      <c r="D8" s="112"/>
      <c r="E8" s="112"/>
      <c r="F8" s="112"/>
      <c r="G8" s="112"/>
      <c r="H8" s="112"/>
      <c r="I8" s="112"/>
      <c r="J8" s="112"/>
      <c r="K8" s="112"/>
      <c r="L8" s="112"/>
      <c r="M8" s="112"/>
      <c r="N8" s="112"/>
      <c r="O8" s="112"/>
      <c r="P8" s="112"/>
      <c r="Q8" s="112"/>
      <c r="R8" s="1508"/>
    </row>
    <row r="9" spans="1:18" ht="15">
      <c r="A9" s="112"/>
      <c r="B9" s="112"/>
      <c r="C9" s="112" t="s">
        <v>1704</v>
      </c>
      <c r="D9" s="112"/>
      <c r="E9" s="112"/>
      <c r="F9" s="112"/>
      <c r="G9" s="112"/>
      <c r="H9" s="112"/>
      <c r="I9" s="112"/>
      <c r="J9" s="112"/>
      <c r="K9" s="112"/>
      <c r="L9" s="112"/>
      <c r="M9" s="112"/>
      <c r="N9" s="112"/>
      <c r="O9" s="112"/>
      <c r="P9" s="112"/>
      <c r="Q9" s="112"/>
      <c r="R9" s="1508"/>
    </row>
    <row r="10" spans="1:18" ht="26.25" customHeight="1">
      <c r="A10" s="112"/>
      <c r="B10" s="1274" t="s">
        <v>1705</v>
      </c>
      <c r="C10" s="112" t="s">
        <v>1706</v>
      </c>
      <c r="D10" s="112"/>
      <c r="E10" s="112"/>
      <c r="F10" s="112"/>
      <c r="G10" s="112"/>
      <c r="H10" s="112"/>
      <c r="I10" s="112"/>
      <c r="J10" s="112"/>
      <c r="K10" s="112"/>
      <c r="L10" s="112"/>
      <c r="M10" s="112"/>
      <c r="N10" s="112"/>
      <c r="O10" s="112"/>
      <c r="P10" s="112"/>
      <c r="Q10" s="112"/>
      <c r="R10" s="1508"/>
    </row>
    <row r="11" spans="1:18" ht="24" customHeight="1">
      <c r="A11" s="112"/>
      <c r="B11" s="1274" t="s">
        <v>1705</v>
      </c>
      <c r="C11" s="112" t="s">
        <v>1707</v>
      </c>
      <c r="D11" s="112"/>
      <c r="E11" s="112"/>
      <c r="F11" s="112"/>
      <c r="G11" s="112"/>
      <c r="H11" s="112"/>
      <c r="I11" s="112"/>
      <c r="J11" s="112"/>
      <c r="K11" s="112"/>
      <c r="L11" s="112"/>
      <c r="M11" s="112"/>
      <c r="N11" s="112"/>
      <c r="O11" s="112"/>
      <c r="P11" s="112"/>
      <c r="Q11" s="112"/>
      <c r="R11" s="1508"/>
    </row>
    <row r="12" spans="1:18" ht="15">
      <c r="A12" s="112"/>
      <c r="B12" s="112"/>
      <c r="C12" s="112"/>
      <c r="D12" s="112"/>
      <c r="E12" s="112"/>
      <c r="F12" s="112"/>
      <c r="G12" s="112"/>
      <c r="H12" s="112"/>
      <c r="I12" s="112"/>
      <c r="J12" s="112"/>
      <c r="K12" s="112"/>
      <c r="L12" s="112"/>
      <c r="M12" s="112"/>
      <c r="N12" s="112"/>
      <c r="O12" s="112"/>
      <c r="P12" s="112"/>
      <c r="Q12" s="112"/>
      <c r="R12" s="1508"/>
    </row>
    <row r="13" spans="1:18" ht="15">
      <c r="A13" s="112"/>
      <c r="B13" s="112" t="s">
        <v>1708</v>
      </c>
      <c r="C13" s="112"/>
      <c r="D13" s="112"/>
      <c r="E13" s="112"/>
      <c r="F13" s="112"/>
      <c r="G13" s="112"/>
      <c r="H13" s="112"/>
      <c r="I13" s="112"/>
      <c r="J13" s="112"/>
      <c r="K13" s="112"/>
      <c r="L13" s="112"/>
      <c r="M13" s="112"/>
      <c r="N13" s="112"/>
      <c r="O13" s="112"/>
      <c r="P13" s="112"/>
      <c r="Q13" s="112"/>
      <c r="R13" s="1508"/>
    </row>
    <row r="14" spans="1:18" ht="15">
      <c r="A14" s="112"/>
      <c r="B14" s="112" t="s">
        <v>1712</v>
      </c>
      <c r="C14" s="112"/>
      <c r="D14" s="112"/>
      <c r="E14" s="112"/>
      <c r="F14" s="112"/>
      <c r="G14" s="112"/>
      <c r="H14" s="112"/>
      <c r="I14" s="112"/>
      <c r="J14" s="112"/>
      <c r="K14" s="112"/>
      <c r="L14" s="112"/>
      <c r="M14" s="112"/>
      <c r="N14" s="112"/>
      <c r="O14" s="112"/>
      <c r="P14" s="112"/>
      <c r="Q14" s="112"/>
      <c r="R14" s="1508"/>
    </row>
    <row r="15" spans="1:18" ht="15">
      <c r="A15" s="112"/>
      <c r="B15" s="112"/>
      <c r="C15" s="112"/>
      <c r="D15" s="112"/>
      <c r="E15" s="112"/>
      <c r="F15" s="112"/>
      <c r="G15" s="112"/>
      <c r="H15" s="112"/>
      <c r="I15" s="112"/>
      <c r="J15" s="112"/>
      <c r="K15" s="112"/>
      <c r="L15" s="112"/>
      <c r="M15" s="112"/>
      <c r="N15" s="112"/>
      <c r="O15" s="112"/>
      <c r="P15" s="112"/>
      <c r="Q15" s="112"/>
      <c r="R15" s="1508"/>
    </row>
    <row r="16" spans="1:18" ht="15.75">
      <c r="A16" s="112"/>
      <c r="B16" s="112" t="s">
        <v>320</v>
      </c>
      <c r="C16" s="112"/>
      <c r="D16" s="112"/>
      <c r="E16" s="112"/>
      <c r="F16" s="112"/>
      <c r="G16" s="112"/>
      <c r="H16" s="112"/>
      <c r="I16" s="112"/>
      <c r="J16" s="112"/>
      <c r="K16" s="112"/>
      <c r="L16" s="112"/>
      <c r="M16" s="112"/>
      <c r="N16" s="112"/>
      <c r="O16" s="112"/>
      <c r="P16" s="112"/>
      <c r="Q16" s="112"/>
      <c r="R16" s="1508"/>
    </row>
    <row r="17" spans="1:18" ht="15">
      <c r="A17" s="112"/>
      <c r="B17" s="112"/>
      <c r="C17" s="112"/>
      <c r="D17" s="112"/>
      <c r="E17" s="112"/>
      <c r="F17" s="112"/>
      <c r="G17" s="112"/>
      <c r="H17" s="112"/>
      <c r="I17" s="112"/>
      <c r="J17" s="112"/>
      <c r="K17" s="112"/>
      <c r="L17" s="112"/>
      <c r="M17" s="112"/>
      <c r="N17" s="112"/>
      <c r="O17" s="112"/>
      <c r="P17" s="112"/>
      <c r="Q17" s="112"/>
      <c r="R17" s="1508"/>
    </row>
    <row r="18" spans="1:18" ht="20.25">
      <c r="A18" s="112"/>
      <c r="B18" s="1269"/>
      <c r="C18" s="1276" t="s">
        <v>316</v>
      </c>
      <c r="D18" s="1139"/>
      <c r="E18" s="1139"/>
      <c r="F18" s="1139"/>
      <c r="G18" s="1139"/>
      <c r="H18" s="1139"/>
      <c r="I18" s="1139"/>
      <c r="J18" s="1139"/>
      <c r="K18" s="1139"/>
      <c r="L18" s="1139"/>
      <c r="M18" s="1139"/>
      <c r="N18" s="1139"/>
      <c r="O18" s="1278" t="s">
        <v>1719</v>
      </c>
      <c r="P18" s="1277"/>
      <c r="Q18" s="112"/>
      <c r="R18" s="1508"/>
    </row>
    <row r="19" spans="1:18" ht="18">
      <c r="A19" s="112"/>
      <c r="B19" s="1270"/>
      <c r="C19" s="112"/>
      <c r="D19" s="112"/>
      <c r="E19" s="112"/>
      <c r="F19" s="112"/>
      <c r="G19" s="112"/>
      <c r="H19" s="112"/>
      <c r="I19" s="112"/>
      <c r="J19" s="112"/>
      <c r="K19" s="112"/>
      <c r="L19" s="112"/>
      <c r="M19" s="112"/>
      <c r="N19" s="112"/>
      <c r="O19" s="1279" t="str">
        <f>yeartext</f>
        <v>2007</v>
      </c>
      <c r="P19" s="128"/>
      <c r="Q19" s="112"/>
      <c r="R19" s="1508"/>
    </row>
    <row r="20" spans="1:18" ht="18">
      <c r="A20" s="112"/>
      <c r="B20" s="1270"/>
      <c r="C20" s="1272" t="s">
        <v>1713</v>
      </c>
      <c r="D20" s="112"/>
      <c r="E20" s="112"/>
      <c r="F20" s="112"/>
      <c r="G20" s="112"/>
      <c r="H20" s="112"/>
      <c r="I20" s="112"/>
      <c r="J20" s="112"/>
      <c r="K20" s="112"/>
      <c r="L20" s="112"/>
      <c r="M20" s="112"/>
      <c r="N20" s="112"/>
      <c r="O20" s="112"/>
      <c r="P20" s="128"/>
      <c r="Q20" s="112"/>
      <c r="R20" s="1508"/>
    </row>
    <row r="21" spans="1:18" ht="6" customHeight="1">
      <c r="A21" s="112"/>
      <c r="B21" s="1270"/>
      <c r="C21" s="112"/>
      <c r="D21" s="112"/>
      <c r="E21" s="112"/>
      <c r="F21" s="112"/>
      <c r="G21" s="112"/>
      <c r="H21" s="112"/>
      <c r="I21" s="112"/>
      <c r="J21" s="112"/>
      <c r="K21" s="112"/>
      <c r="L21" s="112"/>
      <c r="M21" s="112"/>
      <c r="N21" s="112"/>
      <c r="O21" s="112"/>
      <c r="P21" s="128"/>
      <c r="Q21" s="112"/>
      <c r="R21" s="1508"/>
    </row>
    <row r="22" spans="1:18" ht="15">
      <c r="A22" s="112"/>
      <c r="B22" s="1269" t="s">
        <v>1714</v>
      </c>
      <c r="C22" s="1139"/>
      <c r="D22" s="1139"/>
      <c r="E22" s="1139"/>
      <c r="F22" s="1139"/>
      <c r="G22" s="1139"/>
      <c r="H22" s="1139"/>
      <c r="I22" s="1139"/>
      <c r="J22" s="1139" t="s">
        <v>1341</v>
      </c>
      <c r="K22" s="1139"/>
      <c r="L22" s="1139"/>
      <c r="M22" s="1139"/>
      <c r="N22" s="1139" t="s">
        <v>1387</v>
      </c>
      <c r="O22" s="1139"/>
      <c r="P22" s="1277"/>
      <c r="Q22" s="112"/>
      <c r="R22" s="1508"/>
    </row>
    <row r="23" spans="1:18" ht="15" customHeight="1">
      <c r="A23" s="112"/>
      <c r="B23" s="1270"/>
      <c r="C23" s="112"/>
      <c r="D23" s="1681">
        <f>surname</f>
        <v>0</v>
      </c>
      <c r="E23" s="1681"/>
      <c r="F23" s="1681"/>
      <c r="G23" s="1681"/>
      <c r="H23" s="1682"/>
      <c r="I23" s="112"/>
      <c r="J23" s="1681">
        <f>givenname1</f>
        <v>0</v>
      </c>
      <c r="K23" s="1681"/>
      <c r="L23" s="1681"/>
      <c r="M23" s="112"/>
      <c r="N23" s="1683">
        <f>sin</f>
        <v>0</v>
      </c>
      <c r="O23" s="1684"/>
      <c r="P23" s="128"/>
      <c r="Q23" s="112"/>
      <c r="R23" s="1508"/>
    </row>
    <row r="24" spans="1:18" ht="15">
      <c r="A24" s="112"/>
      <c r="B24" s="1269" t="s">
        <v>1715</v>
      </c>
      <c r="C24" s="1139"/>
      <c r="D24" s="1139"/>
      <c r="E24" s="1139"/>
      <c r="F24" s="1139"/>
      <c r="G24" s="1139"/>
      <c r="H24" s="1139"/>
      <c r="I24" s="1139"/>
      <c r="J24" s="1139"/>
      <c r="K24" s="1139"/>
      <c r="L24" s="1139"/>
      <c r="M24" s="1139"/>
      <c r="N24" s="1139"/>
      <c r="O24" s="1139"/>
      <c r="P24" s="1277"/>
      <c r="Q24" s="112"/>
      <c r="R24" s="1508"/>
    </row>
    <row r="25" spans="1:18" ht="15">
      <c r="A25" s="112"/>
      <c r="B25" s="1280"/>
      <c r="C25" s="125"/>
      <c r="D25" s="1685"/>
      <c r="E25" s="1685"/>
      <c r="F25" s="1685"/>
      <c r="G25" s="1685"/>
      <c r="H25" s="1685"/>
      <c r="I25" s="1685"/>
      <c r="J25" s="1685"/>
      <c r="K25" s="1685"/>
      <c r="L25" s="1685"/>
      <c r="M25" s="1685"/>
      <c r="N25" s="1685"/>
      <c r="O25" s="1685"/>
      <c r="P25" s="129"/>
      <c r="Q25" s="112"/>
      <c r="R25" s="1508"/>
    </row>
    <row r="26" spans="1:18" ht="15">
      <c r="A26" s="112"/>
      <c r="B26" s="1270"/>
      <c r="C26" s="112"/>
      <c r="D26" s="112"/>
      <c r="E26" s="112"/>
      <c r="F26" s="112"/>
      <c r="G26" s="112"/>
      <c r="H26" s="112"/>
      <c r="I26" s="112"/>
      <c r="J26" s="112"/>
      <c r="K26" s="112"/>
      <c r="L26" s="112"/>
      <c r="M26" s="112"/>
      <c r="N26" s="112"/>
      <c r="O26" s="112"/>
      <c r="P26" s="1277"/>
      <c r="Q26" s="112"/>
      <c r="R26" s="1508"/>
    </row>
    <row r="27" spans="1:18" ht="18">
      <c r="A27" s="112"/>
      <c r="B27" s="1270"/>
      <c r="C27" s="1272" t="s">
        <v>1720</v>
      </c>
      <c r="D27" s="112"/>
      <c r="E27" s="112"/>
      <c r="F27" s="112"/>
      <c r="G27" s="112"/>
      <c r="H27" s="112"/>
      <c r="I27" s="112"/>
      <c r="J27" s="112"/>
      <c r="K27" s="112"/>
      <c r="L27" s="112"/>
      <c r="M27" s="112"/>
      <c r="N27" s="112"/>
      <c r="O27" s="112"/>
      <c r="P27" s="128"/>
      <c r="Q27" s="112"/>
      <c r="R27" s="1508"/>
    </row>
    <row r="28" spans="1:18" ht="6" customHeight="1">
      <c r="A28" s="112"/>
      <c r="B28" s="1270"/>
      <c r="C28" s="112"/>
      <c r="D28" s="112"/>
      <c r="E28" s="112"/>
      <c r="F28" s="112"/>
      <c r="G28" s="112"/>
      <c r="H28" s="112"/>
      <c r="I28" s="112"/>
      <c r="J28" s="112"/>
      <c r="K28" s="112"/>
      <c r="L28" s="112"/>
      <c r="M28" s="112"/>
      <c r="N28" s="112"/>
      <c r="O28" s="112"/>
      <c r="P28" s="129"/>
      <c r="Q28" s="112"/>
      <c r="R28" s="1508"/>
    </row>
    <row r="29" spans="1:18" ht="15">
      <c r="A29" s="112"/>
      <c r="B29" s="1269" t="s">
        <v>1714</v>
      </c>
      <c r="C29" s="1139"/>
      <c r="D29" s="1139"/>
      <c r="E29" s="1139"/>
      <c r="F29" s="1139"/>
      <c r="G29" s="1139"/>
      <c r="H29" s="1139"/>
      <c r="I29" s="1139"/>
      <c r="J29" s="1139" t="s">
        <v>1341</v>
      </c>
      <c r="K29" s="1139"/>
      <c r="L29" s="1139"/>
      <c r="M29" s="1139"/>
      <c r="N29" s="1139" t="s">
        <v>1387</v>
      </c>
      <c r="O29" s="1139"/>
      <c r="P29" s="1277"/>
      <c r="Q29" s="112"/>
      <c r="R29" s="1508"/>
    </row>
    <row r="30" spans="1:18" ht="18">
      <c r="A30" s="112"/>
      <c r="B30" s="1270"/>
      <c r="C30" s="112"/>
      <c r="D30" s="1680"/>
      <c r="E30" s="1680"/>
      <c r="F30" s="1680"/>
      <c r="G30" s="1680"/>
      <c r="H30" s="1632"/>
      <c r="I30" s="112"/>
      <c r="J30" s="1681">
        <f>givenname2</f>
        <v>0</v>
      </c>
      <c r="K30" s="1681"/>
      <c r="L30" s="1681"/>
      <c r="M30" s="112"/>
      <c r="N30" s="1683">
        <f>sin2</f>
        <v>0</v>
      </c>
      <c r="O30" s="1684"/>
      <c r="P30" s="128"/>
      <c r="Q30" s="112"/>
      <c r="R30" s="1508"/>
    </row>
    <row r="31" spans="1:18" ht="15">
      <c r="A31" s="112"/>
      <c r="B31" s="1269" t="s">
        <v>1715</v>
      </c>
      <c r="C31" s="1139"/>
      <c r="D31" s="1139"/>
      <c r="E31" s="1139"/>
      <c r="F31" s="1139"/>
      <c r="G31" s="1139"/>
      <c r="H31" s="1139"/>
      <c r="I31" s="1139"/>
      <c r="J31" s="1139"/>
      <c r="K31" s="1139"/>
      <c r="L31" s="1139"/>
      <c r="M31" s="1139"/>
      <c r="N31" s="1139"/>
      <c r="O31" s="1139"/>
      <c r="P31" s="1277"/>
      <c r="Q31" s="112"/>
      <c r="R31" s="1508"/>
    </row>
    <row r="32" spans="1:18" ht="15">
      <c r="A32" s="112"/>
      <c r="B32" s="1280"/>
      <c r="C32" s="125"/>
      <c r="D32" s="1685"/>
      <c r="E32" s="1685"/>
      <c r="F32" s="1685"/>
      <c r="G32" s="1685"/>
      <c r="H32" s="1685"/>
      <c r="I32" s="1685"/>
      <c r="J32" s="1685"/>
      <c r="K32" s="1685"/>
      <c r="L32" s="1685"/>
      <c r="M32" s="1685"/>
      <c r="N32" s="1685"/>
      <c r="O32" s="1685"/>
      <c r="P32" s="129"/>
      <c r="Q32" s="112"/>
      <c r="R32" s="1508"/>
    </row>
    <row r="33" spans="1:18" ht="15">
      <c r="A33" s="112"/>
      <c r="B33" s="112"/>
      <c r="C33" s="112"/>
      <c r="D33" s="112"/>
      <c r="E33" s="112"/>
      <c r="F33" s="112"/>
      <c r="G33" s="112"/>
      <c r="H33" s="112"/>
      <c r="I33" s="112"/>
      <c r="J33" s="112"/>
      <c r="K33" s="112"/>
      <c r="L33" s="112"/>
      <c r="M33" s="112"/>
      <c r="N33" s="112"/>
      <c r="O33" s="112"/>
      <c r="P33" s="112"/>
      <c r="Q33" s="112"/>
      <c r="R33" s="1508"/>
    </row>
    <row r="34" spans="1:18" ht="20.25">
      <c r="A34" s="112"/>
      <c r="B34" s="1269"/>
      <c r="C34" s="1276" t="s">
        <v>1716</v>
      </c>
      <c r="D34" s="1139"/>
      <c r="E34" s="1139"/>
      <c r="F34" s="1139"/>
      <c r="G34" s="1139"/>
      <c r="H34" s="1139"/>
      <c r="I34" s="1139"/>
      <c r="J34" s="1139"/>
      <c r="K34" s="1139"/>
      <c r="L34" s="1139"/>
      <c r="M34" s="1139"/>
      <c r="N34" s="1139"/>
      <c r="O34" s="1139"/>
      <c r="P34" s="1277"/>
      <c r="Q34" s="112"/>
      <c r="R34" s="1508"/>
    </row>
    <row r="35" spans="1:18" ht="6" customHeight="1">
      <c r="A35" s="112"/>
      <c r="B35" s="1270"/>
      <c r="C35" s="112"/>
      <c r="D35" s="112"/>
      <c r="E35" s="112"/>
      <c r="F35" s="112"/>
      <c r="G35" s="112"/>
      <c r="H35" s="112"/>
      <c r="I35" s="112"/>
      <c r="J35" s="112"/>
      <c r="K35" s="112"/>
      <c r="L35" s="112"/>
      <c r="M35" s="112"/>
      <c r="N35" s="112"/>
      <c r="O35" s="112"/>
      <c r="P35" s="128"/>
      <c r="Q35" s="112"/>
      <c r="R35" s="1508"/>
    </row>
    <row r="36" spans="1:18" ht="15">
      <c r="A36" s="112"/>
      <c r="B36" s="1270"/>
      <c r="C36" s="112" t="s">
        <v>1717</v>
      </c>
      <c r="D36" s="112"/>
      <c r="E36" s="112"/>
      <c r="F36" s="112"/>
      <c r="G36" s="112"/>
      <c r="H36" s="112"/>
      <c r="I36" s="112"/>
      <c r="J36" s="112"/>
      <c r="K36" s="112"/>
      <c r="L36" s="112"/>
      <c r="M36" s="112"/>
      <c r="N36" s="112"/>
      <c r="O36" s="112"/>
      <c r="P36" s="128"/>
      <c r="Q36" s="112"/>
      <c r="R36" s="1508"/>
    </row>
    <row r="37" spans="1:18" ht="15">
      <c r="A37" s="112"/>
      <c r="B37" s="1270"/>
      <c r="C37" s="112" t="s">
        <v>2410</v>
      </c>
      <c r="D37" s="112"/>
      <c r="E37" s="112"/>
      <c r="F37" s="112"/>
      <c r="G37" s="112"/>
      <c r="H37" s="112"/>
      <c r="I37" s="112"/>
      <c r="J37" s="112"/>
      <c r="K37" s="112"/>
      <c r="L37" s="112"/>
      <c r="M37" s="112"/>
      <c r="N37" s="112"/>
      <c r="O37" s="112"/>
      <c r="P37" s="128"/>
      <c r="Q37" s="112"/>
      <c r="R37" s="1508"/>
    </row>
    <row r="38" spans="1:18" ht="15.75">
      <c r="A38" s="112"/>
      <c r="B38" s="1270"/>
      <c r="C38" s="112" t="s">
        <v>2411</v>
      </c>
      <c r="D38" s="112"/>
      <c r="E38" s="112"/>
      <c r="F38" s="112"/>
      <c r="G38" s="112"/>
      <c r="H38" s="112"/>
      <c r="I38" s="112"/>
      <c r="J38" s="112"/>
      <c r="K38" s="112"/>
      <c r="L38" s="112"/>
      <c r="M38" s="1275" t="s">
        <v>2408</v>
      </c>
      <c r="N38" s="1281">
        <f>'FED WRK'!I78</f>
        <v>0</v>
      </c>
      <c r="O38" s="935" t="s">
        <v>2409</v>
      </c>
      <c r="P38" s="128"/>
      <c r="Q38" s="112"/>
      <c r="R38" s="1508"/>
    </row>
    <row r="39" spans="1:18" ht="15">
      <c r="A39" s="112"/>
      <c r="B39" s="1270"/>
      <c r="C39" s="112"/>
      <c r="D39" s="112"/>
      <c r="E39" s="112"/>
      <c r="F39" s="112"/>
      <c r="G39" s="112"/>
      <c r="H39" s="112"/>
      <c r="I39" s="112"/>
      <c r="J39" s="112"/>
      <c r="K39" s="112"/>
      <c r="L39" s="112"/>
      <c r="M39" s="112"/>
      <c r="N39" s="112"/>
      <c r="O39" s="112"/>
      <c r="P39" s="128"/>
      <c r="Q39" s="112"/>
      <c r="R39" s="1508"/>
    </row>
    <row r="40" spans="1:18" ht="15.75">
      <c r="A40" s="112"/>
      <c r="B40" s="1270"/>
      <c r="C40" s="1271" t="s">
        <v>2407</v>
      </c>
      <c r="D40" s="112"/>
      <c r="E40" s="112"/>
      <c r="F40" s="112"/>
      <c r="G40" s="112"/>
      <c r="H40" s="112"/>
      <c r="I40" s="112"/>
      <c r="J40" s="112"/>
      <c r="K40" s="112"/>
      <c r="L40" s="112"/>
      <c r="M40" s="112"/>
      <c r="N40" s="112"/>
      <c r="O40" s="112"/>
      <c r="P40" s="128"/>
      <c r="Q40" s="112"/>
      <c r="R40" s="1508"/>
    </row>
    <row r="41" spans="1:18" ht="15">
      <c r="A41" s="112"/>
      <c r="B41" s="1270"/>
      <c r="C41" s="112" t="s">
        <v>1721</v>
      </c>
      <c r="D41" s="112"/>
      <c r="E41" s="112"/>
      <c r="F41" s="112"/>
      <c r="G41" s="112"/>
      <c r="H41" s="112"/>
      <c r="I41" s="112"/>
      <c r="J41" s="112"/>
      <c r="K41" s="112"/>
      <c r="L41" s="112"/>
      <c r="M41" s="112"/>
      <c r="N41" s="112"/>
      <c r="O41" s="112"/>
      <c r="P41" s="128"/>
      <c r="Q41" s="112"/>
      <c r="R41" s="1508"/>
    </row>
    <row r="42" spans="1:18" ht="15">
      <c r="A42" s="112"/>
      <c r="B42" s="1270"/>
      <c r="C42" s="112"/>
      <c r="D42" s="112"/>
      <c r="E42" s="112"/>
      <c r="F42" s="112"/>
      <c r="G42" s="112"/>
      <c r="H42" s="112"/>
      <c r="I42" s="112"/>
      <c r="J42" s="112"/>
      <c r="K42" s="112"/>
      <c r="L42" s="112"/>
      <c r="M42" s="112"/>
      <c r="N42" s="112"/>
      <c r="O42" s="112"/>
      <c r="P42" s="128"/>
      <c r="Q42" s="112"/>
      <c r="R42" s="1508"/>
    </row>
    <row r="43" spans="1:18" ht="15">
      <c r="A43" s="112"/>
      <c r="B43" s="1270"/>
      <c r="C43" s="112" t="s">
        <v>2418</v>
      </c>
      <c r="D43" s="112"/>
      <c r="E43" s="112"/>
      <c r="F43" s="112"/>
      <c r="G43" s="112"/>
      <c r="H43" s="112"/>
      <c r="I43" s="112"/>
      <c r="J43" s="112"/>
      <c r="K43" s="112"/>
      <c r="L43" s="112"/>
      <c r="M43" s="112"/>
      <c r="N43" s="112"/>
      <c r="O43" s="112"/>
      <c r="P43" s="128"/>
      <c r="Q43" s="112"/>
      <c r="R43" s="1508"/>
    </row>
    <row r="44" spans="1:18" ht="21" customHeight="1">
      <c r="A44" s="112"/>
      <c r="B44" s="1270"/>
      <c r="C44" s="125" t="s">
        <v>2416</v>
      </c>
      <c r="D44" s="125"/>
      <c r="E44" s="112"/>
      <c r="F44" s="1275" t="s">
        <v>1718</v>
      </c>
      <c r="G44" s="112"/>
      <c r="H44" s="967">
        <v>12</v>
      </c>
      <c r="I44" s="935" t="s">
        <v>2131</v>
      </c>
      <c r="J44" s="1274" t="s">
        <v>2412</v>
      </c>
      <c r="K44" s="112"/>
      <c r="L44" s="1282">
        <f>N38</f>
        <v>0</v>
      </c>
      <c r="M44" s="112"/>
      <c r="N44" s="1283">
        <f>(H44/12)*L44</f>
        <v>0</v>
      </c>
      <c r="O44" s="935" t="s">
        <v>2415</v>
      </c>
      <c r="P44" s="128"/>
      <c r="Q44" s="112"/>
      <c r="R44" s="1508"/>
    </row>
    <row r="45" spans="1:18" ht="15">
      <c r="A45" s="112"/>
      <c r="B45" s="1270"/>
      <c r="C45" s="1687" t="s">
        <v>448</v>
      </c>
      <c r="D45" s="1687"/>
      <c r="E45" s="112"/>
      <c r="F45" s="112"/>
      <c r="G45" s="112"/>
      <c r="H45" s="1284" t="s">
        <v>2414</v>
      </c>
      <c r="I45" s="112"/>
      <c r="J45" s="1274" t="s">
        <v>2413</v>
      </c>
      <c r="K45" s="112"/>
      <c r="L45" s="112"/>
      <c r="M45" s="112"/>
      <c r="N45" s="112"/>
      <c r="O45" s="112"/>
      <c r="P45" s="128"/>
      <c r="Q45" s="112"/>
      <c r="R45" s="1508"/>
    </row>
    <row r="46" spans="1:18" ht="15">
      <c r="A46" s="112"/>
      <c r="B46" s="1270"/>
      <c r="C46" s="1688" t="s">
        <v>2417</v>
      </c>
      <c r="D46" s="1688"/>
      <c r="E46" s="112"/>
      <c r="F46" s="112"/>
      <c r="G46" s="112"/>
      <c r="H46" s="112"/>
      <c r="I46" s="112"/>
      <c r="J46" s="112"/>
      <c r="K46" s="112"/>
      <c r="L46" s="112"/>
      <c r="M46" s="112"/>
      <c r="N46" s="112"/>
      <c r="O46" s="112"/>
      <c r="P46" s="128"/>
      <c r="Q46" s="112"/>
      <c r="R46" s="1508"/>
    </row>
    <row r="47" spans="1:18" ht="20.25" customHeight="1">
      <c r="A47" s="112"/>
      <c r="B47" s="1270"/>
      <c r="C47" s="112"/>
      <c r="D47" s="112"/>
      <c r="E47" s="112"/>
      <c r="F47" s="112"/>
      <c r="G47" s="112"/>
      <c r="H47" s="112"/>
      <c r="I47" s="112"/>
      <c r="J47" s="112"/>
      <c r="K47" s="112"/>
      <c r="L47" s="112"/>
      <c r="M47" s="112"/>
      <c r="N47" s="112"/>
      <c r="O47" s="112"/>
      <c r="P47" s="128"/>
      <c r="Q47" s="112"/>
      <c r="R47" s="1508"/>
    </row>
    <row r="48" spans="1:18" ht="21" customHeight="1">
      <c r="A48" s="112"/>
      <c r="B48" s="1270"/>
      <c r="C48" s="125"/>
      <c r="D48" s="125"/>
      <c r="E48" s="125"/>
      <c r="F48" s="125"/>
      <c r="G48" s="125"/>
      <c r="H48" s="125"/>
      <c r="I48" s="125"/>
      <c r="J48" s="125"/>
      <c r="K48" s="125"/>
      <c r="L48" s="1285" t="s">
        <v>1711</v>
      </c>
      <c r="M48" s="112"/>
      <c r="N48" s="1283">
        <f>IF(H44=0,N38,N44)</f>
        <v>0</v>
      </c>
      <c r="O48" s="935" t="s">
        <v>1709</v>
      </c>
      <c r="P48" s="128"/>
      <c r="Q48" s="112"/>
      <c r="R48" s="1508"/>
    </row>
    <row r="49" spans="1:18" ht="24" customHeight="1">
      <c r="A49" s="112"/>
      <c r="B49" s="1270"/>
      <c r="C49" s="112"/>
      <c r="D49" s="112"/>
      <c r="E49" s="112"/>
      <c r="F49" s="112"/>
      <c r="G49" s="112"/>
      <c r="H49" s="112"/>
      <c r="I49" s="112"/>
      <c r="J49" s="112"/>
      <c r="K49" s="112"/>
      <c r="L49" s="112"/>
      <c r="M49" s="112"/>
      <c r="N49" s="935" t="s">
        <v>2419</v>
      </c>
      <c r="O49" s="112"/>
      <c r="P49" s="128"/>
      <c r="Q49" s="112"/>
      <c r="R49" s="1508"/>
    </row>
    <row r="50" spans="1:18" ht="21" customHeight="1">
      <c r="A50" s="112"/>
      <c r="B50" s="1270"/>
      <c r="C50" s="125"/>
      <c r="D50" s="125"/>
      <c r="E50" s="125"/>
      <c r="F50" s="125"/>
      <c r="G50" s="125"/>
      <c r="H50" s="125"/>
      <c r="I50" s="125"/>
      <c r="J50" s="125"/>
      <c r="K50" s="125"/>
      <c r="L50" s="1285" t="s">
        <v>1710</v>
      </c>
      <c r="M50" s="112"/>
      <c r="N50" s="1283">
        <f>0.5*N48</f>
        <v>0</v>
      </c>
      <c r="O50" s="935" t="s">
        <v>2420</v>
      </c>
      <c r="P50" s="128"/>
      <c r="Q50" s="112"/>
      <c r="R50" s="1508"/>
    </row>
    <row r="51" spans="1:18" ht="15">
      <c r="A51" s="112"/>
      <c r="B51" s="1270"/>
      <c r="C51" s="112"/>
      <c r="D51" s="112"/>
      <c r="E51" s="112"/>
      <c r="F51" s="112"/>
      <c r="G51" s="112"/>
      <c r="H51" s="112"/>
      <c r="I51" s="112"/>
      <c r="J51" s="112"/>
      <c r="K51" s="112"/>
      <c r="L51" s="112"/>
      <c r="M51" s="112"/>
      <c r="N51" s="112"/>
      <c r="O51" s="112"/>
      <c r="P51" s="128"/>
      <c r="Q51" s="112"/>
      <c r="R51" s="1508"/>
    </row>
    <row r="52" spans="1:18" ht="15">
      <c r="A52" s="112"/>
      <c r="B52" s="1280"/>
      <c r="C52" s="125" t="s">
        <v>2421</v>
      </c>
      <c r="D52" s="125"/>
      <c r="E52" s="125"/>
      <c r="F52" s="125"/>
      <c r="G52" s="125"/>
      <c r="H52" s="125"/>
      <c r="I52" s="125"/>
      <c r="J52" s="125"/>
      <c r="K52" s="125"/>
      <c r="L52" s="125"/>
      <c r="M52" s="125"/>
      <c r="N52" s="125"/>
      <c r="O52" s="125"/>
      <c r="P52" s="129"/>
      <c r="Q52" s="112"/>
      <c r="R52" s="1508"/>
    </row>
    <row r="53" spans="1:18" ht="15">
      <c r="A53" s="112"/>
      <c r="B53" s="112"/>
      <c r="C53" s="112"/>
      <c r="D53" s="112"/>
      <c r="E53" s="112"/>
      <c r="F53" s="112"/>
      <c r="G53" s="112"/>
      <c r="H53" s="112"/>
      <c r="I53" s="112"/>
      <c r="J53" s="112"/>
      <c r="K53" s="112"/>
      <c r="L53" s="112"/>
      <c r="M53" s="112"/>
      <c r="N53" s="112"/>
      <c r="O53" s="112"/>
      <c r="P53" s="112"/>
      <c r="Q53" s="112"/>
      <c r="R53" s="1508"/>
    </row>
    <row r="54" spans="1:18" ht="20.25">
      <c r="A54" s="112"/>
      <c r="B54" s="1269"/>
      <c r="C54" s="1276" t="s">
        <v>2422</v>
      </c>
      <c r="D54" s="1139"/>
      <c r="E54" s="1139"/>
      <c r="F54" s="1139"/>
      <c r="G54" s="1139"/>
      <c r="H54" s="1139"/>
      <c r="I54" s="1139"/>
      <c r="J54" s="1139"/>
      <c r="K54" s="1139"/>
      <c r="L54" s="1139"/>
      <c r="M54" s="1139"/>
      <c r="N54" s="1139"/>
      <c r="O54" s="1139"/>
      <c r="P54" s="1277"/>
      <c r="Q54" s="112"/>
      <c r="R54" s="1508"/>
    </row>
    <row r="55" spans="1:18" ht="15">
      <c r="A55" s="112"/>
      <c r="B55" s="1270"/>
      <c r="C55" s="124"/>
      <c r="D55" s="124"/>
      <c r="E55" s="124"/>
      <c r="F55" s="124"/>
      <c r="G55" s="124"/>
      <c r="H55" s="124"/>
      <c r="I55" s="124"/>
      <c r="J55" s="124"/>
      <c r="K55" s="124"/>
      <c r="L55" s="124"/>
      <c r="M55" s="124"/>
      <c r="N55" s="112"/>
      <c r="O55" s="112"/>
      <c r="P55" s="128"/>
      <c r="Q55" s="112"/>
      <c r="R55" s="1508"/>
    </row>
    <row r="56" spans="1:18" ht="15">
      <c r="A56" s="112"/>
      <c r="B56" s="1270"/>
      <c r="C56" s="124" t="s">
        <v>2423</v>
      </c>
      <c r="D56" s="124"/>
      <c r="E56" s="124"/>
      <c r="F56" s="124"/>
      <c r="G56" s="124"/>
      <c r="H56" s="124"/>
      <c r="I56" s="124"/>
      <c r="J56" s="124"/>
      <c r="K56" s="124"/>
      <c r="L56" s="124"/>
      <c r="M56" s="124"/>
      <c r="N56" s="1452">
        <f>IF(N57&gt;N50,"E Amount Exceeds Allowable","")</f>
      </c>
      <c r="O56" s="112"/>
      <c r="P56" s="128"/>
      <c r="Q56" s="112"/>
      <c r="R56" s="1508"/>
    </row>
    <row r="57" spans="1:18" ht="15.75">
      <c r="A57" s="112"/>
      <c r="B57" s="1270"/>
      <c r="C57" s="1288" t="s">
        <v>2424</v>
      </c>
      <c r="D57" s="124"/>
      <c r="E57" s="124"/>
      <c r="F57" s="124"/>
      <c r="G57" s="124"/>
      <c r="H57" s="124"/>
      <c r="I57" s="124"/>
      <c r="J57" s="124"/>
      <c r="K57" s="124"/>
      <c r="L57" s="124"/>
      <c r="M57" s="124"/>
      <c r="N57" s="1286"/>
      <c r="O57" s="935" t="s">
        <v>2426</v>
      </c>
      <c r="P57" s="128"/>
      <c r="Q57" s="112"/>
      <c r="R57" s="1508"/>
    </row>
    <row r="58" spans="1:18" ht="15">
      <c r="A58" s="112"/>
      <c r="B58" s="1270"/>
      <c r="C58" s="124" t="s">
        <v>2425</v>
      </c>
      <c r="D58" s="124"/>
      <c r="E58" s="124"/>
      <c r="F58" s="124"/>
      <c r="G58" s="124"/>
      <c r="H58" s="124"/>
      <c r="I58" s="124"/>
      <c r="J58" s="124"/>
      <c r="K58" s="124"/>
      <c r="L58" s="124"/>
      <c r="M58" s="124"/>
      <c r="N58" s="112"/>
      <c r="O58" s="112"/>
      <c r="P58" s="128"/>
      <c r="Q58" s="112"/>
      <c r="R58" s="1508"/>
    </row>
    <row r="59" spans="1:18" ht="24" customHeight="1">
      <c r="A59" s="112"/>
      <c r="B59" s="1270"/>
      <c r="C59" s="124" t="s">
        <v>2427</v>
      </c>
      <c r="D59" s="124"/>
      <c r="E59" s="124"/>
      <c r="F59" s="124"/>
      <c r="G59" s="124"/>
      <c r="H59" s="124"/>
      <c r="I59" s="124"/>
      <c r="J59" s="124"/>
      <c r="K59" s="124"/>
      <c r="L59" s="124"/>
      <c r="M59" s="124"/>
      <c r="N59" s="112"/>
      <c r="O59" s="112"/>
      <c r="P59" s="128"/>
      <c r="Q59" s="112"/>
      <c r="R59" s="1508"/>
    </row>
    <row r="60" spans="1:18" ht="15.75">
      <c r="A60" s="112"/>
      <c r="B60" s="1270"/>
      <c r="C60" s="124" t="s">
        <v>2428</v>
      </c>
      <c r="D60" s="124"/>
      <c r="E60" s="124"/>
      <c r="F60" s="124"/>
      <c r="G60" s="124"/>
      <c r="H60" s="124"/>
      <c r="I60" s="124"/>
      <c r="J60" s="124"/>
      <c r="K60" s="124"/>
      <c r="L60" s="124"/>
      <c r="M60" s="124"/>
      <c r="N60" s="112"/>
      <c r="O60" s="112"/>
      <c r="P60" s="128"/>
      <c r="Q60" s="112"/>
      <c r="R60" s="1508"/>
    </row>
    <row r="61" spans="1:18" ht="15">
      <c r="A61" s="112"/>
      <c r="B61" s="1280"/>
      <c r="C61" s="125"/>
      <c r="D61" s="125"/>
      <c r="E61" s="125"/>
      <c r="F61" s="125"/>
      <c r="G61" s="125"/>
      <c r="H61" s="125"/>
      <c r="I61" s="125"/>
      <c r="J61" s="125"/>
      <c r="K61" s="125"/>
      <c r="L61" s="125"/>
      <c r="M61" s="125"/>
      <c r="N61" s="1287" t="s">
        <v>2429</v>
      </c>
      <c r="O61" s="125"/>
      <c r="P61" s="129"/>
      <c r="Q61" s="112"/>
      <c r="R61" s="1508"/>
    </row>
    <row r="62" spans="1:18" ht="15">
      <c r="A62" s="112"/>
      <c r="B62" s="112"/>
      <c r="C62" s="124" t="s">
        <v>2430</v>
      </c>
      <c r="D62" s="112"/>
      <c r="E62" s="112" t="s">
        <v>2431</v>
      </c>
      <c r="F62" s="112"/>
      <c r="G62" s="112"/>
      <c r="H62" s="112"/>
      <c r="I62" s="112"/>
      <c r="J62" s="112"/>
      <c r="K62" s="112"/>
      <c r="L62" s="112"/>
      <c r="M62" s="112"/>
      <c r="N62" s="112"/>
      <c r="O62" s="112"/>
      <c r="P62" s="112"/>
      <c r="Q62" s="112"/>
      <c r="R62" s="1508"/>
    </row>
    <row r="63" spans="1:18" ht="19.5" customHeight="1">
      <c r="A63" s="112"/>
      <c r="B63" s="112"/>
      <c r="C63" s="112"/>
      <c r="D63" s="112"/>
      <c r="E63" s="112"/>
      <c r="F63" s="112"/>
      <c r="G63" s="112"/>
      <c r="H63" s="112"/>
      <c r="I63" s="112"/>
      <c r="J63" s="112"/>
      <c r="K63" s="112"/>
      <c r="L63" s="112"/>
      <c r="M63" s="112"/>
      <c r="N63" s="112"/>
      <c r="O63" s="112"/>
      <c r="P63" s="112"/>
      <c r="Q63" s="112"/>
      <c r="R63" s="1508"/>
    </row>
    <row r="64" spans="1:18" ht="20.25">
      <c r="A64" s="112"/>
      <c r="B64" s="1269"/>
      <c r="C64" s="1276" t="s">
        <v>2432</v>
      </c>
      <c r="D64" s="1139"/>
      <c r="E64" s="1139"/>
      <c r="F64" s="1139"/>
      <c r="G64" s="1139"/>
      <c r="H64" s="1139"/>
      <c r="I64" s="1139"/>
      <c r="J64" s="1139"/>
      <c r="K64" s="1139"/>
      <c r="L64" s="1139"/>
      <c r="M64" s="1139"/>
      <c r="N64" s="1139"/>
      <c r="O64" s="1139"/>
      <c r="P64" s="1277"/>
      <c r="Q64" s="112"/>
      <c r="R64" s="1508"/>
    </row>
    <row r="65" spans="1:18" ht="15">
      <c r="A65" s="112"/>
      <c r="B65" s="1270"/>
      <c r="C65" s="124"/>
      <c r="D65" s="124"/>
      <c r="E65" s="124"/>
      <c r="F65" s="124"/>
      <c r="G65" s="124"/>
      <c r="H65" s="124"/>
      <c r="I65" s="124"/>
      <c r="J65" s="124"/>
      <c r="K65" s="124"/>
      <c r="L65" s="124"/>
      <c r="M65" s="124"/>
      <c r="N65" s="112"/>
      <c r="O65" s="112"/>
      <c r="P65" s="128"/>
      <c r="Q65" s="112"/>
      <c r="R65" s="1508"/>
    </row>
    <row r="66" spans="1:18" ht="22.5" customHeight="1">
      <c r="A66" s="112"/>
      <c r="B66" s="1270"/>
      <c r="C66" s="1290" t="s">
        <v>2433</v>
      </c>
      <c r="D66" s="124"/>
      <c r="E66" s="124"/>
      <c r="F66" s="124"/>
      <c r="G66" s="124"/>
      <c r="H66" s="124"/>
      <c r="I66" s="124"/>
      <c r="J66" s="124"/>
      <c r="K66" s="124"/>
      <c r="L66" s="124"/>
      <c r="M66" s="124"/>
      <c r="N66" s="112"/>
      <c r="O66" s="112"/>
      <c r="P66" s="128"/>
      <c r="Q66" s="112"/>
      <c r="R66" s="1508"/>
    </row>
    <row r="67" spans="1:18" ht="15.75">
      <c r="A67" s="112"/>
      <c r="B67" s="1270"/>
      <c r="C67" s="1080" t="s">
        <v>2434</v>
      </c>
      <c r="D67" s="125"/>
      <c r="E67" s="125"/>
      <c r="F67" s="125"/>
      <c r="G67" s="125"/>
      <c r="H67" s="125"/>
      <c r="I67" s="125"/>
      <c r="J67" s="125"/>
      <c r="K67" s="125"/>
      <c r="L67" s="125"/>
      <c r="M67" s="124"/>
      <c r="N67" s="1198">
        <f>N38</f>
        <v>0</v>
      </c>
      <c r="O67" s="935" t="s">
        <v>2479</v>
      </c>
      <c r="P67" s="128"/>
      <c r="Q67" s="112"/>
      <c r="R67" s="1508"/>
    </row>
    <row r="68" spans="1:18" ht="15.75">
      <c r="A68" s="112"/>
      <c r="B68" s="1270"/>
      <c r="C68" s="126" t="s">
        <v>2435</v>
      </c>
      <c r="D68" s="126"/>
      <c r="E68" s="126"/>
      <c r="F68" s="126"/>
      <c r="G68" s="126"/>
      <c r="H68" s="126"/>
      <c r="I68" s="126"/>
      <c r="J68" s="126"/>
      <c r="K68" s="126"/>
      <c r="L68" s="126"/>
      <c r="M68" s="124"/>
      <c r="N68" s="1197">
        <f>N57</f>
        <v>0</v>
      </c>
      <c r="O68" s="935" t="s">
        <v>2480</v>
      </c>
      <c r="P68" s="128"/>
      <c r="Q68" s="112"/>
      <c r="R68" s="1508"/>
    </row>
    <row r="69" spans="1:18" ht="15.75">
      <c r="A69" s="112"/>
      <c r="B69" s="1270"/>
      <c r="C69" s="126" t="s">
        <v>2436</v>
      </c>
      <c r="D69" s="126"/>
      <c r="E69" s="126"/>
      <c r="F69" s="126"/>
      <c r="G69" s="126"/>
      <c r="H69" s="126"/>
      <c r="I69" s="126"/>
      <c r="J69" s="126"/>
      <c r="K69" s="126"/>
      <c r="L69" s="126"/>
      <c r="M69" s="124"/>
      <c r="N69" s="1196">
        <f>N67-N68</f>
        <v>0</v>
      </c>
      <c r="O69" s="935" t="s">
        <v>2481</v>
      </c>
      <c r="P69" s="128"/>
      <c r="Q69" s="112"/>
      <c r="R69" s="1508"/>
    </row>
    <row r="70" spans="1:18" ht="18" customHeight="1">
      <c r="A70" s="112"/>
      <c r="B70" s="1270"/>
      <c r="C70" s="124" t="s">
        <v>2478</v>
      </c>
      <c r="D70" s="124"/>
      <c r="E70" s="124"/>
      <c r="F70" s="124"/>
      <c r="G70" s="124"/>
      <c r="H70" s="124"/>
      <c r="I70" s="124"/>
      <c r="J70" s="124"/>
      <c r="K70" s="124"/>
      <c r="L70" s="124"/>
      <c r="M70" s="124"/>
      <c r="N70" s="112"/>
      <c r="O70" s="112"/>
      <c r="P70" s="128"/>
      <c r="Q70" s="112"/>
      <c r="R70" s="1508"/>
    </row>
    <row r="71" spans="1:18" ht="15">
      <c r="A71" s="112"/>
      <c r="B71" s="1270"/>
      <c r="C71" s="124"/>
      <c r="D71" s="124"/>
      <c r="E71" s="124"/>
      <c r="F71" s="124"/>
      <c r="G71" s="124"/>
      <c r="H71" s="124"/>
      <c r="I71" s="124"/>
      <c r="J71" s="124"/>
      <c r="K71" s="124"/>
      <c r="L71" s="124"/>
      <c r="M71" s="124"/>
      <c r="N71" s="112"/>
      <c r="O71" s="112"/>
      <c r="P71" s="128"/>
      <c r="Q71" s="112"/>
      <c r="R71" s="1508"/>
    </row>
    <row r="72" spans="1:18" ht="15.75">
      <c r="A72" s="112"/>
      <c r="B72" s="1270"/>
      <c r="C72" s="1289" t="s">
        <v>2437</v>
      </c>
      <c r="D72" s="124"/>
      <c r="E72" s="124"/>
      <c r="F72" s="124"/>
      <c r="G72" s="124"/>
      <c r="H72" s="124"/>
      <c r="I72" s="124"/>
      <c r="J72" s="124"/>
      <c r="K72" s="124"/>
      <c r="L72" s="124"/>
      <c r="M72" s="124"/>
      <c r="N72" s="112"/>
      <c r="O72" s="112"/>
      <c r="P72" s="128"/>
      <c r="Q72" s="112"/>
      <c r="R72" s="1508"/>
    </row>
    <row r="73" spans="1:18" ht="21" customHeight="1">
      <c r="A73" s="112"/>
      <c r="B73" s="1270"/>
      <c r="C73" s="124" t="s">
        <v>2482</v>
      </c>
      <c r="D73" s="124"/>
      <c r="E73" s="124"/>
      <c r="F73" s="124"/>
      <c r="G73" s="124"/>
      <c r="H73" s="124"/>
      <c r="I73" s="124"/>
      <c r="J73" s="124"/>
      <c r="K73" s="124"/>
      <c r="L73" s="124"/>
      <c r="M73" s="124"/>
      <c r="N73" s="112"/>
      <c r="O73" s="112"/>
      <c r="P73" s="128"/>
      <c r="Q73" s="112"/>
      <c r="R73" s="1508"/>
    </row>
    <row r="74" spans="1:18" ht="15.75">
      <c r="A74" s="112"/>
      <c r="B74" s="1270"/>
      <c r="C74" s="125" t="s">
        <v>2438</v>
      </c>
      <c r="D74" s="125"/>
      <c r="E74" s="125"/>
      <c r="F74" s="125"/>
      <c r="G74" s="125"/>
      <c r="H74" s="125"/>
      <c r="I74" s="125"/>
      <c r="J74" s="125"/>
      <c r="K74" s="125"/>
      <c r="L74" s="125"/>
      <c r="M74" s="124"/>
      <c r="N74" s="1292">
        <v>0</v>
      </c>
      <c r="O74" s="935" t="s">
        <v>2483</v>
      </c>
      <c r="P74" s="128"/>
      <c r="Q74" s="112"/>
      <c r="R74" s="1508"/>
    </row>
    <row r="75" spans="1:18" ht="15.75">
      <c r="A75" s="112"/>
      <c r="B75" s="1270"/>
      <c r="C75" s="126" t="s">
        <v>2439</v>
      </c>
      <c r="D75" s="126"/>
      <c r="E75" s="126"/>
      <c r="F75" s="126"/>
      <c r="G75" s="126"/>
      <c r="H75" s="126"/>
      <c r="I75" s="126"/>
      <c r="J75" s="126"/>
      <c r="K75" s="126"/>
      <c r="L75" s="126"/>
      <c r="M75" s="124"/>
      <c r="N75" s="1291">
        <f>N57</f>
        <v>0</v>
      </c>
      <c r="O75" s="935" t="s">
        <v>2484</v>
      </c>
      <c r="P75" s="128"/>
      <c r="Q75" s="112"/>
      <c r="R75" s="1508"/>
    </row>
    <row r="76" spans="1:18" ht="15.75">
      <c r="A76" s="112"/>
      <c r="B76" s="1270"/>
      <c r="C76" s="126" t="s">
        <v>2440</v>
      </c>
      <c r="D76" s="126"/>
      <c r="E76" s="126"/>
      <c r="F76" s="126"/>
      <c r="G76" s="126"/>
      <c r="H76" s="126"/>
      <c r="I76" s="126"/>
      <c r="J76" s="126"/>
      <c r="K76" s="126"/>
      <c r="L76" s="126"/>
      <c r="M76" s="124"/>
      <c r="N76" s="1196">
        <f>N74+N75</f>
        <v>0</v>
      </c>
      <c r="O76" s="935" t="s">
        <v>2485</v>
      </c>
      <c r="P76" s="128"/>
      <c r="Q76" s="112"/>
      <c r="R76" s="1508"/>
    </row>
    <row r="77" spans="1:18" ht="15">
      <c r="A77" s="112"/>
      <c r="B77" s="1270"/>
      <c r="C77" s="124" t="s">
        <v>2441</v>
      </c>
      <c r="D77" s="124"/>
      <c r="E77" s="124"/>
      <c r="F77" s="124"/>
      <c r="G77" s="124"/>
      <c r="H77" s="124"/>
      <c r="I77" s="124"/>
      <c r="J77" s="124"/>
      <c r="K77" s="124"/>
      <c r="L77" s="124"/>
      <c r="M77" s="124"/>
      <c r="N77" s="112"/>
      <c r="O77" s="112"/>
      <c r="P77" s="128"/>
      <c r="Q77" s="112"/>
      <c r="R77" s="1508"/>
    </row>
    <row r="78" spans="1:18" ht="15">
      <c r="A78" s="112"/>
      <c r="B78" s="1270"/>
      <c r="C78" s="124"/>
      <c r="D78" s="124"/>
      <c r="E78" s="124"/>
      <c r="F78" s="124"/>
      <c r="G78" s="124"/>
      <c r="H78" s="124"/>
      <c r="I78" s="124"/>
      <c r="J78" s="124"/>
      <c r="K78" s="124"/>
      <c r="L78" s="124"/>
      <c r="M78" s="124"/>
      <c r="N78" s="112"/>
      <c r="O78" s="112"/>
      <c r="P78" s="128"/>
      <c r="Q78" s="112"/>
      <c r="R78" s="1508"/>
    </row>
    <row r="79" spans="1:18" ht="15.75">
      <c r="A79" s="112"/>
      <c r="B79" s="1270"/>
      <c r="C79" s="1289" t="s">
        <v>1293</v>
      </c>
      <c r="D79" s="124"/>
      <c r="E79" s="124"/>
      <c r="F79" s="124"/>
      <c r="G79" s="124"/>
      <c r="H79" s="124"/>
      <c r="I79" s="124"/>
      <c r="J79" s="124"/>
      <c r="K79" s="124"/>
      <c r="L79" s="124"/>
      <c r="M79" s="124"/>
      <c r="N79" s="112"/>
      <c r="O79" s="112"/>
      <c r="P79" s="128"/>
      <c r="Q79" s="112"/>
      <c r="R79" s="1508"/>
    </row>
    <row r="80" spans="1:18" ht="15.75">
      <c r="A80" s="112"/>
      <c r="B80" s="1270"/>
      <c r="C80" s="124" t="s">
        <v>2486</v>
      </c>
      <c r="D80" s="124"/>
      <c r="E80" s="124"/>
      <c r="F80" s="124"/>
      <c r="G80" s="124"/>
      <c r="H80" s="124"/>
      <c r="I80" s="124"/>
      <c r="J80" s="124"/>
      <c r="K80" s="124"/>
      <c r="L80" s="124"/>
      <c r="M80" s="124"/>
      <c r="N80" s="112"/>
      <c r="O80" s="112"/>
      <c r="P80" s="128"/>
      <c r="Q80" s="112"/>
      <c r="R80" s="1508"/>
    </row>
    <row r="81" spans="1:18" ht="15">
      <c r="A81" s="112"/>
      <c r="B81" s="1270"/>
      <c r="C81" s="124" t="s">
        <v>1551</v>
      </c>
      <c r="D81" s="124"/>
      <c r="E81" s="124"/>
      <c r="F81" s="124"/>
      <c r="G81" s="124"/>
      <c r="H81" s="124"/>
      <c r="I81" s="124"/>
      <c r="J81" s="124"/>
      <c r="K81" s="124"/>
      <c r="L81" s="124"/>
      <c r="M81" s="124"/>
      <c r="N81" s="112"/>
      <c r="O81" s="112"/>
      <c r="P81" s="128"/>
      <c r="Q81" s="112"/>
      <c r="R81" s="1508"/>
    </row>
    <row r="82" spans="1:18" ht="15">
      <c r="A82" s="112"/>
      <c r="B82" s="1270"/>
      <c r="C82" s="124"/>
      <c r="D82" s="124"/>
      <c r="E82" s="124"/>
      <c r="F82" s="124"/>
      <c r="G82" s="124"/>
      <c r="H82" s="124"/>
      <c r="I82" s="124"/>
      <c r="J82" s="124"/>
      <c r="K82" s="124"/>
      <c r="L82" s="124"/>
      <c r="M82" s="124"/>
      <c r="N82" s="112"/>
      <c r="O82" s="112"/>
      <c r="P82" s="128"/>
      <c r="Q82" s="112"/>
      <c r="R82" s="1508"/>
    </row>
    <row r="83" spans="1:18" ht="15.75">
      <c r="A83" s="112"/>
      <c r="B83" s="1270"/>
      <c r="C83" s="124" t="s">
        <v>1552</v>
      </c>
      <c r="D83" s="124"/>
      <c r="E83" s="124"/>
      <c r="F83" s="124"/>
      <c r="G83" s="124"/>
      <c r="H83" s="124"/>
      <c r="I83" s="124"/>
      <c r="J83" s="124"/>
      <c r="K83" s="124"/>
      <c r="L83" s="124"/>
      <c r="M83" s="124"/>
      <c r="N83" s="112"/>
      <c r="O83" s="112"/>
      <c r="P83" s="128"/>
      <c r="Q83" s="112"/>
      <c r="R83" s="1508"/>
    </row>
    <row r="84" spans="1:18" ht="15">
      <c r="A84" s="112"/>
      <c r="B84" s="1270"/>
      <c r="C84" s="124" t="s">
        <v>1553</v>
      </c>
      <c r="D84" s="124"/>
      <c r="E84" s="124"/>
      <c r="F84" s="124"/>
      <c r="G84" s="124"/>
      <c r="H84" s="124"/>
      <c r="I84" s="124"/>
      <c r="J84" s="124"/>
      <c r="K84" s="124"/>
      <c r="L84" s="124"/>
      <c r="M84" s="124"/>
      <c r="N84" s="112"/>
      <c r="O84" s="112"/>
      <c r="P84" s="128"/>
      <c r="Q84" s="112"/>
      <c r="R84" s="1508"/>
    </row>
    <row r="85" spans="1:18" ht="15">
      <c r="A85" s="112"/>
      <c r="B85" s="1270"/>
      <c r="C85" s="124"/>
      <c r="D85" s="124"/>
      <c r="E85" s="124"/>
      <c r="F85" s="124"/>
      <c r="G85" s="124"/>
      <c r="H85" s="124"/>
      <c r="I85" s="124"/>
      <c r="J85" s="124"/>
      <c r="K85" s="124"/>
      <c r="L85" s="124"/>
      <c r="M85" s="124"/>
      <c r="N85" s="112"/>
      <c r="O85" s="112"/>
      <c r="P85" s="128"/>
      <c r="Q85" s="112"/>
      <c r="R85" s="1508"/>
    </row>
    <row r="86" spans="1:18" ht="15.75">
      <c r="A86" s="112"/>
      <c r="B86" s="1270"/>
      <c r="C86" s="124" t="s">
        <v>1554</v>
      </c>
      <c r="D86" s="124"/>
      <c r="E86" s="124"/>
      <c r="F86" s="124"/>
      <c r="G86" s="124"/>
      <c r="H86" s="124"/>
      <c r="I86" s="124"/>
      <c r="J86" s="124"/>
      <c r="K86" s="124"/>
      <c r="L86" s="124"/>
      <c r="M86" s="124"/>
      <c r="N86" s="112"/>
      <c r="O86" s="112"/>
      <c r="P86" s="128"/>
      <c r="Q86" s="112"/>
      <c r="R86" s="1508"/>
    </row>
    <row r="87" spans="1:18" ht="15">
      <c r="A87" s="112"/>
      <c r="B87" s="1270"/>
      <c r="C87" s="124" t="s">
        <v>1555</v>
      </c>
      <c r="D87" s="124"/>
      <c r="E87" s="124"/>
      <c r="F87" s="124"/>
      <c r="G87" s="124"/>
      <c r="H87" s="124"/>
      <c r="I87" s="124"/>
      <c r="J87" s="124"/>
      <c r="K87" s="124"/>
      <c r="L87" s="124"/>
      <c r="M87" s="124"/>
      <c r="N87" s="112"/>
      <c r="O87" s="112"/>
      <c r="P87" s="128"/>
      <c r="Q87" s="112"/>
      <c r="R87" s="1508"/>
    </row>
    <row r="88" spans="1:18" ht="15">
      <c r="A88" s="112"/>
      <c r="B88" s="1270"/>
      <c r="C88" s="124"/>
      <c r="D88" s="124"/>
      <c r="E88" s="124"/>
      <c r="F88" s="124"/>
      <c r="G88" s="124"/>
      <c r="H88" s="124"/>
      <c r="I88" s="124"/>
      <c r="J88" s="124"/>
      <c r="K88" s="124"/>
      <c r="L88" s="124"/>
      <c r="M88" s="124"/>
      <c r="N88" s="112"/>
      <c r="O88" s="112"/>
      <c r="P88" s="128"/>
      <c r="Q88" s="112"/>
      <c r="R88" s="1508"/>
    </row>
    <row r="89" spans="1:18" ht="15.75">
      <c r="A89" s="112"/>
      <c r="B89" s="1270"/>
      <c r="C89" s="1289" t="s">
        <v>1556</v>
      </c>
      <c r="D89" s="124"/>
      <c r="E89" s="124"/>
      <c r="F89" s="124"/>
      <c r="G89" s="124"/>
      <c r="H89" s="124"/>
      <c r="I89" s="124"/>
      <c r="J89" s="124"/>
      <c r="K89" s="124"/>
      <c r="L89" s="124"/>
      <c r="M89" s="124"/>
      <c r="N89" s="112"/>
      <c r="O89" s="112"/>
      <c r="P89" s="128"/>
      <c r="Q89" s="112"/>
      <c r="R89" s="1508"/>
    </row>
    <row r="90" spans="1:18" ht="15.75">
      <c r="A90" s="112"/>
      <c r="B90" s="1280"/>
      <c r="C90" s="125" t="s">
        <v>1557</v>
      </c>
      <c r="D90" s="125"/>
      <c r="E90" s="125"/>
      <c r="F90" s="125"/>
      <c r="G90" s="125"/>
      <c r="H90" s="125"/>
      <c r="I90" s="125"/>
      <c r="J90" s="125"/>
      <c r="K90" s="125"/>
      <c r="L90" s="125"/>
      <c r="M90" s="125"/>
      <c r="N90" s="1287"/>
      <c r="O90" s="125"/>
      <c r="P90" s="129"/>
      <c r="Q90" s="112"/>
      <c r="R90" s="1508"/>
    </row>
    <row r="91" spans="1:18" ht="15">
      <c r="A91" s="112"/>
      <c r="B91" s="112"/>
      <c r="C91" s="112"/>
      <c r="D91" s="112"/>
      <c r="E91" s="112"/>
      <c r="F91" s="112"/>
      <c r="G91" s="112"/>
      <c r="H91" s="112"/>
      <c r="I91" s="112"/>
      <c r="J91" s="112"/>
      <c r="K91" s="112"/>
      <c r="L91" s="112"/>
      <c r="M91" s="112"/>
      <c r="N91" s="112"/>
      <c r="O91" s="112"/>
      <c r="P91" s="112"/>
      <c r="Q91" s="112"/>
      <c r="R91" s="1508"/>
    </row>
    <row r="92" spans="1:18" ht="20.25">
      <c r="A92" s="112"/>
      <c r="B92" s="1269"/>
      <c r="C92" s="1276" t="s">
        <v>2487</v>
      </c>
      <c r="D92" s="1139"/>
      <c r="E92" s="1139"/>
      <c r="F92" s="1139"/>
      <c r="G92" s="1139"/>
      <c r="H92" s="1139"/>
      <c r="I92" s="1139"/>
      <c r="J92" s="1139"/>
      <c r="K92" s="1139"/>
      <c r="L92" s="1139"/>
      <c r="M92" s="1139"/>
      <c r="N92" s="1139"/>
      <c r="O92" s="1139"/>
      <c r="P92" s="1277"/>
      <c r="Q92" s="112"/>
      <c r="R92" s="1508"/>
    </row>
    <row r="93" spans="1:18" ht="15">
      <c r="A93" s="112"/>
      <c r="B93" s="1270"/>
      <c r="C93" s="124"/>
      <c r="D93" s="124"/>
      <c r="E93" s="124"/>
      <c r="F93" s="124"/>
      <c r="G93" s="124"/>
      <c r="H93" s="124"/>
      <c r="I93" s="124"/>
      <c r="J93" s="124"/>
      <c r="K93" s="124"/>
      <c r="L93" s="124"/>
      <c r="M93" s="124"/>
      <c r="N93" s="112"/>
      <c r="O93" s="112"/>
      <c r="P93" s="128"/>
      <c r="Q93" s="112"/>
      <c r="R93" s="1508"/>
    </row>
    <row r="94" spans="1:18" ht="15">
      <c r="A94" s="112"/>
      <c r="B94" s="1270"/>
      <c r="C94" s="124" t="s">
        <v>2488</v>
      </c>
      <c r="D94" s="124"/>
      <c r="E94" s="124"/>
      <c r="F94" s="124"/>
      <c r="G94" s="124"/>
      <c r="H94" s="124"/>
      <c r="I94" s="124"/>
      <c r="J94" s="124"/>
      <c r="K94" s="124"/>
      <c r="L94" s="124"/>
      <c r="M94" s="124"/>
      <c r="N94" s="112"/>
      <c r="O94" s="112"/>
      <c r="P94" s="128"/>
      <c r="Q94" s="112"/>
      <c r="R94" s="1508"/>
    </row>
    <row r="95" spans="1:18" ht="15.75">
      <c r="A95" s="112"/>
      <c r="B95" s="1270"/>
      <c r="C95" s="125" t="s">
        <v>2489</v>
      </c>
      <c r="D95" s="125"/>
      <c r="E95" s="125"/>
      <c r="F95" s="125"/>
      <c r="G95" s="125"/>
      <c r="H95" s="125"/>
      <c r="I95" s="125"/>
      <c r="J95" s="125"/>
      <c r="K95" s="125"/>
      <c r="L95" s="125"/>
      <c r="M95" s="1275" t="s">
        <v>2490</v>
      </c>
      <c r="N95" s="1292"/>
      <c r="O95" s="1293" t="s">
        <v>2491</v>
      </c>
      <c r="P95" s="128"/>
      <c r="Q95" s="112"/>
      <c r="R95" s="1508"/>
    </row>
    <row r="96" spans="1:18" ht="15">
      <c r="A96" s="112"/>
      <c r="B96" s="1270"/>
      <c r="C96" s="124"/>
      <c r="D96" s="124"/>
      <c r="E96" s="124"/>
      <c r="F96" s="124"/>
      <c r="G96" s="124"/>
      <c r="H96" s="124"/>
      <c r="I96" s="124"/>
      <c r="J96" s="124"/>
      <c r="K96" s="124"/>
      <c r="L96" s="124"/>
      <c r="M96" s="124"/>
      <c r="N96" s="112"/>
      <c r="O96" s="112"/>
      <c r="P96" s="128"/>
      <c r="Q96" s="112"/>
      <c r="R96" s="1508"/>
    </row>
    <row r="97" spans="1:18" ht="15">
      <c r="A97" s="112"/>
      <c r="B97" s="1270"/>
      <c r="C97" s="124" t="s">
        <v>2492</v>
      </c>
      <c r="D97" s="124"/>
      <c r="E97" s="124"/>
      <c r="F97" s="124"/>
      <c r="G97" s="124"/>
      <c r="H97" s="124"/>
      <c r="I97" s="124"/>
      <c r="J97" s="124"/>
      <c r="K97" s="124"/>
      <c r="L97" s="124"/>
      <c r="M97" s="124"/>
      <c r="N97" s="112"/>
      <c r="O97" s="112"/>
      <c r="P97" s="128"/>
      <c r="Q97" s="112"/>
      <c r="R97" s="1508"/>
    </row>
    <row r="98" spans="1:18" ht="15">
      <c r="A98" s="112"/>
      <c r="B98" s="1270"/>
      <c r="C98" s="124"/>
      <c r="D98" s="124"/>
      <c r="E98" s="124"/>
      <c r="F98" s="124"/>
      <c r="G98" s="124"/>
      <c r="H98" s="124"/>
      <c r="I98" s="124"/>
      <c r="J98" s="124"/>
      <c r="K98" s="124"/>
      <c r="L98" s="124"/>
      <c r="M98" s="124"/>
      <c r="N98" s="112"/>
      <c r="O98" s="112"/>
      <c r="P98" s="128"/>
      <c r="Q98" s="112"/>
      <c r="R98" s="1508"/>
    </row>
    <row r="99" spans="1:18" ht="15.75">
      <c r="A99" s="112"/>
      <c r="B99" s="1270"/>
      <c r="C99" s="124"/>
      <c r="D99" s="124"/>
      <c r="E99" s="124"/>
      <c r="F99" s="1296" t="s">
        <v>2495</v>
      </c>
      <c r="G99" s="124"/>
      <c r="H99" s="1198">
        <f>N95</f>
        <v>0</v>
      </c>
      <c r="I99" s="1294" t="s">
        <v>2131</v>
      </c>
      <c r="J99" s="1297" t="s">
        <v>2493</v>
      </c>
      <c r="K99" s="124"/>
      <c r="L99" s="1282">
        <f>N57</f>
        <v>0</v>
      </c>
      <c r="M99" s="1275" t="s">
        <v>2496</v>
      </c>
      <c r="N99" s="1283">
        <f>H99*L99/(L100+0.00001)</f>
        <v>0</v>
      </c>
      <c r="O99" s="1293" t="s">
        <v>2497</v>
      </c>
      <c r="P99" s="128"/>
      <c r="Q99" s="112"/>
      <c r="R99" s="1508"/>
    </row>
    <row r="100" spans="1:18" ht="15">
      <c r="A100" s="112"/>
      <c r="B100" s="1270"/>
      <c r="C100" s="124"/>
      <c r="D100" s="124"/>
      <c r="E100" s="124"/>
      <c r="F100" s="124"/>
      <c r="G100" s="124"/>
      <c r="H100" s="124"/>
      <c r="I100" s="124"/>
      <c r="J100" s="1018" t="s">
        <v>2494</v>
      </c>
      <c r="K100" s="124"/>
      <c r="L100" s="1295">
        <f>N38</f>
        <v>0</v>
      </c>
      <c r="M100" s="124"/>
      <c r="N100" s="112"/>
      <c r="O100" s="112"/>
      <c r="P100" s="128"/>
      <c r="Q100" s="112"/>
      <c r="R100" s="1508"/>
    </row>
    <row r="101" spans="1:18" ht="15">
      <c r="A101" s="112"/>
      <c r="B101" s="1270"/>
      <c r="C101" s="124"/>
      <c r="D101" s="124"/>
      <c r="E101" s="124"/>
      <c r="F101" s="124"/>
      <c r="G101" s="124"/>
      <c r="H101" s="124"/>
      <c r="I101" s="124"/>
      <c r="J101" s="124"/>
      <c r="K101" s="124"/>
      <c r="L101" s="124"/>
      <c r="M101" s="124"/>
      <c r="N101" s="112"/>
      <c r="O101" s="112"/>
      <c r="P101" s="128"/>
      <c r="Q101" s="112"/>
      <c r="R101" s="1508"/>
    </row>
    <row r="102" spans="1:18" ht="15">
      <c r="A102" s="112"/>
      <c r="B102" s="1270"/>
      <c r="C102" s="124" t="s">
        <v>2498</v>
      </c>
      <c r="D102" s="124"/>
      <c r="E102" s="124"/>
      <c r="F102" s="124"/>
      <c r="G102" s="124"/>
      <c r="H102" s="124"/>
      <c r="I102" s="124"/>
      <c r="J102" s="124"/>
      <c r="K102" s="124"/>
      <c r="L102" s="124"/>
      <c r="M102" s="124"/>
      <c r="N102" s="112"/>
      <c r="O102" s="112"/>
      <c r="P102" s="128"/>
      <c r="Q102" s="112"/>
      <c r="R102" s="1508"/>
    </row>
    <row r="103" spans="1:18" ht="15">
      <c r="A103" s="112"/>
      <c r="B103" s="1270"/>
      <c r="C103" s="124" t="s">
        <v>2499</v>
      </c>
      <c r="D103" s="124"/>
      <c r="E103" s="124"/>
      <c r="F103" s="124"/>
      <c r="G103" s="124"/>
      <c r="H103" s="124"/>
      <c r="I103" s="124"/>
      <c r="J103" s="124"/>
      <c r="K103" s="124"/>
      <c r="L103" s="124"/>
      <c r="M103" s="124"/>
      <c r="N103" s="112"/>
      <c r="O103" s="112"/>
      <c r="P103" s="128"/>
      <c r="Q103" s="112"/>
      <c r="R103" s="1508"/>
    </row>
    <row r="104" spans="1:18" ht="15">
      <c r="A104" s="112"/>
      <c r="B104" s="1270"/>
      <c r="C104" s="124"/>
      <c r="D104" s="124"/>
      <c r="E104" s="124"/>
      <c r="F104" s="124"/>
      <c r="G104" s="124"/>
      <c r="H104" s="124"/>
      <c r="I104" s="124"/>
      <c r="J104" s="124"/>
      <c r="K104" s="124"/>
      <c r="L104" s="124"/>
      <c r="M104" s="124"/>
      <c r="N104" s="112"/>
      <c r="O104" s="112"/>
      <c r="P104" s="128"/>
      <c r="Q104" s="112"/>
      <c r="R104" s="1508"/>
    </row>
    <row r="105" spans="1:18" ht="15">
      <c r="A105" s="112"/>
      <c r="B105" s="1270"/>
      <c r="C105" s="124" t="s">
        <v>2500</v>
      </c>
      <c r="D105" s="124"/>
      <c r="E105" s="124"/>
      <c r="F105" s="124"/>
      <c r="G105" s="124"/>
      <c r="H105" s="124"/>
      <c r="I105" s="124"/>
      <c r="J105" s="124"/>
      <c r="K105" s="124"/>
      <c r="L105" s="124"/>
      <c r="M105" s="124"/>
      <c r="N105" s="112"/>
      <c r="O105" s="112"/>
      <c r="P105" s="128"/>
      <c r="Q105" s="112"/>
      <c r="R105" s="1508"/>
    </row>
    <row r="106" spans="1:18" ht="15">
      <c r="A106" s="112"/>
      <c r="B106" s="1270"/>
      <c r="C106" s="124" t="s">
        <v>2501</v>
      </c>
      <c r="D106" s="124"/>
      <c r="E106" s="124"/>
      <c r="F106" s="124"/>
      <c r="G106" s="124"/>
      <c r="H106" s="124"/>
      <c r="I106" s="124"/>
      <c r="J106" s="124"/>
      <c r="K106" s="124"/>
      <c r="L106" s="124"/>
      <c r="M106" s="124"/>
      <c r="N106" s="112"/>
      <c r="O106" s="112"/>
      <c r="P106" s="128"/>
      <c r="Q106" s="112"/>
      <c r="R106" s="1508"/>
    </row>
    <row r="107" spans="1:18" ht="15.75">
      <c r="A107" s="112"/>
      <c r="B107" s="1280"/>
      <c r="C107" s="125"/>
      <c r="D107" s="125"/>
      <c r="E107" s="125"/>
      <c r="F107" s="125"/>
      <c r="G107" s="125"/>
      <c r="H107" s="125"/>
      <c r="I107" s="125"/>
      <c r="J107" s="125"/>
      <c r="K107" s="125"/>
      <c r="L107" s="125"/>
      <c r="M107" s="125"/>
      <c r="N107" s="1287"/>
      <c r="O107" s="125"/>
      <c r="P107" s="129"/>
      <c r="Q107" s="112"/>
      <c r="R107" s="1508"/>
    </row>
    <row r="108" spans="1:18" ht="15">
      <c r="A108" s="112"/>
      <c r="B108" s="112"/>
      <c r="C108" s="112"/>
      <c r="D108" s="112"/>
      <c r="E108" s="112"/>
      <c r="F108" s="112"/>
      <c r="G108" s="112"/>
      <c r="H108" s="112"/>
      <c r="I108" s="112"/>
      <c r="J108" s="112"/>
      <c r="K108" s="112"/>
      <c r="L108" s="112"/>
      <c r="M108" s="112"/>
      <c r="N108" s="112"/>
      <c r="O108" s="112"/>
      <c r="P108" s="112"/>
      <c r="Q108" s="112"/>
      <c r="R108" s="1508"/>
    </row>
    <row r="109" spans="1:18" ht="20.25">
      <c r="A109" s="112"/>
      <c r="B109" s="1269"/>
      <c r="C109" s="1276" t="s">
        <v>2502</v>
      </c>
      <c r="D109" s="1139"/>
      <c r="E109" s="1139"/>
      <c r="F109" s="1139"/>
      <c r="G109" s="1139"/>
      <c r="H109" s="1139"/>
      <c r="I109" s="1139"/>
      <c r="J109" s="1139"/>
      <c r="K109" s="1139"/>
      <c r="L109" s="1139"/>
      <c r="M109" s="1139"/>
      <c r="N109" s="1139"/>
      <c r="O109" s="1139"/>
      <c r="P109" s="1277"/>
      <c r="Q109" s="112"/>
      <c r="R109" s="1508"/>
    </row>
    <row r="110" spans="1:18" ht="6" customHeight="1">
      <c r="A110" s="112"/>
      <c r="B110" s="1270"/>
      <c r="C110" s="124"/>
      <c r="D110" s="124"/>
      <c r="E110" s="124"/>
      <c r="F110" s="124"/>
      <c r="G110" s="124"/>
      <c r="H110" s="124"/>
      <c r="I110" s="124"/>
      <c r="J110" s="124"/>
      <c r="K110" s="124"/>
      <c r="L110" s="124"/>
      <c r="M110" s="124"/>
      <c r="N110" s="112"/>
      <c r="O110" s="112"/>
      <c r="P110" s="128"/>
      <c r="Q110" s="112"/>
      <c r="R110" s="1508"/>
    </row>
    <row r="111" spans="1:18" ht="15">
      <c r="A111" s="112"/>
      <c r="B111" s="1270"/>
      <c r="C111" s="124" t="s">
        <v>2503</v>
      </c>
      <c r="D111" s="124"/>
      <c r="E111" s="124"/>
      <c r="F111" s="124"/>
      <c r="G111" s="124"/>
      <c r="H111" s="124"/>
      <c r="I111" s="124"/>
      <c r="J111" s="124"/>
      <c r="K111" s="124"/>
      <c r="L111" s="124"/>
      <c r="M111" s="124"/>
      <c r="N111" s="112"/>
      <c r="O111" s="112"/>
      <c r="P111" s="128"/>
      <c r="Q111" s="112"/>
      <c r="R111" s="1508"/>
    </row>
    <row r="112" spans="1:18" ht="15">
      <c r="A112" s="112"/>
      <c r="B112" s="1270"/>
      <c r="C112" s="124" t="s">
        <v>2504</v>
      </c>
      <c r="D112" s="124"/>
      <c r="E112" s="124"/>
      <c r="F112" s="124"/>
      <c r="G112" s="124"/>
      <c r="H112" s="124"/>
      <c r="I112" s="124"/>
      <c r="J112" s="124"/>
      <c r="K112" s="124"/>
      <c r="L112" s="124"/>
      <c r="M112" s="124"/>
      <c r="N112" s="112"/>
      <c r="O112" s="112"/>
      <c r="P112" s="128"/>
      <c r="Q112" s="112"/>
      <c r="R112" s="1508"/>
    </row>
    <row r="113" spans="1:18" ht="15">
      <c r="A113" s="112"/>
      <c r="B113" s="1270"/>
      <c r="C113" s="124" t="str">
        <f>"the "&amp;year&amp;" tax year. We accept that we will be jointly and severally liable for any amounts of tax, interest and penalties that may be"</f>
        <v>the 2007 tax year. We accept that we will be jointly and severally liable for any amounts of tax, interest and penalties that may be</v>
      </c>
      <c r="D113" s="124"/>
      <c r="E113" s="124"/>
      <c r="F113" s="124"/>
      <c r="G113" s="124"/>
      <c r="H113" s="124"/>
      <c r="I113" s="124"/>
      <c r="J113" s="124"/>
      <c r="K113" s="124"/>
      <c r="L113" s="124"/>
      <c r="M113" s="124"/>
      <c r="N113" s="112"/>
      <c r="O113" s="112"/>
      <c r="P113" s="128"/>
      <c r="Q113" s="112"/>
      <c r="R113" s="1508"/>
    </row>
    <row r="114" spans="1:18" ht="15">
      <c r="A114" s="112"/>
      <c r="B114" s="1270"/>
      <c r="C114" s="124" t="s">
        <v>2505</v>
      </c>
      <c r="D114" s="124"/>
      <c r="E114" s="124"/>
      <c r="F114" s="124"/>
      <c r="G114" s="124"/>
      <c r="H114" s="124"/>
      <c r="I114" s="124"/>
      <c r="J114" s="124"/>
      <c r="K114" s="124"/>
      <c r="L114" s="124"/>
      <c r="M114" s="124"/>
      <c r="N114" s="112"/>
      <c r="O114" s="112"/>
      <c r="P114" s="128"/>
      <c r="Q114" s="112"/>
      <c r="R114" s="1508"/>
    </row>
    <row r="115" spans="1:18" ht="15">
      <c r="A115" s="112"/>
      <c r="B115" s="1270"/>
      <c r="C115" s="124"/>
      <c r="D115" s="124"/>
      <c r="E115" s="124"/>
      <c r="F115" s="124"/>
      <c r="G115" s="124"/>
      <c r="H115" s="124"/>
      <c r="I115" s="124"/>
      <c r="J115" s="124"/>
      <c r="K115" s="124"/>
      <c r="L115" s="124"/>
      <c r="M115" s="124"/>
      <c r="N115" s="112"/>
      <c r="O115" s="112"/>
      <c r="P115" s="128"/>
      <c r="Q115" s="112"/>
      <c r="R115" s="1508"/>
    </row>
    <row r="116" spans="1:18" ht="21" customHeight="1">
      <c r="A116" s="112"/>
      <c r="B116" s="1270"/>
      <c r="C116" s="1018" t="s">
        <v>1942</v>
      </c>
      <c r="D116" s="1686"/>
      <c r="E116" s="1686"/>
      <c r="F116" s="1686"/>
      <c r="G116" s="1686"/>
      <c r="H116" s="1686"/>
      <c r="I116" s="1686"/>
      <c r="J116" s="1686"/>
      <c r="K116" s="1686"/>
      <c r="L116" s="1625"/>
      <c r="M116" s="124" t="s">
        <v>2507</v>
      </c>
      <c r="N116" s="1298"/>
      <c r="O116" s="112"/>
      <c r="P116" s="128"/>
      <c r="Q116" s="112"/>
      <c r="R116" s="1508"/>
    </row>
    <row r="117" spans="1:18" ht="15.75">
      <c r="A117" s="112"/>
      <c r="B117" s="1270"/>
      <c r="C117" s="124"/>
      <c r="D117" s="124"/>
      <c r="E117" s="124"/>
      <c r="F117" s="124"/>
      <c r="G117" s="124"/>
      <c r="H117" s="1289" t="s">
        <v>2506</v>
      </c>
      <c r="I117" s="124"/>
      <c r="J117" s="124"/>
      <c r="K117" s="124"/>
      <c r="L117" s="124"/>
      <c r="M117" s="124"/>
      <c r="N117" s="112"/>
      <c r="O117" s="112"/>
      <c r="P117" s="128"/>
      <c r="Q117" s="112"/>
      <c r="R117" s="1508"/>
    </row>
    <row r="118" spans="1:18" ht="15">
      <c r="A118" s="112"/>
      <c r="B118" s="1270"/>
      <c r="C118" s="124"/>
      <c r="D118" s="124"/>
      <c r="E118" s="124"/>
      <c r="F118" s="124"/>
      <c r="G118" s="124"/>
      <c r="H118" s="124"/>
      <c r="I118" s="124"/>
      <c r="J118" s="124"/>
      <c r="K118" s="124"/>
      <c r="L118" s="124"/>
      <c r="M118" s="124"/>
      <c r="N118" s="112"/>
      <c r="O118" s="112"/>
      <c r="P118" s="128"/>
      <c r="Q118" s="112"/>
      <c r="R118" s="1508"/>
    </row>
    <row r="119" spans="1:18" ht="21" customHeight="1">
      <c r="A119" s="112"/>
      <c r="B119" s="1270"/>
      <c r="C119" s="1018" t="s">
        <v>2510</v>
      </c>
      <c r="D119" s="124"/>
      <c r="E119" s="124"/>
      <c r="F119" s="124"/>
      <c r="G119" s="124"/>
      <c r="H119" s="1686"/>
      <c r="I119" s="1686"/>
      <c r="J119" s="1686"/>
      <c r="K119" s="1686"/>
      <c r="L119" s="1686"/>
      <c r="M119" s="124" t="s">
        <v>2507</v>
      </c>
      <c r="N119" s="1298"/>
      <c r="O119" s="112"/>
      <c r="P119" s="128"/>
      <c r="Q119" s="112"/>
      <c r="R119" s="1508"/>
    </row>
    <row r="120" spans="1:18" ht="15.75">
      <c r="A120" s="112"/>
      <c r="B120" s="1270"/>
      <c r="C120" s="124"/>
      <c r="D120" s="124"/>
      <c r="E120" s="124"/>
      <c r="F120" s="124"/>
      <c r="G120" s="124"/>
      <c r="H120" s="124"/>
      <c r="I120" s="124"/>
      <c r="J120" s="1289" t="s">
        <v>2509</v>
      </c>
      <c r="K120" s="124"/>
      <c r="L120" s="124"/>
      <c r="M120" s="124"/>
      <c r="N120" s="112"/>
      <c r="O120" s="112"/>
      <c r="P120" s="128"/>
      <c r="Q120" s="112"/>
      <c r="R120" s="1508"/>
    </row>
    <row r="121" spans="1:18" ht="15">
      <c r="A121" s="112"/>
      <c r="B121" s="1270"/>
      <c r="C121" s="124"/>
      <c r="D121" s="124"/>
      <c r="E121" s="124"/>
      <c r="F121" s="124"/>
      <c r="G121" s="124"/>
      <c r="H121" s="124"/>
      <c r="I121" s="124"/>
      <c r="J121" s="124"/>
      <c r="K121" s="124"/>
      <c r="L121" s="124"/>
      <c r="M121" s="124"/>
      <c r="N121" s="112"/>
      <c r="O121" s="112"/>
      <c r="P121" s="128"/>
      <c r="Q121" s="112"/>
      <c r="R121" s="1508"/>
    </row>
    <row r="122" spans="1:18" ht="15.75">
      <c r="A122" s="112"/>
      <c r="B122" s="1280"/>
      <c r="C122" s="125"/>
      <c r="D122" s="125"/>
      <c r="E122" s="125"/>
      <c r="F122" s="125"/>
      <c r="G122" s="125"/>
      <c r="H122" s="125"/>
      <c r="I122" s="1299" t="s">
        <v>2508</v>
      </c>
      <c r="J122" s="125"/>
      <c r="K122" s="125"/>
      <c r="L122" s="125"/>
      <c r="M122" s="125"/>
      <c r="N122" s="1287"/>
      <c r="O122" s="125"/>
      <c r="P122" s="129"/>
      <c r="Q122" s="112"/>
      <c r="R122" s="1508"/>
    </row>
    <row r="124" spans="1:17" ht="30" customHeight="1">
      <c r="A124" s="1437"/>
      <c r="B124" s="1438"/>
      <c r="C124" s="1439" t="s">
        <v>927</v>
      </c>
      <c r="D124" s="1440"/>
      <c r="E124" s="1440"/>
      <c r="F124" s="1440"/>
      <c r="G124" s="1440"/>
      <c r="H124" s="1440"/>
      <c r="I124" s="1440"/>
      <c r="J124" s="1440"/>
      <c r="K124" s="1440"/>
      <c r="L124" s="1440"/>
      <c r="M124" s="1440"/>
      <c r="N124" s="1440"/>
      <c r="O124" s="1440"/>
      <c r="P124" s="1441"/>
      <c r="Q124" s="1437"/>
    </row>
    <row r="125" spans="1:17" ht="20.25">
      <c r="A125" s="1437"/>
      <c r="B125" s="1442"/>
      <c r="C125" s="1459" t="s">
        <v>926</v>
      </c>
      <c r="D125" s="1443"/>
      <c r="E125" s="1443"/>
      <c r="F125" s="1443"/>
      <c r="G125" s="1443"/>
      <c r="H125" s="1443"/>
      <c r="I125" s="1443"/>
      <c r="J125" s="1443"/>
      <c r="K125" s="1443"/>
      <c r="L125" s="1443"/>
      <c r="M125" s="1443"/>
      <c r="N125" s="1443"/>
      <c r="O125" s="1443"/>
      <c r="P125" s="1444"/>
      <c r="Q125" s="1437"/>
    </row>
    <row r="126" spans="1:17" ht="24.75" customHeight="1">
      <c r="A126" s="1437"/>
      <c r="B126" s="1442"/>
      <c r="C126" s="1460" t="s">
        <v>2564</v>
      </c>
      <c r="D126" s="1443"/>
      <c r="E126" s="1443"/>
      <c r="F126" s="1443"/>
      <c r="G126" s="1443"/>
      <c r="H126" s="1443"/>
      <c r="I126" s="1443"/>
      <c r="J126" s="1443"/>
      <c r="K126" s="1443"/>
      <c r="L126" s="1443"/>
      <c r="M126" s="1443"/>
      <c r="N126" s="1443"/>
      <c r="O126" s="1443"/>
      <c r="P126" s="1444"/>
      <c r="Q126" s="1437"/>
    </row>
    <row r="127" spans="1:17" ht="15.75">
      <c r="A127" s="1437"/>
      <c r="B127" s="1442"/>
      <c r="C127" s="1443" t="s">
        <v>921</v>
      </c>
      <c r="D127" s="1443"/>
      <c r="E127" s="1443"/>
      <c r="F127" s="1443"/>
      <c r="G127" s="1443"/>
      <c r="H127" s="1443"/>
      <c r="I127" s="1443"/>
      <c r="J127" s="1443"/>
      <c r="K127" s="1443"/>
      <c r="L127" s="1443"/>
      <c r="M127" s="1443"/>
      <c r="N127" s="1443"/>
      <c r="O127" s="1443"/>
      <c r="P127" s="1444"/>
      <c r="Q127" s="1437"/>
    </row>
    <row r="128" spans="1:17" ht="15.75">
      <c r="A128" s="1437"/>
      <c r="B128" s="1442"/>
      <c r="C128" s="1458" t="s">
        <v>924</v>
      </c>
      <c r="D128" s="1443"/>
      <c r="E128" s="1443"/>
      <c r="F128" s="1443"/>
      <c r="G128" s="1443"/>
      <c r="H128" s="1443"/>
      <c r="I128" s="1443"/>
      <c r="J128" s="1443"/>
      <c r="K128" s="1443"/>
      <c r="L128" s="1443"/>
      <c r="M128" s="1443"/>
      <c r="N128" s="1443"/>
      <c r="O128" s="1443"/>
      <c r="P128" s="1444"/>
      <c r="Q128" s="1437"/>
    </row>
    <row r="129" spans="1:17" ht="15">
      <c r="A129" s="1437"/>
      <c r="B129" s="1442"/>
      <c r="C129" s="1443" t="s">
        <v>923</v>
      </c>
      <c r="D129" s="1443"/>
      <c r="E129" s="1443"/>
      <c r="F129" s="1443"/>
      <c r="G129" s="1443"/>
      <c r="H129" s="1443"/>
      <c r="I129" s="1443"/>
      <c r="J129" s="1443"/>
      <c r="K129" s="1443"/>
      <c r="L129" s="1443"/>
      <c r="M129" s="1443"/>
      <c r="N129" s="1443"/>
      <c r="O129" s="1443"/>
      <c r="P129" s="1444"/>
      <c r="Q129" s="1437"/>
    </row>
    <row r="130" spans="1:17" ht="15">
      <c r="A130" s="1437"/>
      <c r="B130" s="1442"/>
      <c r="C130" s="1443"/>
      <c r="D130" s="1443"/>
      <c r="E130" s="1443"/>
      <c r="F130" s="1443"/>
      <c r="G130" s="1443"/>
      <c r="H130" s="1443"/>
      <c r="I130" s="1443"/>
      <c r="J130" s="1443"/>
      <c r="K130" s="1443"/>
      <c r="L130" s="1443"/>
      <c r="M130" s="1443"/>
      <c r="N130" s="1443"/>
      <c r="O130" s="1443"/>
      <c r="P130" s="1444"/>
      <c r="Q130" s="1437"/>
    </row>
    <row r="131" spans="1:17" ht="15">
      <c r="A131" s="1437"/>
      <c r="B131" s="1442"/>
      <c r="C131" s="1443"/>
      <c r="D131" s="1443"/>
      <c r="E131" s="1443"/>
      <c r="F131" s="1443"/>
      <c r="G131" s="1443"/>
      <c r="H131" s="1443"/>
      <c r="I131" s="1443"/>
      <c r="J131" s="1443"/>
      <c r="K131" s="1443"/>
      <c r="L131" s="1443"/>
      <c r="M131" s="1443"/>
      <c r="N131" s="1443"/>
      <c r="O131" s="1443"/>
      <c r="P131" s="1444"/>
      <c r="Q131" s="1437"/>
    </row>
    <row r="132" spans="1:17" ht="15.75">
      <c r="A132" s="1437"/>
      <c r="B132" s="1442"/>
      <c r="C132" s="1443" t="s">
        <v>916</v>
      </c>
      <c r="D132" s="1443"/>
      <c r="E132" s="1443"/>
      <c r="F132" s="1443"/>
      <c r="G132" s="1443"/>
      <c r="H132" s="1443"/>
      <c r="I132" s="1455"/>
      <c r="J132" s="1455"/>
      <c r="K132" s="1455"/>
      <c r="L132" s="1455"/>
      <c r="M132" s="1443"/>
      <c r="N132" s="1292">
        <v>0</v>
      </c>
      <c r="O132" s="1449"/>
      <c r="P132" s="1444"/>
      <c r="Q132" s="1437"/>
    </row>
    <row r="133" spans="1:17" ht="15">
      <c r="A133" s="1437"/>
      <c r="B133" s="1442"/>
      <c r="C133" s="1445" t="s">
        <v>922</v>
      </c>
      <c r="D133" s="1443"/>
      <c r="E133" s="1443"/>
      <c r="F133" s="1443"/>
      <c r="G133" s="1443"/>
      <c r="H133" s="1443"/>
      <c r="I133" s="1443"/>
      <c r="J133" s="1443"/>
      <c r="K133" s="1443"/>
      <c r="L133" s="1446"/>
      <c r="M133" s="1443"/>
      <c r="N133" s="1443"/>
      <c r="O133" s="1443"/>
      <c r="P133" s="1444"/>
      <c r="Q133" s="1437"/>
    </row>
    <row r="134" spans="1:17" ht="15">
      <c r="A134" s="1437"/>
      <c r="B134" s="1442"/>
      <c r="C134" s="1443"/>
      <c r="D134" s="1443"/>
      <c r="E134" s="1443"/>
      <c r="F134" s="1443"/>
      <c r="G134" s="1443"/>
      <c r="H134" s="1443"/>
      <c r="I134" s="1443"/>
      <c r="J134" s="1443"/>
      <c r="K134" s="1443"/>
      <c r="L134" s="1443"/>
      <c r="M134" s="1443"/>
      <c r="N134" s="1443"/>
      <c r="O134" s="1443"/>
      <c r="P134" s="1444"/>
      <c r="Q134" s="1437"/>
    </row>
    <row r="135" spans="1:17" ht="15.75">
      <c r="A135" s="1437"/>
      <c r="B135" s="1442"/>
      <c r="C135" s="1443" t="s">
        <v>917</v>
      </c>
      <c r="D135" s="1443"/>
      <c r="E135" s="1443"/>
      <c r="F135" s="1443"/>
      <c r="G135" s="1443"/>
      <c r="H135" s="1443"/>
      <c r="I135" s="1455"/>
      <c r="J135" s="1455"/>
      <c r="K135" s="1455"/>
      <c r="L135" s="1456"/>
      <c r="M135" s="1443"/>
      <c r="N135" s="1292">
        <v>0</v>
      </c>
      <c r="O135" s="1449"/>
      <c r="P135" s="1444"/>
      <c r="Q135" s="1437"/>
    </row>
    <row r="136" spans="1:17" ht="15">
      <c r="A136" s="1437"/>
      <c r="B136" s="1442"/>
      <c r="C136" s="1445" t="s">
        <v>919</v>
      </c>
      <c r="D136" s="1443"/>
      <c r="E136" s="1443"/>
      <c r="F136" s="1443"/>
      <c r="G136" s="1443"/>
      <c r="H136" s="1443"/>
      <c r="I136" s="1457"/>
      <c r="J136" s="1457"/>
      <c r="K136" s="1457"/>
      <c r="L136" s="1457"/>
      <c r="M136" s="1443"/>
      <c r="N136" s="1454">
        <f>MIN(2000,N135+0)</f>
        <v>0</v>
      </c>
      <c r="O136" s="1443"/>
      <c r="P136" s="1444"/>
      <c r="Q136" s="1437"/>
    </row>
    <row r="137" spans="1:17" ht="15">
      <c r="A137" s="1437"/>
      <c r="B137" s="1442"/>
      <c r="C137" s="1443"/>
      <c r="D137" s="1443"/>
      <c r="E137" s="1443"/>
      <c r="F137" s="1443"/>
      <c r="G137" s="1443"/>
      <c r="H137" s="1443"/>
      <c r="I137" s="1443"/>
      <c r="J137" s="1443"/>
      <c r="K137" s="1443"/>
      <c r="L137" s="1443"/>
      <c r="M137" s="1443"/>
      <c r="N137" s="1443"/>
      <c r="O137" s="1443"/>
      <c r="P137" s="1444"/>
      <c r="Q137" s="1437"/>
    </row>
    <row r="138" spans="1:17" ht="15.75">
      <c r="A138" s="1437"/>
      <c r="B138" s="1442"/>
      <c r="C138" s="1443" t="s">
        <v>918</v>
      </c>
      <c r="D138" s="1443"/>
      <c r="E138" s="1443"/>
      <c r="F138" s="1443"/>
      <c r="G138" s="1443"/>
      <c r="H138" s="1443"/>
      <c r="I138" s="1455"/>
      <c r="J138" s="1455"/>
      <c r="K138" s="1455"/>
      <c r="L138" s="1455"/>
      <c r="M138" s="1443"/>
      <c r="N138" s="1292">
        <v>0</v>
      </c>
      <c r="O138" s="1449"/>
      <c r="P138" s="1444"/>
      <c r="Q138" s="1437"/>
    </row>
    <row r="139" spans="1:17" ht="15">
      <c r="A139" s="1437"/>
      <c r="B139" s="1442"/>
      <c r="C139" s="1445" t="s">
        <v>920</v>
      </c>
      <c r="D139" s="1443"/>
      <c r="E139" s="1443"/>
      <c r="F139" s="1443"/>
      <c r="G139" s="1443"/>
      <c r="H139" s="1443"/>
      <c r="I139" s="1443"/>
      <c r="J139" s="1443"/>
      <c r="K139" s="1443"/>
      <c r="L139" s="1443"/>
      <c r="M139" s="1443"/>
      <c r="N139" s="1443"/>
      <c r="O139" s="1443"/>
      <c r="P139" s="1444"/>
      <c r="Q139" s="1437"/>
    </row>
    <row r="140" spans="1:17" ht="15">
      <c r="A140" s="1437"/>
      <c r="B140" s="1442"/>
      <c r="C140" s="1445"/>
      <c r="D140" s="1443"/>
      <c r="E140" s="1443"/>
      <c r="F140" s="1443"/>
      <c r="G140" s="1443"/>
      <c r="H140" s="1443"/>
      <c r="I140" s="1443"/>
      <c r="J140" s="1443"/>
      <c r="K140" s="1443"/>
      <c r="L140" s="1443"/>
      <c r="M140" s="1443"/>
      <c r="N140" s="1443"/>
      <c r="O140" s="1443"/>
      <c r="P140" s="1444"/>
      <c r="Q140" s="1437"/>
    </row>
    <row r="141" spans="1:17" ht="28.5" customHeight="1">
      <c r="A141" s="1437"/>
      <c r="B141" s="1447"/>
      <c r="C141" s="1451" t="s">
        <v>925</v>
      </c>
      <c r="D141" s="1448"/>
      <c r="E141" s="1448"/>
      <c r="F141" s="1448"/>
      <c r="G141" s="1448"/>
      <c r="H141" s="1448"/>
      <c r="I141" s="1448"/>
      <c r="J141" s="1448"/>
      <c r="K141" s="1448"/>
      <c r="L141" s="1448"/>
      <c r="M141" s="1448"/>
      <c r="N141" s="1448"/>
      <c r="O141" s="1448"/>
      <c r="P141" s="1450"/>
      <c r="Q141" s="1437"/>
    </row>
    <row r="142" spans="1:17" ht="15">
      <c r="A142" s="1437"/>
      <c r="B142" s="1437"/>
      <c r="C142" s="1437"/>
      <c r="D142" s="1437"/>
      <c r="E142" s="1437"/>
      <c r="F142" s="1437"/>
      <c r="G142" s="1437"/>
      <c r="H142" s="1437"/>
      <c r="I142" s="1437"/>
      <c r="J142" s="1437"/>
      <c r="K142" s="1437"/>
      <c r="L142" s="1437"/>
      <c r="M142" s="1437"/>
      <c r="N142" s="1437"/>
      <c r="O142" s="1437"/>
      <c r="P142" s="1437"/>
      <c r="Q142" s="1437"/>
    </row>
  </sheetData>
  <sheetProtection password="EC35" sheet="1" objects="1" scenarios="1"/>
  <mergeCells count="13">
    <mergeCell ref="R1:R122"/>
    <mergeCell ref="C45:D45"/>
    <mergeCell ref="C46:D46"/>
    <mergeCell ref="D116:L116"/>
    <mergeCell ref="D30:H30"/>
    <mergeCell ref="J30:L30"/>
    <mergeCell ref="N30:O30"/>
    <mergeCell ref="D32:O32"/>
    <mergeCell ref="J23:L23"/>
    <mergeCell ref="D23:H23"/>
    <mergeCell ref="N23:O23"/>
    <mergeCell ref="D25:O25"/>
    <mergeCell ref="H119:L119"/>
  </mergeCells>
  <hyperlinks>
    <hyperlink ref="R1:R122" location="'GO TO'!G17" display=" "/>
  </hyperlinks>
  <printOptions horizontalCentered="1"/>
  <pageMargins left="0" right="0" top="0" bottom="0" header="0" footer="0.5"/>
  <pageSetup fitToHeight="0" fitToWidth="1" horizontalDpi="600" verticalDpi="600" orientation="portrait" scale="73" r:id="rId4"/>
  <rowBreaks count="2" manualBreakCount="2">
    <brk id="62" max="255" man="1"/>
    <brk id="122" max="16" man="1"/>
  </rowBreaks>
  <drawing r:id="rId3"/>
  <legacyDrawing r:id="rId2"/>
</worksheet>
</file>

<file path=xl/worksheets/sheet35.xml><?xml version="1.0" encoding="utf-8"?>
<worksheet xmlns="http://schemas.openxmlformats.org/spreadsheetml/2006/main" xmlns:r="http://schemas.openxmlformats.org/officeDocument/2006/relationships">
  <sheetPr codeName="Sheet8">
    <pageSetUpPr fitToPage="1"/>
  </sheetPr>
  <dimension ref="A1:M63"/>
  <sheetViews>
    <sheetView showGridLines="0" zoomScale="90" zoomScaleNormal="90" workbookViewId="0" topLeftCell="A1">
      <selection activeCell="C3" sqref="C3"/>
    </sheetView>
  </sheetViews>
  <sheetFormatPr defaultColWidth="8.88671875" defaultRowHeight="15"/>
  <cols>
    <col min="1" max="1" width="2.10546875" style="399" customWidth="1"/>
    <col min="2" max="2" width="0.9921875" style="399" customWidth="1"/>
    <col min="3" max="3" width="7.10546875" style="399" customWidth="1"/>
    <col min="4" max="4" width="16.77734375" style="399" customWidth="1"/>
    <col min="5" max="5" width="17.77734375" style="399" customWidth="1"/>
    <col min="6" max="6" width="16.77734375" style="399" customWidth="1"/>
    <col min="7" max="7" width="9.10546875" style="399" customWidth="1"/>
    <col min="8" max="8" width="2.88671875" style="399" customWidth="1"/>
    <col min="9" max="9" width="9.10546875" style="399" customWidth="1"/>
    <col min="10" max="10" width="2.77734375" style="399" customWidth="1"/>
    <col min="11" max="11" width="2.10546875" style="399" customWidth="1"/>
    <col min="12" max="16384" width="7.10546875" style="399" customWidth="1"/>
  </cols>
  <sheetData>
    <row r="1" spans="1:12" ht="15" customHeight="1">
      <c r="A1" s="395"/>
      <c r="C1" s="397"/>
      <c r="D1" s="897" t="s">
        <v>181</v>
      </c>
      <c r="E1" s="601"/>
      <c r="F1" s="397"/>
      <c r="G1" s="397"/>
      <c r="H1" s="397"/>
      <c r="I1" s="895" t="str">
        <f>"Employee Overpayment of "&amp;yeartext&amp;" Canada Pension Plan"</f>
        <v>Employee Overpayment of 2007 Canada Pension Plan</v>
      </c>
      <c r="J1" s="397"/>
      <c r="K1" s="397"/>
      <c r="L1" s="1495" t="s">
        <v>1659</v>
      </c>
    </row>
    <row r="2" spans="1:12" ht="12.75" customHeight="1">
      <c r="A2" s="395"/>
      <c r="C2" s="397"/>
      <c r="D2" s="896" t="s">
        <v>182</v>
      </c>
      <c r="E2" s="601"/>
      <c r="F2" s="397"/>
      <c r="G2" s="397"/>
      <c r="H2" s="397"/>
      <c r="I2" s="895" t="str">
        <f>"Contributions and "&amp;yeartext&amp;" Employment Insurance Premiums"</f>
        <v>Contributions and 2007 Employment Insurance Premiums</v>
      </c>
      <c r="J2" s="397"/>
      <c r="K2" s="397"/>
      <c r="L2" s="1495"/>
    </row>
    <row r="3" spans="1:12" ht="9.75" customHeight="1">
      <c r="A3" s="395"/>
      <c r="B3" s="400"/>
      <c r="C3" s="397"/>
      <c r="D3" s="52"/>
      <c r="E3" s="52"/>
      <c r="F3" s="397"/>
      <c r="G3" s="397"/>
      <c r="H3" s="397"/>
      <c r="I3" s="397"/>
      <c r="J3" s="397"/>
      <c r="K3" s="397"/>
      <c r="L3" s="1495"/>
    </row>
    <row r="4" spans="1:12" ht="12" customHeight="1">
      <c r="A4" s="398"/>
      <c r="B4" s="398"/>
      <c r="C4" s="397" t="s">
        <v>1767</v>
      </c>
      <c r="D4" s="52"/>
      <c r="E4" s="52"/>
      <c r="F4" s="397"/>
      <c r="G4" s="397"/>
      <c r="H4" s="397"/>
      <c r="I4" s="397"/>
      <c r="J4" s="397"/>
      <c r="K4" s="397"/>
      <c r="L4" s="1495"/>
    </row>
    <row r="5" spans="1:12" ht="12" customHeight="1">
      <c r="A5" s="398"/>
      <c r="B5" s="398"/>
      <c r="C5" s="397" t="str">
        <f>"you had no self-employment earnings and you were not a resident of Quebec on December 31, "&amp;yeartext&amp;", complete Part 1."</f>
        <v>you had no self-employment earnings and you were not a resident of Quebec on December 31, 2007, complete Part 1.</v>
      </c>
      <c r="D5" s="52"/>
      <c r="E5" s="52"/>
      <c r="F5" s="397"/>
      <c r="G5" s="397"/>
      <c r="H5" s="397"/>
      <c r="I5" s="397" t="s">
        <v>1768</v>
      </c>
      <c r="J5" s="397"/>
      <c r="K5" s="397"/>
      <c r="L5" s="1495"/>
    </row>
    <row r="6" spans="1:12" ht="15.75" customHeight="1">
      <c r="A6" s="398"/>
      <c r="B6" s="398"/>
      <c r="C6" s="898" t="str">
        <f>"resident of Quebec on December 31, "&amp;yeartext&amp;", and you made CPP or QPP contributions, see your Quebec provincial income tax guide."</f>
        <v>resident of Quebec on December 31, 2007, and you made CPP or QPP contributions, see your Quebec provincial income tax guide.</v>
      </c>
      <c r="D6" s="52"/>
      <c r="E6" s="52"/>
      <c r="F6" s="397"/>
      <c r="G6" s="397"/>
      <c r="H6" s="397"/>
      <c r="I6" s="397"/>
      <c r="J6" s="397"/>
      <c r="K6" s="397"/>
      <c r="L6" s="1495"/>
    </row>
    <row r="7" spans="1:13" ht="18">
      <c r="A7" s="395"/>
      <c r="B7" s="400"/>
      <c r="C7" s="416" t="s">
        <v>593</v>
      </c>
      <c r="D7" s="52"/>
      <c r="E7" s="52"/>
      <c r="F7" s="397"/>
      <c r="G7" s="397"/>
      <c r="H7" s="397"/>
      <c r="I7" s="397"/>
      <c r="J7" s="397"/>
      <c r="K7" s="397"/>
      <c r="L7" s="1495"/>
      <c r="M7" s="1201"/>
    </row>
    <row r="8" spans="1:13" ht="18">
      <c r="A8" s="395"/>
      <c r="B8" s="402"/>
      <c r="C8" s="426" t="s">
        <v>1272</v>
      </c>
      <c r="D8" s="52"/>
      <c r="E8" s="52"/>
      <c r="F8" s="404"/>
      <c r="G8" s="404"/>
      <c r="H8" s="404"/>
      <c r="I8" s="404"/>
      <c r="J8" s="405"/>
      <c r="K8" s="406"/>
      <c r="L8" s="1495"/>
      <c r="M8" s="1008"/>
    </row>
    <row r="9" spans="1:13" ht="12" customHeight="1">
      <c r="A9" s="395"/>
      <c r="B9" s="407"/>
      <c r="C9" s="426" t="s">
        <v>594</v>
      </c>
      <c r="D9" s="52"/>
      <c r="E9" s="52"/>
      <c r="F9" s="406"/>
      <c r="G9" s="406"/>
      <c r="H9" s="406"/>
      <c r="I9" s="406"/>
      <c r="J9" s="409"/>
      <c r="K9" s="406"/>
      <c r="L9" s="1495"/>
      <c r="M9" s="1008"/>
    </row>
    <row r="10" spans="1:13" ht="12" customHeight="1">
      <c r="A10" s="395"/>
      <c r="B10" s="407"/>
      <c r="C10" s="441" t="str">
        <f>"● If you turned 18 in "&amp;yeartext&amp;", use the number of months in the year after the month you turned 18."</f>
        <v>● If you turned 18 in 2007, use the number of months in the year after the month you turned 18.</v>
      </c>
      <c r="D10" s="52"/>
      <c r="E10" s="52"/>
      <c r="F10" s="406"/>
      <c r="G10" s="406"/>
      <c r="H10" s="406"/>
      <c r="I10" s="406"/>
      <c r="J10" s="409"/>
      <c r="K10" s="406"/>
      <c r="L10" s="1495"/>
      <c r="M10" s="1000">
        <f>year-18</f>
        <v>1989</v>
      </c>
    </row>
    <row r="11" spans="1:13" ht="12" customHeight="1">
      <c r="A11" s="395"/>
      <c r="B11" s="407"/>
      <c r="C11" s="441" t="str">
        <f>"● If you turned 70 in "&amp;yeartext&amp;", use the number of months in the year up to and including the month your turned 70."</f>
        <v>● If you turned 70 in 2007, use the number of months in the year up to and including the month your turned 70.</v>
      </c>
      <c r="D11" s="52"/>
      <c r="E11" s="52"/>
      <c r="F11" s="406"/>
      <c r="G11" s="406"/>
      <c r="H11" s="406"/>
      <c r="I11" s="406"/>
      <c r="J11" s="409"/>
      <c r="K11" s="406"/>
      <c r="L11" s="1495"/>
      <c r="M11" s="1000" t="str">
        <f>TEXT(year18,"0000")</f>
        <v>1989</v>
      </c>
    </row>
    <row r="12" spans="1:13" ht="12" customHeight="1">
      <c r="A12" s="395"/>
      <c r="B12" s="407"/>
      <c r="C12" s="441" t="str">
        <f>"● If you received, or were entitled to receive, a CPP retirement pension, or a CPP or QPP disability pension for part of "&amp;yeartext&amp;", use the"</f>
        <v>● If you received, or were entitled to receive, a CPP retirement pension, or a CPP or QPP disability pension for part of 2007, use the</v>
      </c>
      <c r="D12" s="52"/>
      <c r="E12" s="52"/>
      <c r="F12" s="406"/>
      <c r="G12" s="406"/>
      <c r="H12" s="406"/>
      <c r="I12" s="406"/>
      <c r="J12" s="409"/>
      <c r="K12" s="406"/>
      <c r="L12" s="1495"/>
      <c r="M12" s="1000" t="str">
        <f>TEXT(year70,"0000")</f>
        <v>1937</v>
      </c>
    </row>
    <row r="13" spans="1:13" ht="12" customHeight="1">
      <c r="A13" s="395"/>
      <c r="B13" s="407"/>
      <c r="C13" s="406" t="s">
        <v>1770</v>
      </c>
      <c r="D13" s="52"/>
      <c r="E13" s="52"/>
      <c r="F13" s="406"/>
      <c r="G13" s="406"/>
      <c r="H13" s="406"/>
      <c r="I13" s="406"/>
      <c r="J13" s="409"/>
      <c r="K13" s="406"/>
      <c r="L13" s="1495"/>
      <c r="M13" s="1000">
        <f>year-70</f>
        <v>1937</v>
      </c>
    </row>
    <row r="14" spans="1:12" ht="13.5" customHeight="1">
      <c r="A14" s="395"/>
      <c r="B14" s="407"/>
      <c r="C14" s="441" t="str">
        <f>"● If the individual died in "&amp;yeartext&amp;", use the number of months in the year up to and including the month the individual died."</f>
        <v>● If the individual died in 2007, use the number of months in the year up to and including the month the individual died.</v>
      </c>
      <c r="D14" s="52"/>
      <c r="E14" s="52"/>
      <c r="F14" s="406"/>
      <c r="G14" s="406"/>
      <c r="H14" s="406"/>
      <c r="I14" s="406"/>
      <c r="J14" s="409"/>
      <c r="K14" s="406"/>
      <c r="L14" s="1495"/>
    </row>
    <row r="15" spans="1:12" ht="6" customHeight="1">
      <c r="A15" s="395"/>
      <c r="B15" s="411"/>
      <c r="C15" s="410"/>
      <c r="D15" s="52"/>
      <c r="E15" s="52"/>
      <c r="F15" s="406"/>
      <c r="G15" s="406"/>
      <c r="H15" s="406"/>
      <c r="I15" s="445">
        <f>IF('T1 GEN-1'!T40=year,'T1 GEN-1'!U40,IF(OR('T1 GEN-1'!T14&gt;year18,'T1 GEN-1'!T14&lt;year70),0,IF(OR('T1 GEN-1'!T14=year18,'T1 GEN-1'!T14=year70),IF('T1 GEN-1'!T14=year18,12-'T1 GEN-1'!U14,'T1 GEN-1'!U14),12)))</f>
        <v>12</v>
      </c>
      <c r="J15" s="409"/>
      <c r="K15" s="406"/>
      <c r="L15" s="1495"/>
    </row>
    <row r="16" spans="1:12" ht="12" customHeight="1">
      <c r="A16" s="395"/>
      <c r="B16" s="407"/>
      <c r="C16" s="406"/>
      <c r="D16" s="52"/>
      <c r="E16" s="52"/>
      <c r="F16" s="406"/>
      <c r="G16" s="412" t="s">
        <v>448</v>
      </c>
      <c r="H16" s="406"/>
      <c r="I16" s="480">
        <f>I15</f>
        <v>12</v>
      </c>
      <c r="J16" s="409"/>
      <c r="K16" s="406"/>
      <c r="L16" s="1495"/>
    </row>
    <row r="17" spans="1:12" ht="18">
      <c r="A17" s="395"/>
      <c r="B17" s="407"/>
      <c r="C17" s="406" t="s">
        <v>1816</v>
      </c>
      <c r="D17" s="52"/>
      <c r="E17" s="52"/>
      <c r="F17" s="432"/>
      <c r="G17" s="412" t="s">
        <v>2345</v>
      </c>
      <c r="H17" s="406"/>
      <c r="I17" s="443">
        <f>MIN(TRUNC(I16*43700/12,2),MISC!L84)</f>
        <v>0</v>
      </c>
      <c r="J17" s="413">
        <v>1</v>
      </c>
      <c r="K17" s="414"/>
      <c r="L17" s="1495"/>
    </row>
    <row r="18" spans="1:12" ht="16.5" customHeight="1" thickBot="1">
      <c r="A18" s="395"/>
      <c r="B18" s="407"/>
      <c r="C18" s="406" t="s">
        <v>1817</v>
      </c>
      <c r="D18" s="1209"/>
      <c r="E18" s="1209"/>
      <c r="F18" s="432"/>
      <c r="G18" s="412" t="s">
        <v>1818</v>
      </c>
      <c r="H18" s="406"/>
      <c r="I18" s="757">
        <f>ROUNDDOWN(I16*(3500/12),2)</f>
        <v>3500</v>
      </c>
      <c r="J18" s="413">
        <v>2</v>
      </c>
      <c r="K18" s="414"/>
      <c r="L18" s="1495"/>
    </row>
    <row r="19" spans="1:12" ht="15" customHeight="1">
      <c r="A19" s="395"/>
      <c r="B19" s="407"/>
      <c r="C19" s="406" t="s">
        <v>1819</v>
      </c>
      <c r="D19" s="52"/>
      <c r="E19" s="1210"/>
      <c r="F19" s="431"/>
      <c r="G19" s="412" t="s">
        <v>2346</v>
      </c>
      <c r="H19" s="406"/>
      <c r="I19" s="443">
        <f>MAX(0,MIN(TRUNC(I16*40200/12,2),I17-I18))</f>
        <v>0</v>
      </c>
      <c r="J19" s="413">
        <v>3</v>
      </c>
      <c r="K19" s="414"/>
      <c r="L19" s="1495"/>
    </row>
    <row r="20" spans="1:12" ht="6" customHeight="1">
      <c r="A20" s="395"/>
      <c r="B20" s="407"/>
      <c r="C20" s="406"/>
      <c r="D20" s="52"/>
      <c r="E20" s="52"/>
      <c r="F20" s="406"/>
      <c r="G20" s="412"/>
      <c r="H20" s="406"/>
      <c r="I20" s="406"/>
      <c r="J20" s="413"/>
      <c r="K20" s="414"/>
      <c r="L20" s="1495"/>
    </row>
    <row r="21" spans="1:12" ht="12" customHeight="1">
      <c r="A21" s="395"/>
      <c r="B21" s="407"/>
      <c r="C21" s="406" t="s">
        <v>1820</v>
      </c>
      <c r="D21" s="52"/>
      <c r="E21" s="52"/>
      <c r="F21" s="432"/>
      <c r="G21" s="432"/>
      <c r="H21" s="406"/>
      <c r="I21" s="443">
        <f>MISC!L85</f>
        <v>0</v>
      </c>
      <c r="J21" s="413">
        <v>4</v>
      </c>
      <c r="K21" s="414"/>
      <c r="L21" s="1495"/>
    </row>
    <row r="22" spans="1:12" ht="12" customHeight="1">
      <c r="A22" s="395"/>
      <c r="B22" s="407"/>
      <c r="C22" s="406" t="s">
        <v>2117</v>
      </c>
      <c r="D22" s="52"/>
      <c r="E22" s="1209"/>
      <c r="F22" s="432"/>
      <c r="G22" s="412" t="s">
        <v>2347</v>
      </c>
      <c r="H22" s="406"/>
      <c r="I22" s="443">
        <f>MIN(TRUNC(I16*1989.9/12,2),I19*0.0495)</f>
        <v>0</v>
      </c>
      <c r="J22" s="413">
        <v>5</v>
      </c>
      <c r="K22" s="414"/>
      <c r="L22" s="1495"/>
    </row>
    <row r="23" spans="1:12" ht="12" customHeight="1">
      <c r="A23" s="395"/>
      <c r="B23" s="407"/>
      <c r="C23" s="406" t="s">
        <v>1899</v>
      </c>
      <c r="D23" s="408"/>
      <c r="E23" s="431"/>
      <c r="F23" s="406"/>
      <c r="G23" s="415" t="s">
        <v>1821</v>
      </c>
      <c r="H23" s="406"/>
      <c r="I23" s="756">
        <f>(I21-I22)</f>
        <v>0</v>
      </c>
      <c r="J23" s="413">
        <v>6</v>
      </c>
      <c r="K23" s="414"/>
      <c r="L23" s="1495"/>
    </row>
    <row r="24" spans="1:12" ht="6" customHeight="1">
      <c r="A24" s="395"/>
      <c r="B24" s="407"/>
      <c r="C24" s="406"/>
      <c r="D24" s="408"/>
      <c r="E24" s="406"/>
      <c r="F24" s="416"/>
      <c r="G24" s="415"/>
      <c r="H24" s="406"/>
      <c r="I24" s="417"/>
      <c r="J24" s="413"/>
      <c r="K24" s="414"/>
      <c r="L24" s="1495"/>
    </row>
    <row r="25" spans="1:12" ht="12" customHeight="1">
      <c r="A25" s="395"/>
      <c r="B25" s="407"/>
      <c r="C25" s="406" t="s">
        <v>595</v>
      </c>
      <c r="D25" s="408"/>
      <c r="E25" s="406"/>
      <c r="F25" s="406"/>
      <c r="G25" s="406"/>
      <c r="H25" s="406"/>
      <c r="I25" s="406"/>
      <c r="J25" s="409"/>
      <c r="K25" s="406"/>
      <c r="L25" s="1495"/>
    </row>
    <row r="26" spans="1:12" ht="12" customHeight="1">
      <c r="A26" s="395"/>
      <c r="B26" s="407"/>
      <c r="C26" s="406" t="s">
        <v>2356</v>
      </c>
      <c r="D26" s="408"/>
      <c r="E26" s="406"/>
      <c r="F26" s="406"/>
      <c r="G26" s="406"/>
      <c r="H26" s="406"/>
      <c r="I26" s="406"/>
      <c r="J26" s="409"/>
      <c r="K26" s="406"/>
      <c r="L26" s="1495"/>
    </row>
    <row r="27" spans="1:12" ht="12" customHeight="1">
      <c r="A27" s="395"/>
      <c r="B27" s="407"/>
      <c r="C27" s="406" t="s">
        <v>596</v>
      </c>
      <c r="D27" s="408"/>
      <c r="E27" s="406"/>
      <c r="F27" s="406"/>
      <c r="G27" s="406"/>
      <c r="H27" s="406"/>
      <c r="I27" s="406"/>
      <c r="J27" s="409"/>
      <c r="K27" s="406"/>
      <c r="L27" s="1495"/>
    </row>
    <row r="28" spans="1:12" ht="15.75" customHeight="1">
      <c r="A28" s="395"/>
      <c r="B28" s="407"/>
      <c r="C28" s="416"/>
      <c r="D28" s="408"/>
      <c r="E28" s="416" t="str">
        <f>"Monthly Proration Table for "&amp;yeartext</f>
        <v>Monthly Proration Table for 2007</v>
      </c>
      <c r="F28" s="406"/>
      <c r="G28" s="406"/>
      <c r="H28" s="406"/>
      <c r="I28" s="406"/>
      <c r="J28" s="409"/>
      <c r="K28" s="406"/>
      <c r="L28" s="1495"/>
    </row>
    <row r="29" spans="1:12" ht="12.75" customHeight="1">
      <c r="A29" s="395"/>
      <c r="B29" s="402"/>
      <c r="C29" s="418" t="s">
        <v>1005</v>
      </c>
      <c r="D29" s="440" t="s">
        <v>1695</v>
      </c>
      <c r="E29" s="440" t="s">
        <v>1696</v>
      </c>
      <c r="F29" s="440" t="s">
        <v>1697</v>
      </c>
      <c r="G29" s="1689" t="s">
        <v>597</v>
      </c>
      <c r="H29" s="1690"/>
      <c r="I29" s="1690"/>
      <c r="J29" s="405"/>
      <c r="K29" s="406"/>
      <c r="L29" s="1495"/>
    </row>
    <row r="30" spans="1:12" ht="12.75">
      <c r="A30" s="395"/>
      <c r="B30" s="407"/>
      <c r="C30" s="438" t="s">
        <v>1006</v>
      </c>
      <c r="D30" s="439" t="s">
        <v>1698</v>
      </c>
      <c r="E30" s="439" t="s">
        <v>1394</v>
      </c>
      <c r="F30" s="439" t="s">
        <v>1394</v>
      </c>
      <c r="G30" s="1698" t="s">
        <v>1822</v>
      </c>
      <c r="H30" s="1699"/>
      <c r="I30" s="1699"/>
      <c r="J30" s="409"/>
      <c r="K30" s="406"/>
      <c r="L30" s="1495"/>
    </row>
    <row r="31" spans="1:12" ht="12.75">
      <c r="A31" s="395"/>
      <c r="B31" s="419"/>
      <c r="C31" s="420" t="s">
        <v>1823</v>
      </c>
      <c r="D31" s="421" t="s">
        <v>1699</v>
      </c>
      <c r="E31" s="421" t="s">
        <v>1700</v>
      </c>
      <c r="F31" s="421" t="s">
        <v>1004</v>
      </c>
      <c r="G31" s="1693" t="s">
        <v>1824</v>
      </c>
      <c r="H31" s="1694"/>
      <c r="I31" s="1694"/>
      <c r="J31" s="409"/>
      <c r="K31" s="406"/>
      <c r="L31" s="1495"/>
    </row>
    <row r="32" spans="1:12" ht="10.5" customHeight="1">
      <c r="A32" s="395"/>
      <c r="B32" s="422"/>
      <c r="C32" s="423">
        <v>1</v>
      </c>
      <c r="D32" s="424">
        <f>(C32/12)*$D$43-0.01</f>
        <v>3641.66</v>
      </c>
      <c r="E32" s="424">
        <f>ROUNDDOWN((C32/12)*$E$43,2)</f>
        <v>291.66</v>
      </c>
      <c r="F32" s="424">
        <f>ROUNDUP((C32/12)*$F$43,2)</f>
        <v>3350</v>
      </c>
      <c r="G32" s="1691">
        <f>(C32/12)*$G$43</f>
        <v>165.83</v>
      </c>
      <c r="H32" s="1692"/>
      <c r="I32" s="1692"/>
      <c r="J32" s="425"/>
      <c r="K32" s="406"/>
      <c r="L32" s="1495"/>
    </row>
    <row r="33" spans="1:12" ht="10.5" customHeight="1">
      <c r="A33" s="395"/>
      <c r="B33" s="422"/>
      <c r="C33" s="423">
        <v>2</v>
      </c>
      <c r="D33" s="424">
        <f aca="true" t="shared" si="0" ref="D33:D42">(C33/12)*$D$43</f>
        <v>7283.33</v>
      </c>
      <c r="E33" s="424">
        <f aca="true" t="shared" si="1" ref="E33:E42">ROUNDDOWN((C33/12)*$E$43,2)</f>
        <v>583.33</v>
      </c>
      <c r="F33" s="424">
        <f aca="true" t="shared" si="2" ref="F33:F42">ROUNDUP((C33/12)*$F$43,2)</f>
        <v>6700</v>
      </c>
      <c r="G33" s="1691">
        <f aca="true" t="shared" si="3" ref="G33:G42">(C33/12)*$G$43</f>
        <v>331.65</v>
      </c>
      <c r="H33" s="1692"/>
      <c r="I33" s="1692"/>
      <c r="J33" s="425"/>
      <c r="K33" s="406"/>
      <c r="L33" s="1495"/>
    </row>
    <row r="34" spans="1:12" ht="10.5" customHeight="1">
      <c r="A34" s="395"/>
      <c r="B34" s="422"/>
      <c r="C34" s="423">
        <v>3</v>
      </c>
      <c r="D34" s="424">
        <f t="shared" si="0"/>
        <v>10925</v>
      </c>
      <c r="E34" s="424">
        <f>ROUNDDOWN((C34/12)*$E$43,2)</f>
        <v>875</v>
      </c>
      <c r="F34" s="424">
        <f>ROUNDUP((C34/12)*$F$43,2)</f>
        <v>10050</v>
      </c>
      <c r="G34" s="1691">
        <f t="shared" si="3"/>
        <v>497.48</v>
      </c>
      <c r="H34" s="1692"/>
      <c r="I34" s="1692"/>
      <c r="J34" s="425"/>
      <c r="K34" s="406"/>
      <c r="L34" s="1495"/>
    </row>
    <row r="35" spans="1:12" ht="10.5" customHeight="1">
      <c r="A35" s="395"/>
      <c r="B35" s="422"/>
      <c r="C35" s="423">
        <v>4</v>
      </c>
      <c r="D35" s="424">
        <f>(C35/12)*$D$43-0.01</f>
        <v>14566.66</v>
      </c>
      <c r="E35" s="424">
        <f t="shared" si="1"/>
        <v>1166.66</v>
      </c>
      <c r="F35" s="424">
        <f t="shared" si="2"/>
        <v>13400</v>
      </c>
      <c r="G35" s="1691">
        <f t="shared" si="3"/>
        <v>663.3</v>
      </c>
      <c r="H35" s="1692"/>
      <c r="I35" s="1692"/>
      <c r="J35" s="425"/>
      <c r="K35" s="406"/>
      <c r="L35" s="1495"/>
    </row>
    <row r="36" spans="1:12" ht="10.5" customHeight="1">
      <c r="A36" s="395"/>
      <c r="B36" s="422"/>
      <c r="C36" s="423">
        <v>5</v>
      </c>
      <c r="D36" s="424">
        <f t="shared" si="0"/>
        <v>18208.33</v>
      </c>
      <c r="E36" s="424">
        <f t="shared" si="1"/>
        <v>1458.33</v>
      </c>
      <c r="F36" s="424">
        <f t="shared" si="2"/>
        <v>16750</v>
      </c>
      <c r="G36" s="1691">
        <f t="shared" si="3"/>
        <v>829.13</v>
      </c>
      <c r="H36" s="1692"/>
      <c r="I36" s="1692"/>
      <c r="J36" s="425"/>
      <c r="K36" s="406"/>
      <c r="L36" s="1495"/>
    </row>
    <row r="37" spans="1:12" ht="10.5" customHeight="1">
      <c r="A37" s="395"/>
      <c r="B37" s="422"/>
      <c r="C37" s="423">
        <v>6</v>
      </c>
      <c r="D37" s="424">
        <f t="shared" si="0"/>
        <v>21850</v>
      </c>
      <c r="E37" s="424">
        <f>ROUNDDOWN((C37/12)*$E$43,2)</f>
        <v>1750</v>
      </c>
      <c r="F37" s="424">
        <f>ROUNDUP((C37/12)*$F$43,2)</f>
        <v>20100</v>
      </c>
      <c r="G37" s="1691">
        <f t="shared" si="3"/>
        <v>994.95</v>
      </c>
      <c r="H37" s="1692"/>
      <c r="I37" s="1692"/>
      <c r="J37" s="425"/>
      <c r="K37" s="406"/>
      <c r="L37" s="1495"/>
    </row>
    <row r="38" spans="1:12" ht="10.5" customHeight="1">
      <c r="A38" s="395"/>
      <c r="B38" s="422"/>
      <c r="C38" s="423">
        <v>7</v>
      </c>
      <c r="D38" s="424">
        <f>(C38/12)*$D$43-0.01</f>
        <v>25491.66</v>
      </c>
      <c r="E38" s="424">
        <f t="shared" si="1"/>
        <v>2041.66</v>
      </c>
      <c r="F38" s="424">
        <f t="shared" si="2"/>
        <v>23450</v>
      </c>
      <c r="G38" s="1691">
        <f t="shared" si="3"/>
        <v>1160.78</v>
      </c>
      <c r="H38" s="1692"/>
      <c r="I38" s="1692"/>
      <c r="J38" s="425"/>
      <c r="K38" s="406"/>
      <c r="L38" s="1495"/>
    </row>
    <row r="39" spans="1:12" ht="10.5" customHeight="1">
      <c r="A39" s="395"/>
      <c r="B39" s="422"/>
      <c r="C39" s="423">
        <v>8</v>
      </c>
      <c r="D39" s="424">
        <f t="shared" si="0"/>
        <v>29133.33</v>
      </c>
      <c r="E39" s="424">
        <f t="shared" si="1"/>
        <v>2333.33</v>
      </c>
      <c r="F39" s="424">
        <f t="shared" si="2"/>
        <v>26800</v>
      </c>
      <c r="G39" s="1691">
        <f t="shared" si="3"/>
        <v>1326.6</v>
      </c>
      <c r="H39" s="1692"/>
      <c r="I39" s="1692"/>
      <c r="J39" s="425"/>
      <c r="K39" s="406"/>
      <c r="L39" s="1495"/>
    </row>
    <row r="40" spans="1:12" ht="10.5" customHeight="1">
      <c r="A40" s="395"/>
      <c r="B40" s="422"/>
      <c r="C40" s="423">
        <v>9</v>
      </c>
      <c r="D40" s="424">
        <f t="shared" si="0"/>
        <v>32775</v>
      </c>
      <c r="E40" s="424">
        <f>ROUNDDOWN((C40/12)*$E$43,2)</f>
        <v>2625</v>
      </c>
      <c r="F40" s="424">
        <f>ROUNDUP((C40/12)*$F$43,2)</f>
        <v>30150</v>
      </c>
      <c r="G40" s="1691">
        <f t="shared" si="3"/>
        <v>1492.43</v>
      </c>
      <c r="H40" s="1692"/>
      <c r="I40" s="1692"/>
      <c r="J40" s="425"/>
      <c r="K40" s="406"/>
      <c r="L40" s="1495"/>
    </row>
    <row r="41" spans="1:12" ht="10.5" customHeight="1">
      <c r="A41" s="395"/>
      <c r="B41" s="422"/>
      <c r="C41" s="423">
        <v>10</v>
      </c>
      <c r="D41" s="424">
        <f>(C41/12)*$D$43-0.01</f>
        <v>36416.66</v>
      </c>
      <c r="E41" s="424">
        <f t="shared" si="1"/>
        <v>2916.66</v>
      </c>
      <c r="F41" s="424">
        <f t="shared" si="2"/>
        <v>33500</v>
      </c>
      <c r="G41" s="1691">
        <f t="shared" si="3"/>
        <v>1658.25</v>
      </c>
      <c r="H41" s="1692"/>
      <c r="I41" s="1692"/>
      <c r="J41" s="425"/>
      <c r="K41" s="406"/>
      <c r="L41" s="1495"/>
    </row>
    <row r="42" spans="1:12" ht="10.5" customHeight="1">
      <c r="A42" s="395"/>
      <c r="B42" s="422"/>
      <c r="C42" s="423">
        <v>11</v>
      </c>
      <c r="D42" s="424">
        <f t="shared" si="0"/>
        <v>40058.33</v>
      </c>
      <c r="E42" s="424">
        <f t="shared" si="1"/>
        <v>3208.33</v>
      </c>
      <c r="F42" s="424">
        <f t="shared" si="2"/>
        <v>36850</v>
      </c>
      <c r="G42" s="1691">
        <f t="shared" si="3"/>
        <v>1824.08</v>
      </c>
      <c r="H42" s="1692"/>
      <c r="I42" s="1692"/>
      <c r="J42" s="425"/>
      <c r="K42" s="406"/>
      <c r="L42" s="1495"/>
    </row>
    <row r="43" spans="1:12" ht="10.5" customHeight="1">
      <c r="A43" s="395"/>
      <c r="B43" s="422"/>
      <c r="C43" s="423">
        <v>12</v>
      </c>
      <c r="D43" s="424">
        <f>(C43/12)*43700</f>
        <v>43700</v>
      </c>
      <c r="E43" s="424">
        <v>3500</v>
      </c>
      <c r="F43" s="424">
        <v>40200</v>
      </c>
      <c r="G43" s="1691">
        <f>1989.9</f>
        <v>1989.9</v>
      </c>
      <c r="H43" s="1692"/>
      <c r="I43" s="1692"/>
      <c r="J43" s="425"/>
      <c r="K43" s="406"/>
      <c r="L43" s="1495"/>
    </row>
    <row r="44" spans="1:12" ht="25.5" customHeight="1">
      <c r="A44" s="395"/>
      <c r="B44" s="1695" t="s">
        <v>1769</v>
      </c>
      <c r="C44" s="1523"/>
      <c r="D44" s="1523"/>
      <c r="E44" s="1523"/>
      <c r="F44" s="1523"/>
      <c r="G44" s="1523"/>
      <c r="H44" s="1523"/>
      <c r="I44" s="1523"/>
      <c r="J44" s="1523"/>
      <c r="K44" s="1523"/>
      <c r="L44" s="1495"/>
    </row>
    <row r="45" spans="1:12" ht="15" customHeight="1">
      <c r="A45" s="395"/>
      <c r="B45" s="397"/>
      <c r="C45" s="401" t="s">
        <v>543</v>
      </c>
      <c r="D45" s="400"/>
      <c r="E45" s="397"/>
      <c r="F45" s="397"/>
      <c r="G45" s="397"/>
      <c r="H45" s="397"/>
      <c r="I45" s="397"/>
      <c r="J45" s="397"/>
      <c r="K45" s="397"/>
      <c r="L45" s="1495"/>
    </row>
    <row r="46" spans="1:12" ht="12" customHeight="1">
      <c r="A46" s="395"/>
      <c r="B46" s="402"/>
      <c r="C46" s="404" t="s">
        <v>1771</v>
      </c>
      <c r="D46" s="403"/>
      <c r="E46" s="404"/>
      <c r="F46" s="404"/>
      <c r="G46" s="404"/>
      <c r="H46" s="404"/>
      <c r="I46" s="404"/>
      <c r="J46" s="405"/>
      <c r="K46" s="406"/>
      <c r="L46" s="1495"/>
    </row>
    <row r="47" spans="1:12" ht="12" customHeight="1">
      <c r="A47" s="395"/>
      <c r="B47" s="407"/>
      <c r="C47" s="406"/>
      <c r="D47" s="408"/>
      <c r="E47" s="406"/>
      <c r="F47" s="406"/>
      <c r="G47" s="412" t="s">
        <v>2348</v>
      </c>
      <c r="H47" s="406"/>
      <c r="I47" s="443">
        <f>IF(MISC!L86&gt;2000,MIN(40000,MISC!L86),0)</f>
        <v>0</v>
      </c>
      <c r="J47" s="413">
        <v>1</v>
      </c>
      <c r="K47" s="406"/>
      <c r="L47" s="1495"/>
    </row>
    <row r="48" spans="1:12" ht="12.75">
      <c r="A48" s="395"/>
      <c r="B48" s="407"/>
      <c r="C48" s="1203" t="s">
        <v>1159</v>
      </c>
      <c r="D48" s="414"/>
      <c r="E48" s="414"/>
      <c r="F48" s="414"/>
      <c r="G48" s="414"/>
      <c r="H48" s="1202"/>
      <c r="I48" s="430"/>
      <c r="J48" s="413"/>
      <c r="K48" s="414"/>
      <c r="L48" s="1495"/>
    </row>
    <row r="49" spans="1:12" ht="12" customHeight="1">
      <c r="A49" s="395"/>
      <c r="B49" s="407"/>
      <c r="C49" s="406"/>
      <c r="D49" s="1696" t="s">
        <v>1160</v>
      </c>
      <c r="E49" s="1697"/>
      <c r="F49" s="1697"/>
      <c r="G49" s="406"/>
      <c r="H49" s="406"/>
      <c r="I49" s="443">
        <f>MISC!L87</f>
        <v>0</v>
      </c>
      <c r="J49" s="413">
        <v>2</v>
      </c>
      <c r="K49" s="414"/>
      <c r="L49" s="1495"/>
    </row>
    <row r="50" spans="1:12" ht="12" customHeight="1" thickBot="1">
      <c r="A50" s="395"/>
      <c r="B50" s="407"/>
      <c r="C50" s="406" t="s">
        <v>1379</v>
      </c>
      <c r="D50" s="408"/>
      <c r="E50" s="406"/>
      <c r="F50" s="432"/>
      <c r="G50" s="431"/>
      <c r="H50" s="406"/>
      <c r="I50" s="757">
        <f>MAX(0,I47-2000)</f>
        <v>0</v>
      </c>
      <c r="J50" s="413">
        <v>3</v>
      </c>
      <c r="K50" s="414"/>
      <c r="L50" s="1495"/>
    </row>
    <row r="51" spans="1:12" ht="12" customHeight="1">
      <c r="A51" s="395"/>
      <c r="B51" s="407"/>
      <c r="C51" s="406" t="s">
        <v>2471</v>
      </c>
      <c r="D51" s="408"/>
      <c r="E51" s="431"/>
      <c r="F51" s="431"/>
      <c r="G51" s="431"/>
      <c r="H51" s="406"/>
      <c r="I51" s="443">
        <f>MAX(0,I49-I50)</f>
        <v>0</v>
      </c>
      <c r="J51" s="413">
        <v>4</v>
      </c>
      <c r="K51" s="414"/>
      <c r="L51" s="1495"/>
    </row>
    <row r="52" spans="1:12" ht="18.75" customHeight="1">
      <c r="A52" s="395"/>
      <c r="B52" s="407"/>
      <c r="C52" s="406" t="s">
        <v>1161</v>
      </c>
      <c r="D52" s="408"/>
      <c r="E52" s="406"/>
      <c r="F52" s="406"/>
      <c r="G52" s="406"/>
      <c r="H52" s="406"/>
      <c r="I52" s="426"/>
      <c r="J52" s="413"/>
      <c r="K52" s="414"/>
      <c r="L52" s="1495"/>
    </row>
    <row r="53" spans="1:12" ht="12" customHeight="1">
      <c r="A53" s="395"/>
      <c r="B53" s="407"/>
      <c r="C53" s="406"/>
      <c r="D53" s="1207" t="s">
        <v>439</v>
      </c>
      <c r="E53" s="406"/>
      <c r="F53" s="1204"/>
      <c r="G53" s="432"/>
      <c r="H53" s="406"/>
      <c r="I53" s="443">
        <f>MISC!L87</f>
        <v>0</v>
      </c>
      <c r="J53" s="413">
        <v>5</v>
      </c>
      <c r="K53" s="414"/>
      <c r="L53" s="1495"/>
    </row>
    <row r="54" spans="1:12" ht="12" customHeight="1">
      <c r="A54" s="395"/>
      <c r="B54" s="407"/>
      <c r="C54" s="406" t="s">
        <v>2350</v>
      </c>
      <c r="D54" s="408"/>
      <c r="E54" s="406"/>
      <c r="F54" s="406"/>
      <c r="G54" s="1414" t="s">
        <v>2349</v>
      </c>
      <c r="H54" s="406"/>
      <c r="I54" s="430"/>
      <c r="J54" s="413"/>
      <c r="K54" s="414"/>
      <c r="L54" s="1495"/>
    </row>
    <row r="55" spans="1:12" ht="12" customHeight="1" thickBot="1">
      <c r="A55" s="395"/>
      <c r="B55" s="407"/>
      <c r="C55" s="406"/>
      <c r="D55" s="1206" t="s">
        <v>2355</v>
      </c>
      <c r="E55" s="406"/>
      <c r="F55" s="432"/>
      <c r="G55" s="1204" t="s">
        <v>2351</v>
      </c>
      <c r="H55" s="406"/>
      <c r="I55" s="1205">
        <f>I47*0.018</f>
        <v>0</v>
      </c>
      <c r="J55" s="413">
        <v>6</v>
      </c>
      <c r="K55" s="414"/>
      <c r="L55" s="1495"/>
    </row>
    <row r="56" spans="1:12" ht="12" customHeight="1">
      <c r="A56" s="395"/>
      <c r="B56" s="407"/>
      <c r="C56" s="406" t="s">
        <v>815</v>
      </c>
      <c r="D56" s="408"/>
      <c r="E56" s="432"/>
      <c r="F56" s="431"/>
      <c r="G56" s="432"/>
      <c r="H56" s="406"/>
      <c r="I56" s="443">
        <f>MAX(0,I53-I55)</f>
        <v>0</v>
      </c>
      <c r="J56" s="413">
        <v>7</v>
      </c>
      <c r="K56" s="414"/>
      <c r="L56" s="1495"/>
    </row>
    <row r="57" spans="1:12" ht="6" customHeight="1">
      <c r="A57" s="395"/>
      <c r="B57" s="407"/>
      <c r="C57" s="406"/>
      <c r="D57" s="408"/>
      <c r="E57" s="406"/>
      <c r="F57" s="406"/>
      <c r="G57" s="406"/>
      <c r="H57" s="406"/>
      <c r="I57" s="426"/>
      <c r="J57" s="413"/>
      <c r="K57" s="414"/>
      <c r="L57" s="1495"/>
    </row>
    <row r="58" spans="1:12" ht="12" customHeight="1">
      <c r="A58" s="395"/>
      <c r="B58" s="407"/>
      <c r="C58" s="406" t="s">
        <v>2160</v>
      </c>
      <c r="D58" s="408"/>
      <c r="E58" s="406"/>
      <c r="F58" s="398"/>
      <c r="G58" s="433" t="s">
        <v>1849</v>
      </c>
      <c r="H58" s="406"/>
      <c r="I58" s="756">
        <f>MAX(I51,I56)</f>
        <v>0</v>
      </c>
      <c r="J58" s="413">
        <v>8</v>
      </c>
      <c r="K58" s="414"/>
      <c r="L58" s="1495"/>
    </row>
    <row r="59" spans="1:12" ht="12" customHeight="1">
      <c r="A59" s="395"/>
      <c r="B59" s="407"/>
      <c r="C59" s="406" t="s">
        <v>598</v>
      </c>
      <c r="D59" s="408"/>
      <c r="E59" s="406"/>
      <c r="F59" s="406"/>
      <c r="G59" s="406"/>
      <c r="H59" s="406"/>
      <c r="I59" s="426"/>
      <c r="J59" s="409"/>
      <c r="K59" s="406"/>
      <c r="L59" s="1495"/>
    </row>
    <row r="60" spans="1:12" ht="12" customHeight="1">
      <c r="A60" s="395"/>
      <c r="B60" s="419"/>
      <c r="C60" s="427" t="s">
        <v>599</v>
      </c>
      <c r="D60" s="428"/>
      <c r="E60" s="427"/>
      <c r="F60" s="427"/>
      <c r="G60" s="427"/>
      <c r="H60" s="427"/>
      <c r="I60" s="434"/>
      <c r="J60" s="435"/>
      <c r="K60" s="406"/>
      <c r="L60" s="1495"/>
    </row>
    <row r="61" spans="1:12" ht="12.75" customHeight="1">
      <c r="A61" s="395"/>
      <c r="B61" s="429"/>
      <c r="C61" s="436"/>
      <c r="D61" s="403"/>
      <c r="E61" s="404"/>
      <c r="F61" s="404"/>
      <c r="G61" s="404"/>
      <c r="H61" s="404"/>
      <c r="I61" s="437"/>
      <c r="J61" s="404"/>
      <c r="K61" s="406"/>
      <c r="L61" s="1495"/>
    </row>
    <row r="62" spans="1:12" ht="12.75" customHeight="1">
      <c r="A62" s="396"/>
      <c r="B62" s="397"/>
      <c r="C62" s="397"/>
      <c r="D62" s="400"/>
      <c r="E62" s="397"/>
      <c r="F62" s="397"/>
      <c r="G62" s="397"/>
      <c r="H62" s="397"/>
      <c r="I62" s="397"/>
      <c r="J62" s="397"/>
      <c r="K62" s="397"/>
      <c r="L62" s="1495"/>
    </row>
    <row r="63" ht="12.75">
      <c r="L63" s="940"/>
    </row>
  </sheetData>
  <sheetProtection password="EC35" sheet="1" objects="1" scenarios="1"/>
  <mergeCells count="18">
    <mergeCell ref="B44:K44"/>
    <mergeCell ref="D49:F49"/>
    <mergeCell ref="L1:L62"/>
    <mergeCell ref="G42:I42"/>
    <mergeCell ref="G43:I43"/>
    <mergeCell ref="G30:I30"/>
    <mergeCell ref="G38:I38"/>
    <mergeCell ref="G39:I39"/>
    <mergeCell ref="G40:I40"/>
    <mergeCell ref="G35:I35"/>
    <mergeCell ref="G29:I29"/>
    <mergeCell ref="G32:I32"/>
    <mergeCell ref="G41:I41"/>
    <mergeCell ref="G36:I36"/>
    <mergeCell ref="G37:I37"/>
    <mergeCell ref="G33:I33"/>
    <mergeCell ref="G34:I34"/>
    <mergeCell ref="G31:I31"/>
  </mergeCells>
  <dataValidations count="2">
    <dataValidation allowBlank="1" showErrorMessage="1" sqref="I15"/>
    <dataValidation type="whole" allowBlank="1" showInputMessage="1" showErrorMessage="1" promptTitle="Default Formula" prompt="You may have to override if you received a CPP or QPP retirement or disability pension for part of the year.&#10;See instructions above." errorTitle="MONTH ERROR" error="Value must be between 0 and 12" sqref="I16">
      <formula1>0</formula1>
      <formula2>12</formula2>
    </dataValidation>
  </dataValidations>
  <hyperlinks>
    <hyperlink ref="L1:L62" location="'GO TO'!G18" display=" "/>
  </hyperlinks>
  <printOptions horizontalCentered="1" verticalCentered="1"/>
  <pageMargins left="0" right="0" top="0" bottom="0" header="0.26" footer="0.5"/>
  <pageSetup fitToHeight="0" fitToWidth="1" horizontalDpi="600" verticalDpi="600" orientation="portrait" scale="97" r:id="rId2"/>
  <headerFooter alignWithMargins="0">
    <oddFooter>&amp;L&amp;9T2204  (07)</oddFooter>
  </headerFooter>
  <drawing r:id="rId1"/>
</worksheet>
</file>

<file path=xl/worksheets/sheet36.xml><?xml version="1.0" encoding="utf-8"?>
<worksheet xmlns="http://schemas.openxmlformats.org/spreadsheetml/2006/main" xmlns:r="http://schemas.openxmlformats.org/officeDocument/2006/relationships">
  <sheetPr codeName="Sheet20">
    <pageSetUpPr fitToPage="1"/>
  </sheetPr>
  <dimension ref="A1:J121"/>
  <sheetViews>
    <sheetView showGridLines="0" zoomScale="75" zoomScaleNormal="75" workbookViewId="0" topLeftCell="A1">
      <selection activeCell="B5" sqref="B5"/>
    </sheetView>
  </sheetViews>
  <sheetFormatPr defaultColWidth="8.88671875" defaultRowHeight="15"/>
  <cols>
    <col min="1" max="1" width="1.77734375" style="511" customWidth="1"/>
    <col min="2" max="2" width="45.3359375" style="511" customWidth="1"/>
    <col min="3" max="3" width="11.4453125" style="511" customWidth="1"/>
    <col min="4" max="4" width="5.21484375" style="511" customWidth="1"/>
    <col min="5" max="5" width="11.4453125" style="511" customWidth="1"/>
    <col min="6" max="6" width="5.21484375" style="511" customWidth="1"/>
    <col min="7" max="7" width="11.4453125" style="511" customWidth="1"/>
    <col min="8" max="8" width="5.21484375" style="511" customWidth="1"/>
    <col min="9" max="9" width="1.77734375" style="511" customWidth="1"/>
    <col min="10" max="10" width="9.4453125" style="511" customWidth="1"/>
    <col min="11" max="16384" width="7.10546875" style="511" customWidth="1"/>
  </cols>
  <sheetData>
    <row r="1" spans="1:10" ht="12.75">
      <c r="A1" s="509"/>
      <c r="B1" s="510"/>
      <c r="C1" s="509"/>
      <c r="D1" s="509"/>
      <c r="E1" s="509"/>
      <c r="F1" s="509"/>
      <c r="G1" s="509"/>
      <c r="H1" s="509"/>
      <c r="I1" s="509"/>
      <c r="J1" s="1706" t="s">
        <v>1659</v>
      </c>
    </row>
    <row r="2" spans="1:10" ht="15.75">
      <c r="A2" s="512"/>
      <c r="B2" s="513"/>
      <c r="C2" s="512"/>
      <c r="D2" s="512"/>
      <c r="E2" s="512"/>
      <c r="F2" s="512"/>
      <c r="G2" s="509"/>
      <c r="H2" s="514"/>
      <c r="I2" s="509"/>
      <c r="J2" s="1508"/>
    </row>
    <row r="3" spans="1:10" ht="18">
      <c r="A3" s="512"/>
      <c r="B3" s="515" t="s">
        <v>1384</v>
      </c>
      <c r="C3" s="512"/>
      <c r="D3" s="512"/>
      <c r="E3" s="516"/>
      <c r="F3" s="512"/>
      <c r="G3" s="509"/>
      <c r="H3" s="514"/>
      <c r="I3" s="509"/>
      <c r="J3" s="1508"/>
    </row>
    <row r="4" spans="1:10" ht="18">
      <c r="A4" s="512"/>
      <c r="B4" s="515" t="s">
        <v>1052</v>
      </c>
      <c r="C4" s="512"/>
      <c r="D4" s="512"/>
      <c r="E4" s="516"/>
      <c r="F4" s="512"/>
      <c r="G4" s="549">
        <f>year</f>
        <v>2007</v>
      </c>
      <c r="H4" s="514"/>
      <c r="I4" s="509"/>
      <c r="J4" s="1508"/>
    </row>
    <row r="5" spans="1:10" ht="11.25" customHeight="1">
      <c r="A5" s="512"/>
      <c r="B5" s="512"/>
      <c r="C5" s="512"/>
      <c r="D5" s="512"/>
      <c r="E5" s="516"/>
      <c r="F5" s="512"/>
      <c r="G5" s="517" t="s">
        <v>1053</v>
      </c>
      <c r="H5" s="514"/>
      <c r="I5" s="509"/>
      <c r="J5" s="1508"/>
    </row>
    <row r="6" spans="1:10" ht="13.5" customHeight="1">
      <c r="A6" s="512"/>
      <c r="B6" s="512" t="s">
        <v>2358</v>
      </c>
      <c r="C6" s="512"/>
      <c r="D6" s="512"/>
      <c r="E6" s="516"/>
      <c r="F6" s="512"/>
      <c r="G6" s="512"/>
      <c r="H6" s="514"/>
      <c r="I6" s="509"/>
      <c r="J6" s="1508"/>
    </row>
    <row r="7" spans="1:10" ht="20.25" customHeight="1">
      <c r="A7" s="512"/>
      <c r="B7" s="513" t="s">
        <v>2357</v>
      </c>
      <c r="C7" s="512"/>
      <c r="D7" s="512"/>
      <c r="E7" s="516"/>
      <c r="F7" s="512"/>
      <c r="G7" s="512"/>
      <c r="H7" s="514"/>
      <c r="I7" s="509"/>
      <c r="J7" s="1508"/>
    </row>
    <row r="8" spans="1:10" ht="12" customHeight="1">
      <c r="A8" s="512"/>
      <c r="B8" s="518" t="s">
        <v>1386</v>
      </c>
      <c r="C8" s="519"/>
      <c r="D8" s="519"/>
      <c r="E8" s="520"/>
      <c r="F8" s="518" t="s">
        <v>1387</v>
      </c>
      <c r="G8" s="521"/>
      <c r="H8" s="522"/>
      <c r="I8" s="509"/>
      <c r="J8" s="1508"/>
    </row>
    <row r="9" spans="1:10" ht="27" customHeight="1">
      <c r="A9" s="512"/>
      <c r="B9" s="1700" t="str">
        <f>'T1 GEN-1'!D12&amp;" "&amp;'T1 GEN-1'!D14</f>
        <v> </v>
      </c>
      <c r="C9" s="1701"/>
      <c r="D9" s="1701"/>
      <c r="E9" s="1702"/>
      <c r="F9" s="523"/>
      <c r="G9" s="545">
        <f>'T1 GEN-1'!T11</f>
        <v>0</v>
      </c>
      <c r="H9" s="524"/>
      <c r="I9" s="509"/>
      <c r="J9" s="1508"/>
    </row>
    <row r="10" spans="1:10" ht="11.25" customHeight="1">
      <c r="A10" s="512"/>
      <c r="B10" s="525" t="s">
        <v>1702</v>
      </c>
      <c r="C10" s="526"/>
      <c r="D10" s="526"/>
      <c r="E10" s="527"/>
      <c r="F10" s="518" t="s">
        <v>1387</v>
      </c>
      <c r="G10" s="526"/>
      <c r="H10" s="522"/>
      <c r="I10" s="509"/>
      <c r="J10" s="1508"/>
    </row>
    <row r="11" spans="1:10" ht="27" customHeight="1">
      <c r="A11" s="512"/>
      <c r="B11" s="1703">
        <f>'T1 GEN-1'!S28</f>
        <v>0</v>
      </c>
      <c r="C11" s="1704"/>
      <c r="D11" s="1704"/>
      <c r="E11" s="1705"/>
      <c r="F11" s="547"/>
      <c r="G11" s="545">
        <f>'T1 GEN-1'!T26</f>
        <v>0</v>
      </c>
      <c r="H11" s="548"/>
      <c r="I11" s="509"/>
      <c r="J11" s="1508"/>
    </row>
    <row r="12" spans="1:10" ht="27.75" customHeight="1">
      <c r="A12" s="512"/>
      <c r="B12" s="515" t="s">
        <v>1703</v>
      </c>
      <c r="C12" s="512"/>
      <c r="D12" s="512"/>
      <c r="E12" s="516"/>
      <c r="F12" s="512"/>
      <c r="G12" s="512"/>
      <c r="H12" s="514"/>
      <c r="I12" s="509"/>
      <c r="J12" s="1508"/>
    </row>
    <row r="13" spans="1:10" ht="26.25" customHeight="1">
      <c r="A13" s="512"/>
      <c r="B13" s="526" t="s">
        <v>647</v>
      </c>
      <c r="C13" s="526"/>
      <c r="D13" s="526"/>
      <c r="E13" s="527"/>
      <c r="F13" s="526"/>
      <c r="G13" s="526"/>
      <c r="H13" s="528"/>
      <c r="I13" s="509"/>
      <c r="J13" s="1508"/>
    </row>
    <row r="14" spans="1:10" ht="15.75">
      <c r="A14" s="529"/>
      <c r="B14" s="530" t="s">
        <v>2387</v>
      </c>
      <c r="C14" s="526"/>
      <c r="D14" s="526"/>
      <c r="E14" s="533">
        <f>IF(year=G4,'T4RSP'!J73,0)</f>
        <v>0</v>
      </c>
      <c r="F14" s="942">
        <v>1</v>
      </c>
      <c r="G14" s="526"/>
      <c r="H14" s="528"/>
      <c r="I14" s="509"/>
      <c r="J14" s="1508"/>
    </row>
    <row r="15" spans="1:10" ht="18">
      <c r="A15" s="529"/>
      <c r="B15" s="532" t="s">
        <v>2388</v>
      </c>
      <c r="C15" s="526"/>
      <c r="D15" s="526"/>
      <c r="E15" s="527"/>
      <c r="F15" s="942"/>
      <c r="G15" s="526"/>
      <c r="H15" s="528"/>
      <c r="I15" s="509"/>
      <c r="J15" s="1508"/>
    </row>
    <row r="16" spans="1:10" ht="15.75">
      <c r="A16" s="529"/>
      <c r="B16" s="532" t="s">
        <v>2389</v>
      </c>
      <c r="C16" s="526"/>
      <c r="D16" s="526"/>
      <c r="E16" s="533"/>
      <c r="F16" s="942">
        <v>2</v>
      </c>
      <c r="G16" s="526"/>
      <c r="H16" s="528"/>
      <c r="I16" s="509"/>
      <c r="J16" s="1508"/>
    </row>
    <row r="17" spans="1:10" ht="15.75">
      <c r="A17" s="529"/>
      <c r="B17" s="532" t="s">
        <v>648</v>
      </c>
      <c r="C17" s="526"/>
      <c r="D17" s="526"/>
      <c r="E17" s="531">
        <f>E14-E16</f>
        <v>0</v>
      </c>
      <c r="F17" s="534" t="s">
        <v>2390</v>
      </c>
      <c r="G17" s="531">
        <f>E17</f>
        <v>0</v>
      </c>
      <c r="H17" s="942">
        <v>3</v>
      </c>
      <c r="I17" s="509"/>
      <c r="J17" s="1508"/>
    </row>
    <row r="18" spans="1:10" ht="18">
      <c r="A18" s="529"/>
      <c r="B18" s="532" t="s">
        <v>1430</v>
      </c>
      <c r="C18" s="526"/>
      <c r="D18" s="526"/>
      <c r="E18" s="527"/>
      <c r="F18" s="526"/>
      <c r="G18" s="526"/>
      <c r="H18" s="528"/>
      <c r="I18" s="509"/>
      <c r="J18" s="1508"/>
    </row>
    <row r="19" spans="1:10" ht="15.75">
      <c r="A19" s="529"/>
      <c r="B19" s="532" t="s">
        <v>1431</v>
      </c>
      <c r="C19" s="526"/>
      <c r="D19" s="526"/>
      <c r="E19" s="533"/>
      <c r="F19" s="942">
        <v>4</v>
      </c>
      <c r="G19" s="526"/>
      <c r="H19" s="528"/>
      <c r="I19" s="509"/>
      <c r="J19" s="1508"/>
    </row>
    <row r="20" spans="1:10" ht="15.75">
      <c r="A20" s="529"/>
      <c r="B20" s="532" t="s">
        <v>1432</v>
      </c>
      <c r="C20" s="526"/>
      <c r="D20" s="526"/>
      <c r="E20" s="535"/>
      <c r="F20" s="942"/>
      <c r="G20" s="526"/>
      <c r="H20" s="528"/>
      <c r="I20" s="509"/>
      <c r="J20" s="1508"/>
    </row>
    <row r="21" spans="1:10" ht="15">
      <c r="A21" s="512"/>
      <c r="B21" s="532" t="s">
        <v>1421</v>
      </c>
      <c r="C21" s="526"/>
      <c r="D21" s="526"/>
      <c r="E21" s="533"/>
      <c r="F21" s="942">
        <v>5</v>
      </c>
      <c r="G21" s="536"/>
      <c r="H21" s="537"/>
      <c r="I21" s="509"/>
      <c r="J21" s="1508"/>
    </row>
    <row r="22" spans="1:10" ht="15.75">
      <c r="A22" s="512"/>
      <c r="B22" s="526" t="s">
        <v>649</v>
      </c>
      <c r="C22" s="526"/>
      <c r="D22" s="526"/>
      <c r="E22" s="531">
        <f>E19-E21</f>
        <v>0</v>
      </c>
      <c r="F22" s="534" t="s">
        <v>2390</v>
      </c>
      <c r="G22" s="531">
        <f>E22</f>
        <v>0</v>
      </c>
      <c r="H22" s="942">
        <v>6</v>
      </c>
      <c r="I22" s="509"/>
      <c r="J22" s="1508"/>
    </row>
    <row r="23" spans="1:10" ht="15">
      <c r="A23" s="512"/>
      <c r="B23" s="526" t="s">
        <v>1422</v>
      </c>
      <c r="C23" s="526"/>
      <c r="D23" s="526"/>
      <c r="E23" s="526"/>
      <c r="F23" s="526"/>
      <c r="G23" s="531">
        <f>E14</f>
        <v>0</v>
      </c>
      <c r="H23" s="942">
        <v>7</v>
      </c>
      <c r="I23" s="509"/>
      <c r="J23" s="1508"/>
    </row>
    <row r="24" spans="1:10" ht="12.75">
      <c r="A24" s="512"/>
      <c r="B24" s="526" t="s">
        <v>1328</v>
      </c>
      <c r="C24" s="526"/>
      <c r="D24" s="526"/>
      <c r="E24" s="526"/>
      <c r="F24" s="526"/>
      <c r="G24" s="536"/>
      <c r="H24" s="532"/>
      <c r="I24" s="509"/>
      <c r="J24" s="1508"/>
    </row>
    <row r="25" spans="1:10" ht="15.75" thickBot="1">
      <c r="A25" s="512"/>
      <c r="B25" s="526" t="s">
        <v>1598</v>
      </c>
      <c r="C25" s="526"/>
      <c r="D25" s="526"/>
      <c r="E25" s="526"/>
      <c r="F25" s="526"/>
      <c r="G25" s="761">
        <f>MIN(G17,G22)</f>
        <v>0</v>
      </c>
      <c r="H25" s="942">
        <v>8</v>
      </c>
      <c r="I25" s="509"/>
      <c r="J25" s="1508"/>
    </row>
    <row r="26" spans="1:10" ht="15.75" thickBot="1">
      <c r="A26" s="512"/>
      <c r="B26" s="526" t="s">
        <v>1070</v>
      </c>
      <c r="C26" s="526"/>
      <c r="D26" s="526"/>
      <c r="E26" s="526"/>
      <c r="F26" s="526"/>
      <c r="G26" s="762">
        <f>G23-G25</f>
        <v>0</v>
      </c>
      <c r="H26" s="942">
        <v>9</v>
      </c>
      <c r="I26" s="509"/>
      <c r="J26" s="1508"/>
    </row>
    <row r="27" spans="1:10" ht="17.25" customHeight="1" thickTop="1">
      <c r="A27" s="512"/>
      <c r="B27" s="526"/>
      <c r="C27" s="526"/>
      <c r="D27" s="526"/>
      <c r="E27" s="526"/>
      <c r="F27" s="512"/>
      <c r="G27" s="536"/>
      <c r="H27" s="538"/>
      <c r="I27" s="509"/>
      <c r="J27" s="1508"/>
    </row>
    <row r="28" spans="1:10" ht="15.75">
      <c r="A28" s="512"/>
      <c r="B28" s="515" t="s">
        <v>1599</v>
      </c>
      <c r="C28" s="512"/>
      <c r="D28" s="512"/>
      <c r="E28" s="512"/>
      <c r="F28" s="512"/>
      <c r="G28" s="512"/>
      <c r="H28" s="539"/>
      <c r="I28" s="509"/>
      <c r="J28" s="1508"/>
    </row>
    <row r="29" spans="1:10" ht="28.5" customHeight="1">
      <c r="A29" s="512"/>
      <c r="B29" s="526" t="s">
        <v>2359</v>
      </c>
      <c r="C29" s="526"/>
      <c r="D29" s="526"/>
      <c r="E29" s="536"/>
      <c r="F29" s="526"/>
      <c r="G29" s="526"/>
      <c r="H29" s="540"/>
      <c r="I29" s="509"/>
      <c r="J29" s="1508"/>
    </row>
    <row r="30" spans="1:10" ht="15.75" customHeight="1">
      <c r="A30" s="512"/>
      <c r="B30" s="526" t="s">
        <v>2360</v>
      </c>
      <c r="C30" s="526"/>
      <c r="D30" s="526"/>
      <c r="E30" s="533">
        <f>IF(year=G4,'T4RIF'!J59,0)</f>
        <v>0</v>
      </c>
      <c r="F30" s="942">
        <v>10</v>
      </c>
      <c r="G30" s="546"/>
      <c r="H30" s="540"/>
      <c r="I30" s="509"/>
      <c r="J30" s="1508"/>
    </row>
    <row r="31" spans="1:10" ht="21" customHeight="1">
      <c r="A31" s="512"/>
      <c r="B31" s="526" t="s">
        <v>1600</v>
      </c>
      <c r="C31" s="526"/>
      <c r="D31" s="526"/>
      <c r="E31" s="536"/>
      <c r="F31" s="942"/>
      <c r="G31" s="546"/>
      <c r="H31" s="540"/>
      <c r="I31" s="509"/>
      <c r="J31" s="1508"/>
    </row>
    <row r="32" spans="1:10" ht="11.25" customHeight="1">
      <c r="A32" s="512"/>
      <c r="B32" s="526" t="s">
        <v>1601</v>
      </c>
      <c r="C32" s="526"/>
      <c r="D32" s="526"/>
      <c r="E32" s="541"/>
      <c r="F32" s="942"/>
      <c r="G32" s="532"/>
      <c r="H32" s="540"/>
      <c r="I32" s="509"/>
      <c r="J32" s="1508"/>
    </row>
    <row r="33" spans="1:10" ht="15.75">
      <c r="A33" s="512"/>
      <c r="B33" s="526" t="s">
        <v>969</v>
      </c>
      <c r="C33" s="533">
        <f>IF(year=G4,'T4RIF'!J60,0)</f>
        <v>0</v>
      </c>
      <c r="D33" s="942">
        <v>11</v>
      </c>
      <c r="E33" s="546"/>
      <c r="F33" s="942"/>
      <c r="G33" s="526"/>
      <c r="H33" s="540"/>
      <c r="I33" s="509"/>
      <c r="J33" s="1508"/>
    </row>
    <row r="34" spans="1:10" ht="20.25" customHeight="1">
      <c r="A34" s="512"/>
      <c r="B34" s="526" t="s">
        <v>2384</v>
      </c>
      <c r="C34" s="526"/>
      <c r="D34" s="942"/>
      <c r="E34" s="541"/>
      <c r="F34" s="942"/>
      <c r="G34" s="526"/>
      <c r="H34" s="540"/>
      <c r="I34" s="509"/>
      <c r="J34" s="1508"/>
    </row>
    <row r="35" spans="1:10" ht="14.25">
      <c r="A35" s="512"/>
      <c r="B35" s="526" t="s">
        <v>1252</v>
      </c>
      <c r="C35" s="526"/>
      <c r="D35" s="942"/>
      <c r="E35" s="541"/>
      <c r="F35" s="942"/>
      <c r="G35" s="526"/>
      <c r="H35" s="540"/>
      <c r="I35" s="509"/>
      <c r="J35" s="1508"/>
    </row>
    <row r="36" spans="1:10" ht="15.75" thickBot="1">
      <c r="A36" s="512"/>
      <c r="B36" s="526" t="s">
        <v>1253</v>
      </c>
      <c r="C36" s="760"/>
      <c r="D36" s="942">
        <v>12</v>
      </c>
      <c r="E36" s="541"/>
      <c r="F36" s="942"/>
      <c r="G36" s="526"/>
      <c r="H36" s="540"/>
      <c r="I36" s="509"/>
      <c r="J36" s="1508"/>
    </row>
    <row r="37" spans="1:10" ht="16.5" thickBot="1">
      <c r="A37" s="512"/>
      <c r="B37" s="526" t="s">
        <v>1071</v>
      </c>
      <c r="C37" s="531">
        <f>C33-C36</f>
        <v>0</v>
      </c>
      <c r="D37" s="534" t="s">
        <v>2390</v>
      </c>
      <c r="E37" s="761">
        <f>C37</f>
        <v>0</v>
      </c>
      <c r="F37" s="942">
        <v>13</v>
      </c>
      <c r="G37" s="526"/>
      <c r="H37" s="540"/>
      <c r="I37" s="509"/>
      <c r="J37" s="1508"/>
    </row>
    <row r="38" spans="1:10" ht="15.75">
      <c r="A38" s="512"/>
      <c r="B38" s="526" t="s">
        <v>1072</v>
      </c>
      <c r="C38" s="526"/>
      <c r="D38" s="526"/>
      <c r="E38" s="531">
        <f>E30+E37</f>
        <v>0</v>
      </c>
      <c r="F38" s="534" t="s">
        <v>2390</v>
      </c>
      <c r="G38" s="531">
        <f>E38</f>
        <v>0</v>
      </c>
      <c r="H38" s="942">
        <v>14</v>
      </c>
      <c r="I38" s="509"/>
      <c r="J38" s="1508"/>
    </row>
    <row r="39" spans="1:10" ht="18" customHeight="1">
      <c r="A39" s="512"/>
      <c r="B39" s="526" t="s">
        <v>1254</v>
      </c>
      <c r="C39" s="526"/>
      <c r="D39" s="526"/>
      <c r="E39" s="541"/>
      <c r="F39" s="526"/>
      <c r="G39" s="526"/>
      <c r="H39" s="943"/>
      <c r="I39" s="509"/>
      <c r="J39" s="1508"/>
    </row>
    <row r="40" spans="1:10" ht="15">
      <c r="A40" s="512"/>
      <c r="B40" s="526" t="s">
        <v>1255</v>
      </c>
      <c r="C40" s="526"/>
      <c r="D40" s="526"/>
      <c r="E40" s="541"/>
      <c r="F40" s="526"/>
      <c r="G40" s="526"/>
      <c r="H40" s="943"/>
      <c r="I40" s="509"/>
      <c r="J40" s="1508"/>
    </row>
    <row r="41" spans="1:10" ht="15">
      <c r="A41" s="512"/>
      <c r="B41" s="526" t="s">
        <v>1256</v>
      </c>
      <c r="C41" s="526"/>
      <c r="D41" s="526"/>
      <c r="E41" s="533">
        <f>E19</f>
        <v>0</v>
      </c>
      <c r="F41" s="942">
        <v>15</v>
      </c>
      <c r="G41" s="526"/>
      <c r="H41" s="943"/>
      <c r="I41" s="509"/>
      <c r="J41" s="1508"/>
    </row>
    <row r="42" spans="1:10" ht="18" customHeight="1">
      <c r="A42" s="512"/>
      <c r="B42" s="526" t="s">
        <v>1257</v>
      </c>
      <c r="C42" s="526"/>
      <c r="D42" s="526"/>
      <c r="E42" s="541"/>
      <c r="F42" s="942"/>
      <c r="G42" s="542"/>
      <c r="H42" s="943"/>
      <c r="I42" s="509"/>
      <c r="J42" s="1508"/>
    </row>
    <row r="43" spans="1:10" ht="14.25">
      <c r="A43" s="512"/>
      <c r="B43" s="526" t="s">
        <v>467</v>
      </c>
      <c r="C43" s="526"/>
      <c r="D43" s="526"/>
      <c r="E43" s="541"/>
      <c r="F43" s="942"/>
      <c r="G43" s="542"/>
      <c r="H43" s="942"/>
      <c r="I43" s="509"/>
      <c r="J43" s="1508"/>
    </row>
    <row r="44" spans="1:10" ht="15">
      <c r="A44" s="512"/>
      <c r="B44" s="526" t="s">
        <v>1396</v>
      </c>
      <c r="C44" s="526"/>
      <c r="D44" s="526"/>
      <c r="E44" s="533">
        <f>E21+G25</f>
        <v>0</v>
      </c>
      <c r="F44" s="942">
        <v>16</v>
      </c>
      <c r="G44" s="542"/>
      <c r="H44" s="943"/>
      <c r="I44" s="509"/>
      <c r="J44" s="1508"/>
    </row>
    <row r="45" spans="1:10" ht="15.75">
      <c r="A45" s="512"/>
      <c r="B45" s="526" t="s">
        <v>1073</v>
      </c>
      <c r="C45" s="526"/>
      <c r="D45" s="526"/>
      <c r="E45" s="531">
        <f>E41-E44</f>
        <v>0</v>
      </c>
      <c r="F45" s="534" t="s">
        <v>2390</v>
      </c>
      <c r="G45" s="531">
        <f>E45</f>
        <v>0</v>
      </c>
      <c r="H45" s="942">
        <v>17</v>
      </c>
      <c r="I45" s="509"/>
      <c r="J45" s="1508"/>
    </row>
    <row r="46" spans="1:10" ht="15">
      <c r="A46" s="512"/>
      <c r="B46" s="526" t="s">
        <v>1213</v>
      </c>
      <c r="C46" s="526"/>
      <c r="D46" s="526"/>
      <c r="E46" s="541"/>
      <c r="F46" s="526"/>
      <c r="G46" s="526"/>
      <c r="H46" s="943"/>
      <c r="I46" s="509"/>
      <c r="J46" s="1508"/>
    </row>
    <row r="47" spans="1:10" ht="15.75">
      <c r="A47" s="512"/>
      <c r="B47" s="526" t="s">
        <v>1035</v>
      </c>
      <c r="C47" s="526"/>
      <c r="D47" s="526"/>
      <c r="E47" s="541"/>
      <c r="F47" s="526"/>
      <c r="G47" s="533">
        <f>IF(year=G4,'T4RIF'!J58+'T4RIF'!J59,0)</f>
        <v>0</v>
      </c>
      <c r="H47" s="942">
        <v>18</v>
      </c>
      <c r="I47" s="546"/>
      <c r="J47" s="1508"/>
    </row>
    <row r="48" spans="1:10" ht="16.5" customHeight="1">
      <c r="A48" s="512"/>
      <c r="B48" s="526" t="s">
        <v>2361</v>
      </c>
      <c r="C48" s="526"/>
      <c r="D48" s="526"/>
      <c r="E48" s="541"/>
      <c r="F48" s="526"/>
      <c r="G48" s="526"/>
      <c r="H48" s="943"/>
      <c r="I48" s="509"/>
      <c r="J48" s="1508"/>
    </row>
    <row r="49" spans="1:10" ht="11.25" customHeight="1">
      <c r="A49" s="512"/>
      <c r="B49" s="526" t="s">
        <v>2362</v>
      </c>
      <c r="C49" s="526"/>
      <c r="D49" s="526"/>
      <c r="E49" s="541"/>
      <c r="F49" s="526"/>
      <c r="G49" s="526"/>
      <c r="H49" s="943"/>
      <c r="I49" s="509"/>
      <c r="J49" s="1508"/>
    </row>
    <row r="50" spans="1:10" ht="15.75" thickBot="1">
      <c r="A50" s="512"/>
      <c r="B50" s="526" t="s">
        <v>1036</v>
      </c>
      <c r="C50" s="526"/>
      <c r="D50" s="526"/>
      <c r="E50" s="541"/>
      <c r="F50" s="526"/>
      <c r="G50" s="761">
        <f>MIN(G38,G45)</f>
        <v>0</v>
      </c>
      <c r="H50" s="942">
        <v>19</v>
      </c>
      <c r="I50" s="509"/>
      <c r="J50" s="1508"/>
    </row>
    <row r="51" spans="1:10" ht="15.75" thickBot="1">
      <c r="A51" s="512"/>
      <c r="B51" s="526" t="s">
        <v>58</v>
      </c>
      <c r="C51" s="526"/>
      <c r="D51" s="526"/>
      <c r="E51" s="541"/>
      <c r="F51" s="526"/>
      <c r="G51" s="762">
        <f>G47-G50</f>
        <v>0</v>
      </c>
      <c r="H51" s="942">
        <v>20</v>
      </c>
      <c r="I51" s="509"/>
      <c r="J51" s="1508"/>
    </row>
    <row r="52" spans="1:10" ht="11.25" customHeight="1" thickTop="1">
      <c r="A52" s="512"/>
      <c r="B52" s="526" t="s">
        <v>1037</v>
      </c>
      <c r="C52" s="526"/>
      <c r="D52" s="526"/>
      <c r="E52" s="541"/>
      <c r="F52" s="526"/>
      <c r="G52" s="526"/>
      <c r="H52" s="540"/>
      <c r="I52" s="509"/>
      <c r="J52" s="1508"/>
    </row>
    <row r="53" spans="1:10" ht="19.5" customHeight="1">
      <c r="A53" s="512"/>
      <c r="B53" s="543" t="s">
        <v>2363</v>
      </c>
      <c r="C53" s="526"/>
      <c r="D53" s="526"/>
      <c r="E53" s="541"/>
      <c r="F53" s="512"/>
      <c r="G53" s="512"/>
      <c r="H53" s="539"/>
      <c r="I53" s="509"/>
      <c r="J53" s="1508"/>
    </row>
    <row r="54" spans="1:10" ht="11.25" customHeight="1">
      <c r="A54" s="512"/>
      <c r="B54" s="544" t="s">
        <v>773</v>
      </c>
      <c r="C54" s="526"/>
      <c r="D54" s="526"/>
      <c r="E54" s="541"/>
      <c r="F54" s="512"/>
      <c r="G54" s="512"/>
      <c r="H54" s="539"/>
      <c r="I54" s="509"/>
      <c r="J54" s="1508"/>
    </row>
    <row r="55" spans="1:10" ht="11.25" customHeight="1">
      <c r="A55" s="512"/>
      <c r="B55" s="526"/>
      <c r="C55" s="526"/>
      <c r="D55" s="526"/>
      <c r="E55" s="541"/>
      <c r="F55" s="512"/>
      <c r="G55" s="512"/>
      <c r="H55" s="539"/>
      <c r="I55" s="509"/>
      <c r="J55" s="1508"/>
    </row>
    <row r="56" ht="12.75" customHeight="1"/>
    <row r="57" ht="12" customHeight="1">
      <c r="B57" s="944" t="s">
        <v>309</v>
      </c>
    </row>
    <row r="58" ht="12" customHeight="1">
      <c r="B58" s="944" t="s">
        <v>2019</v>
      </c>
    </row>
    <row r="59" ht="12" customHeight="1">
      <c r="B59" s="944" t="s">
        <v>2364</v>
      </c>
    </row>
    <row r="60" ht="12" customHeight="1">
      <c r="B60" s="944" t="s">
        <v>2365</v>
      </c>
    </row>
    <row r="61" ht="12" customHeight="1">
      <c r="B61" s="944" t="s">
        <v>2366</v>
      </c>
    </row>
    <row r="62" ht="12" customHeight="1">
      <c r="B62" s="944" t="s">
        <v>2020</v>
      </c>
    </row>
    <row r="63" ht="12" customHeight="1">
      <c r="B63" s="944" t="s">
        <v>2021</v>
      </c>
    </row>
    <row r="64" ht="12" customHeight="1">
      <c r="B64" s="944" t="s">
        <v>2022</v>
      </c>
    </row>
    <row r="65" ht="12" customHeight="1">
      <c r="B65" s="944" t="s">
        <v>2023</v>
      </c>
    </row>
    <row r="66" ht="12" customHeight="1">
      <c r="B66" s="944" t="s">
        <v>2024</v>
      </c>
    </row>
    <row r="67" ht="20.25" customHeight="1">
      <c r="B67" s="944" t="s">
        <v>2025</v>
      </c>
    </row>
    <row r="68" ht="12" customHeight="1">
      <c r="B68" s="944" t="s">
        <v>2026</v>
      </c>
    </row>
    <row r="69" ht="20.25" customHeight="1">
      <c r="B69" s="944" t="s">
        <v>2027</v>
      </c>
    </row>
    <row r="70" ht="12" customHeight="1">
      <c r="B70" s="944" t="s">
        <v>2367</v>
      </c>
    </row>
    <row r="71" ht="12" customHeight="1">
      <c r="B71" s="944" t="s">
        <v>2368</v>
      </c>
    </row>
    <row r="72" ht="12" customHeight="1">
      <c r="B72" s="944" t="s">
        <v>2369</v>
      </c>
    </row>
    <row r="73" ht="27" customHeight="1">
      <c r="B73" s="944" t="s">
        <v>429</v>
      </c>
    </row>
    <row r="74" ht="12" customHeight="1">
      <c r="B74" s="944" t="s">
        <v>430</v>
      </c>
    </row>
    <row r="75" ht="12" customHeight="1">
      <c r="B75" s="944" t="s">
        <v>2370</v>
      </c>
    </row>
    <row r="76" ht="12" customHeight="1">
      <c r="B76" s="944" t="s">
        <v>2371</v>
      </c>
    </row>
    <row r="77" ht="12" customHeight="1">
      <c r="B77" s="944" t="s">
        <v>2028</v>
      </c>
    </row>
    <row r="78" ht="25.5" customHeight="1">
      <c r="B78" s="1415" t="s">
        <v>2029</v>
      </c>
    </row>
    <row r="79" ht="21.75" customHeight="1">
      <c r="B79" s="944" t="s">
        <v>2030</v>
      </c>
    </row>
    <row r="80" ht="12" customHeight="1">
      <c r="B80" s="944" t="s">
        <v>2372</v>
      </c>
    </row>
    <row r="81" ht="12" customHeight="1">
      <c r="B81" s="944" t="s">
        <v>2373</v>
      </c>
    </row>
    <row r="82" ht="12" customHeight="1">
      <c r="B82" s="944" t="s">
        <v>2031</v>
      </c>
    </row>
    <row r="83" ht="12" customHeight="1">
      <c r="B83" s="944" t="s">
        <v>2374</v>
      </c>
    </row>
    <row r="84" ht="12" customHeight="1">
      <c r="B84" s="944" t="s">
        <v>2032</v>
      </c>
    </row>
    <row r="85" ht="12" customHeight="1">
      <c r="B85" s="944" t="s">
        <v>2033</v>
      </c>
    </row>
    <row r="86" ht="27" customHeight="1">
      <c r="B86" s="1415" t="s">
        <v>2034</v>
      </c>
    </row>
    <row r="87" ht="24.75" customHeight="1">
      <c r="B87" s="944" t="s">
        <v>1875</v>
      </c>
    </row>
    <row r="88" ht="15">
      <c r="B88" s="944" t="s">
        <v>1876</v>
      </c>
    </row>
    <row r="89" ht="22.5" customHeight="1">
      <c r="B89" s="944" t="s">
        <v>1877</v>
      </c>
    </row>
    <row r="90" ht="12" customHeight="1">
      <c r="B90" s="944" t="s">
        <v>2375</v>
      </c>
    </row>
    <row r="91" ht="12" customHeight="1">
      <c r="B91" s="944" t="s">
        <v>2376</v>
      </c>
    </row>
    <row r="92" ht="12" customHeight="1">
      <c r="B92" s="944" t="s">
        <v>1878</v>
      </c>
    </row>
    <row r="93" ht="12" customHeight="1">
      <c r="B93" s="944" t="s">
        <v>2377</v>
      </c>
    </row>
    <row r="94" ht="14.25" customHeight="1">
      <c r="B94" s="944" t="s">
        <v>1879</v>
      </c>
    </row>
    <row r="95" ht="12" customHeight="1">
      <c r="B95" s="944" t="s">
        <v>2378</v>
      </c>
    </row>
    <row r="96" ht="12" customHeight="1">
      <c r="B96" s="944" t="s">
        <v>2379</v>
      </c>
    </row>
    <row r="97" ht="12" customHeight="1">
      <c r="B97" s="944" t="s">
        <v>2380</v>
      </c>
    </row>
    <row r="98" ht="12" customHeight="1">
      <c r="B98" s="944" t="s">
        <v>2381</v>
      </c>
    </row>
    <row r="99" ht="12" customHeight="1">
      <c r="B99" s="944" t="s">
        <v>2382</v>
      </c>
    </row>
    <row r="100" ht="12" customHeight="1">
      <c r="B100" s="944" t="s">
        <v>2383</v>
      </c>
    </row>
    <row r="101" ht="27" customHeight="1">
      <c r="B101" s="1415" t="s">
        <v>1880</v>
      </c>
    </row>
    <row r="102" ht="21" customHeight="1">
      <c r="B102" s="944" t="s">
        <v>1881</v>
      </c>
    </row>
    <row r="103" ht="12" customHeight="1">
      <c r="B103" s="944" t="s">
        <v>1882</v>
      </c>
    </row>
    <row r="104" ht="12" customHeight="1">
      <c r="B104" s="944" t="s">
        <v>1883</v>
      </c>
    </row>
    <row r="105" ht="12" customHeight="1">
      <c r="B105" s="944" t="s">
        <v>2083</v>
      </c>
    </row>
    <row r="106" ht="27" customHeight="1">
      <c r="B106" s="1415" t="s">
        <v>2084</v>
      </c>
    </row>
    <row r="107" ht="24.75" customHeight="1">
      <c r="B107" s="944" t="s">
        <v>2085</v>
      </c>
    </row>
    <row r="108" ht="12" customHeight="1">
      <c r="B108" s="944" t="s">
        <v>2086</v>
      </c>
    </row>
    <row r="109" ht="12" customHeight="1">
      <c r="B109" s="944" t="s">
        <v>2087</v>
      </c>
    </row>
    <row r="110" ht="12" customHeight="1">
      <c r="B110" s="944" t="s">
        <v>2087</v>
      </c>
    </row>
    <row r="111" ht="12.75">
      <c r="B111" s="1416" t="s">
        <v>2088</v>
      </c>
    </row>
    <row r="112" ht="15">
      <c r="B112" s="944"/>
    </row>
    <row r="113" ht="15">
      <c r="B113" s="944"/>
    </row>
    <row r="114" ht="15">
      <c r="B114" s="944"/>
    </row>
    <row r="115" ht="15">
      <c r="B115" s="944"/>
    </row>
    <row r="116" ht="15">
      <c r="B116" s="944"/>
    </row>
    <row r="117" ht="15">
      <c r="B117" s="944"/>
    </row>
    <row r="118" ht="15">
      <c r="B118" s="944"/>
    </row>
    <row r="119" ht="15">
      <c r="B119" s="944"/>
    </row>
    <row r="120" ht="15">
      <c r="B120" s="944"/>
    </row>
    <row r="121" ht="15">
      <c r="B121" s="944"/>
    </row>
  </sheetData>
  <sheetProtection password="EC35" sheet="1" objects="1" scenarios="1"/>
  <mergeCells count="3">
    <mergeCell ref="B9:E9"/>
    <mergeCell ref="B11:E11"/>
    <mergeCell ref="J1:J55"/>
  </mergeCells>
  <dataValidations count="8">
    <dataValidation allowBlank="1" showInputMessage="1" showErrorMessage="1" promptTitle="DEFAULT FORMULA" prompt="From line 4 of Part 1 above.  If you didn't complete part 1 above, enter the value as per the instructions for this line" sqref="E41"/>
    <dataValidation allowBlank="1" showInputMessage="1" showErrorMessage="1" promptTitle="DEFAULT FORMULA" prompt="Line 5 plus line 8 from Part 1 above.  If you didn't complete Part 1, enter the value as per the instructions for this line" sqref="E44"/>
    <dataValidation allowBlank="1" showInputMessage="1" showErrorMessage="1" promptTitle="DEFAULT FORMULA" prompt="This formula is for the year of this income tax return.  If you are working out another year, then put in the proper value for that year." sqref="E14"/>
    <dataValidation allowBlank="1" showInputMessage="1" showErrorMessage="1" promptTitle="DEFAULT FORMULA" prompt="This formula is for the tax year of this income tax return.  If you are calculating for another year, then put in the proper data for that year." sqref="G47"/>
    <dataValidation allowBlank="1" showInputMessage="1" showErrorMessage="1" promptTitle="DEFAULT FORMULA" prompt="This formula is for the year of this income tax return.  If you are caculating another year, then put in the proper data for that year." sqref="C33"/>
    <dataValidation allowBlank="1" showInputMessage="1" showErrorMessage="1" promptTitle="DEFAULT FORMULA" prompt="This formula is for the tax year of this income tax return.  If you are calculating another year, then put in the proper data for that year." sqref="E30"/>
    <dataValidation allowBlank="1" showInputMessage="1" showErrorMessage="1" promptTitle="DEFAULT FORMULA" prompt="If doing this calculation for a year other than the tax year of this form, then please enter the four digits of the year" sqref="G4"/>
    <dataValidation allowBlank="1" showInputMessage="1" showErrorMessage="1" promptTitle="DEFAULT FORMULA" prompt="If you wish, you can override this which comes from T1 GEN-1 spouse or common law partner information." sqref="B11:E11"/>
  </dataValidations>
  <hyperlinks>
    <hyperlink ref="J1:J55" location="'GO TO'!G19" display=" "/>
  </hyperlinks>
  <printOptions horizontalCentered="1"/>
  <pageMargins left="0.4" right="0.45" top="0.5" bottom="0.25" header="0.24" footer="0.5"/>
  <pageSetup fitToHeight="0" fitToWidth="1" horizontalDpi="600" verticalDpi="600" orientation="portrait" scale="82" r:id="rId4"/>
  <drawing r:id="rId3"/>
  <legacyDrawing r:id="rId2"/>
</worksheet>
</file>

<file path=xl/worksheets/sheet37.xml><?xml version="1.0" encoding="utf-8"?>
<worksheet xmlns="http://schemas.openxmlformats.org/spreadsheetml/2006/main" xmlns:r="http://schemas.openxmlformats.org/officeDocument/2006/relationships">
  <sheetPr codeName="Sheet21111">
    <pageSetUpPr fitToPage="1"/>
  </sheetPr>
  <dimension ref="B1:M91"/>
  <sheetViews>
    <sheetView zoomScale="50" zoomScaleNormal="50" workbookViewId="0" topLeftCell="A1">
      <selection activeCell="M9" sqref="M9"/>
    </sheetView>
  </sheetViews>
  <sheetFormatPr defaultColWidth="8.88671875" defaultRowHeight="15"/>
  <cols>
    <col min="1" max="1" width="1.77734375" style="669" customWidth="1"/>
    <col min="2" max="2" width="8.3359375" style="669" customWidth="1"/>
    <col min="3" max="3" width="37.5546875" style="669" customWidth="1"/>
    <col min="4" max="4" width="7.99609375" style="669" customWidth="1"/>
    <col min="5" max="10" width="12.21484375" style="669" customWidth="1"/>
    <col min="11" max="11" width="1.88671875" style="669" customWidth="1"/>
    <col min="12" max="16384" width="8.88671875" style="669" customWidth="1"/>
  </cols>
  <sheetData>
    <row r="1" spans="2:11" ht="18">
      <c r="B1" s="35"/>
      <c r="C1" s="33" t="str">
        <f>"T3-"&amp;yeartext&amp;" SLIPS DATA ENTRY FORM"</f>
        <v>T3-2007 SLIPS DATA ENTRY FORM</v>
      </c>
      <c r="D1" s="33"/>
      <c r="E1" s="339"/>
      <c r="F1" s="35"/>
      <c r="G1" s="33" t="s">
        <v>2224</v>
      </c>
      <c r="H1" s="36"/>
      <c r="I1" s="35"/>
      <c r="J1" s="36" t="str">
        <f>yeartext</f>
        <v>2007</v>
      </c>
      <c r="K1" s="668"/>
    </row>
    <row r="2" spans="2:11" ht="15.75">
      <c r="B2" s="35"/>
      <c r="C2" s="35"/>
      <c r="D2" s="37"/>
      <c r="E2" s="668"/>
      <c r="F2" s="35"/>
      <c r="G2" s="35"/>
      <c r="H2" s="35"/>
      <c r="I2" s="35"/>
      <c r="J2" s="35"/>
      <c r="K2" s="668"/>
    </row>
    <row r="3" spans="2:11" ht="18">
      <c r="B3" s="38"/>
      <c r="C3" s="38" t="s">
        <v>295</v>
      </c>
      <c r="D3" s="35"/>
      <c r="E3" s="37"/>
      <c r="F3" s="35"/>
      <c r="G3" s="35"/>
      <c r="H3" s="35"/>
      <c r="I3" s="35"/>
      <c r="J3" s="35"/>
      <c r="K3" s="668"/>
    </row>
    <row r="4" spans="2:11" ht="18">
      <c r="B4" s="38"/>
      <c r="C4" s="38" t="s">
        <v>130</v>
      </c>
      <c r="D4" s="35"/>
      <c r="E4" s="37"/>
      <c r="F4" s="35"/>
      <c r="G4" s="35"/>
      <c r="H4" s="35"/>
      <c r="I4" s="35"/>
      <c r="J4" s="35"/>
      <c r="K4" s="668"/>
    </row>
    <row r="5" spans="2:11" ht="18">
      <c r="B5" s="38"/>
      <c r="C5" s="38" t="s">
        <v>1092</v>
      </c>
      <c r="D5" s="35"/>
      <c r="E5" s="37"/>
      <c r="F5" s="35"/>
      <c r="G5" s="35"/>
      <c r="H5" s="35"/>
      <c r="I5" s="35"/>
      <c r="J5" s="35"/>
      <c r="K5" s="668"/>
    </row>
    <row r="6" spans="2:11" ht="18">
      <c r="B6" s="38"/>
      <c r="C6" s="38" t="s">
        <v>1093</v>
      </c>
      <c r="D6" s="35"/>
      <c r="E6" s="37"/>
      <c r="F6" s="35"/>
      <c r="G6" s="35"/>
      <c r="H6" s="35"/>
      <c r="I6" s="35"/>
      <c r="J6" s="35"/>
      <c r="K6" s="668"/>
    </row>
    <row r="7" spans="2:11" ht="18">
      <c r="B7" s="38"/>
      <c r="C7" s="38" t="s">
        <v>2175</v>
      </c>
      <c r="D7" s="35"/>
      <c r="E7" s="37"/>
      <c r="F7" s="35"/>
      <c r="G7" s="35"/>
      <c r="H7" s="35"/>
      <c r="I7" s="35"/>
      <c r="J7" s="35"/>
      <c r="K7" s="668"/>
    </row>
    <row r="8" spans="2:11" ht="18">
      <c r="B8" s="38"/>
      <c r="C8" s="38" t="s">
        <v>2139</v>
      </c>
      <c r="D8" s="35"/>
      <c r="E8" s="37"/>
      <c r="F8" s="35"/>
      <c r="G8" s="35"/>
      <c r="H8" s="35"/>
      <c r="I8" s="35"/>
      <c r="J8" s="35"/>
      <c r="K8" s="668"/>
    </row>
    <row r="9" spans="2:11" ht="18">
      <c r="B9" s="38"/>
      <c r="C9" s="38" t="s">
        <v>2140</v>
      </c>
      <c r="D9" s="35"/>
      <c r="E9" s="37"/>
      <c r="F9" s="35"/>
      <c r="G9" s="35"/>
      <c r="H9" s="35"/>
      <c r="I9" s="35"/>
      <c r="J9" s="35"/>
      <c r="K9" s="668"/>
    </row>
    <row r="10" spans="2:11" ht="18">
      <c r="B10" s="38"/>
      <c r="C10" s="38" t="s">
        <v>1526</v>
      </c>
      <c r="D10" s="35"/>
      <c r="E10" s="37"/>
      <c r="F10" s="35"/>
      <c r="G10" s="35"/>
      <c r="H10" s="35"/>
      <c r="I10" s="35"/>
      <c r="J10" s="35"/>
      <c r="K10" s="668"/>
    </row>
    <row r="11" spans="2:11" ht="18">
      <c r="B11" s="38"/>
      <c r="C11" s="38" t="s">
        <v>2574</v>
      </c>
      <c r="D11" s="35"/>
      <c r="E11" s="37"/>
      <c r="F11" s="35"/>
      <c r="G11" s="35"/>
      <c r="H11" s="35"/>
      <c r="I11" s="35"/>
      <c r="J11" s="35"/>
      <c r="K11" s="668"/>
    </row>
    <row r="12" spans="2:11" ht="18">
      <c r="B12" s="38"/>
      <c r="C12" s="38"/>
      <c r="D12" s="35"/>
      <c r="E12" s="37"/>
      <c r="F12" s="35"/>
      <c r="G12" s="35"/>
      <c r="H12" s="35"/>
      <c r="I12" s="35"/>
      <c r="J12" s="35"/>
      <c r="K12" s="668"/>
    </row>
    <row r="13" spans="2:11" ht="23.25">
      <c r="B13" s="389" t="s">
        <v>1792</v>
      </c>
      <c r="C13" s="38"/>
      <c r="D13" s="35"/>
      <c r="E13" s="386"/>
      <c r="F13" s="35"/>
      <c r="G13" s="35"/>
      <c r="H13" s="35"/>
      <c r="I13" s="35"/>
      <c r="J13" s="35"/>
      <c r="K13" s="668"/>
    </row>
    <row r="14" spans="2:13" ht="36">
      <c r="B14" s="41" t="s">
        <v>1529</v>
      </c>
      <c r="C14" s="41" t="s">
        <v>2180</v>
      </c>
      <c r="D14" s="41" t="s">
        <v>44</v>
      </c>
      <c r="E14" s="42" t="s">
        <v>1288</v>
      </c>
      <c r="F14" s="42" t="s">
        <v>1289</v>
      </c>
      <c r="G14" s="42" t="s">
        <v>1290</v>
      </c>
      <c r="H14" s="42" t="s">
        <v>144</v>
      </c>
      <c r="I14" s="42" t="s">
        <v>190</v>
      </c>
      <c r="J14" s="42" t="s">
        <v>2444</v>
      </c>
      <c r="K14" s="668"/>
      <c r="M14" s="956"/>
    </row>
    <row r="15" spans="2:11" ht="18">
      <c r="B15" s="38"/>
      <c r="C15" s="38"/>
      <c r="D15" s="35"/>
      <c r="E15" s="37"/>
      <c r="F15" s="35"/>
      <c r="G15" s="35"/>
      <c r="H15" s="35"/>
      <c r="I15" s="35"/>
      <c r="J15" s="35"/>
      <c r="K15" s="668"/>
    </row>
    <row r="16" spans="2:11" ht="18">
      <c r="B16" s="46" t="s">
        <v>1608</v>
      </c>
      <c r="C16" s="344" t="s">
        <v>1814</v>
      </c>
      <c r="D16" s="957" t="s">
        <v>1916</v>
      </c>
      <c r="E16" s="387"/>
      <c r="F16" s="387"/>
      <c r="G16" s="387"/>
      <c r="H16" s="387"/>
      <c r="I16" s="387"/>
      <c r="J16" s="670">
        <f>SUM(E16:I16)</f>
        <v>0</v>
      </c>
      <c r="K16" s="668"/>
    </row>
    <row r="17" spans="2:11" ht="18">
      <c r="B17" s="35" t="s">
        <v>1609</v>
      </c>
      <c r="C17" s="38"/>
      <c r="D17" s="957"/>
      <c r="E17" s="37"/>
      <c r="F17" s="35"/>
      <c r="G17" s="35"/>
      <c r="H17" s="37"/>
      <c r="I17" s="35"/>
      <c r="J17" s="35"/>
      <c r="K17" s="668"/>
    </row>
    <row r="18" spans="2:11" ht="18">
      <c r="B18" s="46" t="s">
        <v>976</v>
      </c>
      <c r="C18" s="344" t="s">
        <v>1815</v>
      </c>
      <c r="D18" s="957" t="s">
        <v>2456</v>
      </c>
      <c r="E18" s="387"/>
      <c r="F18" s="387"/>
      <c r="G18" s="387"/>
      <c r="H18" s="387"/>
      <c r="I18" s="387"/>
      <c r="J18" s="670">
        <f>SUM(E18:I18)</f>
        <v>0</v>
      </c>
      <c r="K18" s="668"/>
    </row>
    <row r="19" spans="2:11" ht="18">
      <c r="B19" s="33"/>
      <c r="C19" s="339"/>
      <c r="D19" s="957"/>
      <c r="E19" s="33"/>
      <c r="F19" s="33"/>
      <c r="G19" s="33"/>
      <c r="H19" s="33"/>
      <c r="I19" s="33"/>
      <c r="J19" s="33"/>
      <c r="K19" s="668"/>
    </row>
    <row r="20" spans="2:11" ht="18">
      <c r="B20" s="46" t="s">
        <v>158</v>
      </c>
      <c r="C20" s="344" t="s">
        <v>2324</v>
      </c>
      <c r="D20" s="957" t="s">
        <v>2016</v>
      </c>
      <c r="E20" s="387"/>
      <c r="F20" s="387"/>
      <c r="G20" s="387"/>
      <c r="H20" s="387"/>
      <c r="I20" s="387"/>
      <c r="J20" s="670">
        <f>SUM(E20:I20)</f>
        <v>0</v>
      </c>
      <c r="K20" s="668"/>
    </row>
    <row r="21" spans="2:11" ht="18">
      <c r="B21" s="358" t="s">
        <v>893</v>
      </c>
      <c r="C21" s="38"/>
      <c r="D21" s="957"/>
      <c r="E21" s="33"/>
      <c r="F21" s="35"/>
      <c r="G21" s="35"/>
      <c r="H21" s="35"/>
      <c r="I21" s="35"/>
      <c r="J21" s="35"/>
      <c r="K21" s="668"/>
    </row>
    <row r="22" spans="2:11" ht="18">
      <c r="B22" s="56" t="s">
        <v>1610</v>
      </c>
      <c r="C22" s="344" t="s">
        <v>2325</v>
      </c>
      <c r="D22" s="957" t="s">
        <v>1804</v>
      </c>
      <c r="E22" s="387"/>
      <c r="F22" s="387"/>
      <c r="G22" s="387"/>
      <c r="H22" s="387"/>
      <c r="I22" s="387"/>
      <c r="J22" s="670">
        <f>SUM(E22:I22)</f>
        <v>0</v>
      </c>
      <c r="K22" s="668"/>
    </row>
    <row r="23" spans="2:11" ht="18">
      <c r="B23" s="358" t="s">
        <v>1611</v>
      </c>
      <c r="C23" s="38"/>
      <c r="D23" s="957"/>
      <c r="E23" s="33"/>
      <c r="F23" s="35"/>
      <c r="G23" s="35"/>
      <c r="H23" s="35"/>
      <c r="I23" s="35"/>
      <c r="J23" s="35"/>
      <c r="K23" s="668"/>
    </row>
    <row r="24" spans="2:11" ht="18">
      <c r="B24" s="46" t="s">
        <v>1612</v>
      </c>
      <c r="C24" s="344" t="s">
        <v>488</v>
      </c>
      <c r="D24" s="957" t="s">
        <v>2018</v>
      </c>
      <c r="E24" s="387"/>
      <c r="F24" s="387"/>
      <c r="G24" s="387"/>
      <c r="H24" s="387"/>
      <c r="I24" s="387"/>
      <c r="J24" s="670">
        <f>SUM(E24:I24)</f>
        <v>0</v>
      </c>
      <c r="K24" s="668"/>
    </row>
    <row r="25" spans="2:11" ht="18">
      <c r="B25" s="35" t="s">
        <v>1613</v>
      </c>
      <c r="C25" s="344"/>
      <c r="D25" s="958"/>
      <c r="E25" s="37"/>
      <c r="F25" s="35"/>
      <c r="G25" s="35"/>
      <c r="H25" s="35"/>
      <c r="I25" s="35"/>
      <c r="J25" s="35"/>
      <c r="K25" s="668"/>
    </row>
    <row r="26" spans="2:11" ht="18">
      <c r="B26" s="43" t="s">
        <v>1614</v>
      </c>
      <c r="C26" s="344" t="s">
        <v>2326</v>
      </c>
      <c r="D26" s="957" t="s">
        <v>1456</v>
      </c>
      <c r="E26" s="387"/>
      <c r="F26" s="387"/>
      <c r="G26" s="387"/>
      <c r="H26" s="387"/>
      <c r="I26" s="387"/>
      <c r="J26" s="670">
        <f>SUM(E26:I26)</f>
        <v>0</v>
      </c>
      <c r="K26" s="668"/>
    </row>
    <row r="27" spans="2:11" ht="18">
      <c r="B27" s="35" t="s">
        <v>1615</v>
      </c>
      <c r="C27" s="344"/>
      <c r="D27" s="957"/>
      <c r="E27" s="37"/>
      <c r="F27" s="35"/>
      <c r="G27" s="35"/>
      <c r="H27" s="37"/>
      <c r="I27" s="35"/>
      <c r="J27" s="35"/>
      <c r="K27" s="668"/>
    </row>
    <row r="28" spans="2:11" ht="18">
      <c r="B28" s="56" t="s">
        <v>1607</v>
      </c>
      <c r="C28" s="344" t="s">
        <v>2327</v>
      </c>
      <c r="D28" s="957" t="s">
        <v>1457</v>
      </c>
      <c r="E28" s="387"/>
      <c r="F28" s="387"/>
      <c r="G28" s="387"/>
      <c r="H28" s="387"/>
      <c r="I28" s="387"/>
      <c r="J28" s="670">
        <f>SUM(E28:I28)</f>
        <v>0</v>
      </c>
      <c r="K28" s="668"/>
    </row>
    <row r="29" spans="2:11" ht="18">
      <c r="B29" s="33"/>
      <c r="C29" s="339"/>
      <c r="D29" s="957"/>
      <c r="E29" s="33"/>
      <c r="F29" s="33"/>
      <c r="G29" s="33"/>
      <c r="H29" s="33"/>
      <c r="I29" s="33"/>
      <c r="J29" s="33"/>
      <c r="K29" s="668"/>
    </row>
    <row r="30" spans="2:11" ht="18">
      <c r="B30" s="56" t="s">
        <v>420</v>
      </c>
      <c r="C30" s="344" t="s">
        <v>207</v>
      </c>
      <c r="D30" s="957" t="s">
        <v>1458</v>
      </c>
      <c r="E30" s="387"/>
      <c r="F30" s="387"/>
      <c r="G30" s="387"/>
      <c r="H30" s="387"/>
      <c r="I30" s="387"/>
      <c r="J30" s="670">
        <f>SUM(E30:I30)</f>
        <v>0</v>
      </c>
      <c r="K30" s="668"/>
    </row>
    <row r="31" spans="2:11" ht="18">
      <c r="B31" s="35"/>
      <c r="C31" s="38"/>
      <c r="D31" s="957"/>
      <c r="E31" s="33"/>
      <c r="F31" s="35"/>
      <c r="G31" s="35"/>
      <c r="H31" s="35"/>
      <c r="I31" s="35"/>
      <c r="J31" s="35"/>
      <c r="K31" s="668"/>
    </row>
    <row r="32" spans="2:11" ht="18">
      <c r="B32" s="46" t="s">
        <v>893</v>
      </c>
      <c r="C32" s="344" t="s">
        <v>2328</v>
      </c>
      <c r="D32" s="957" t="s">
        <v>531</v>
      </c>
      <c r="E32" s="387"/>
      <c r="F32" s="387"/>
      <c r="G32" s="387"/>
      <c r="H32" s="387"/>
      <c r="I32" s="387"/>
      <c r="J32" s="670">
        <f>SUM(E32:I32)</f>
        <v>0</v>
      </c>
      <c r="K32" s="668"/>
    </row>
    <row r="33" spans="2:11" ht="18">
      <c r="B33" s="35"/>
      <c r="C33" s="38"/>
      <c r="D33" s="957"/>
      <c r="E33" s="37"/>
      <c r="F33" s="35"/>
      <c r="G33" s="35"/>
      <c r="H33" s="37"/>
      <c r="I33" s="35"/>
      <c r="J33" s="35"/>
      <c r="K33" s="668"/>
    </row>
    <row r="34" spans="2:11" ht="18">
      <c r="B34" s="43" t="s">
        <v>1618</v>
      </c>
      <c r="C34" s="344" t="s">
        <v>1617</v>
      </c>
      <c r="D34" s="957" t="s">
        <v>532</v>
      </c>
      <c r="E34" s="387"/>
      <c r="F34" s="387"/>
      <c r="G34" s="387"/>
      <c r="H34" s="387"/>
      <c r="I34" s="387"/>
      <c r="J34" s="670">
        <f>SUM(E34:I34)</f>
        <v>0</v>
      </c>
      <c r="K34" s="668"/>
    </row>
    <row r="35" spans="2:11" ht="18">
      <c r="B35" s="33"/>
      <c r="C35" s="339" t="s">
        <v>1616</v>
      </c>
      <c r="D35" s="957"/>
      <c r="E35" s="33"/>
      <c r="F35" s="33"/>
      <c r="G35" s="33"/>
      <c r="H35" s="33"/>
      <c r="I35" s="33"/>
      <c r="J35" s="33"/>
      <c r="K35" s="668"/>
    </row>
    <row r="36" spans="2:11" ht="18">
      <c r="B36" s="46" t="s">
        <v>976</v>
      </c>
      <c r="C36" s="344" t="s">
        <v>1624</v>
      </c>
      <c r="D36" s="957" t="s">
        <v>1451</v>
      </c>
      <c r="E36" s="387"/>
      <c r="F36" s="387"/>
      <c r="G36" s="387"/>
      <c r="H36" s="387"/>
      <c r="I36" s="387"/>
      <c r="J36" s="670">
        <f>SUM(E36:I36)</f>
        <v>0</v>
      </c>
      <c r="K36" s="668"/>
    </row>
    <row r="37" spans="2:11" ht="18">
      <c r="B37" s="35"/>
      <c r="C37" s="38"/>
      <c r="D37" s="957"/>
      <c r="E37" s="33"/>
      <c r="F37" s="35"/>
      <c r="G37" s="35"/>
      <c r="H37" s="35"/>
      <c r="I37" s="35"/>
      <c r="J37" s="35"/>
      <c r="K37" s="668"/>
    </row>
    <row r="38" spans="2:11" ht="18">
      <c r="B38" s="56" t="s">
        <v>1620</v>
      </c>
      <c r="C38" s="344" t="s">
        <v>1619</v>
      </c>
      <c r="D38" s="957" t="s">
        <v>1455</v>
      </c>
      <c r="E38" s="387"/>
      <c r="F38" s="387"/>
      <c r="G38" s="387"/>
      <c r="H38" s="387"/>
      <c r="I38" s="387"/>
      <c r="J38" s="670">
        <f>SUM(E38:I38)</f>
        <v>0</v>
      </c>
      <c r="K38" s="668"/>
    </row>
    <row r="39" spans="2:11" ht="18">
      <c r="B39" s="358" t="s">
        <v>1621</v>
      </c>
      <c r="C39" s="38"/>
      <c r="D39" s="957"/>
      <c r="E39" s="33"/>
      <c r="F39" s="35"/>
      <c r="G39" s="35"/>
      <c r="H39" s="35"/>
      <c r="I39" s="35"/>
      <c r="J39" s="35"/>
      <c r="K39" s="668"/>
    </row>
    <row r="40" spans="2:11" ht="18">
      <c r="B40" s="43" t="s">
        <v>1622</v>
      </c>
      <c r="C40" s="344" t="s">
        <v>2329</v>
      </c>
      <c r="D40" s="957" t="s">
        <v>2458</v>
      </c>
      <c r="E40" s="387"/>
      <c r="F40" s="387"/>
      <c r="G40" s="387"/>
      <c r="H40" s="387"/>
      <c r="I40" s="387"/>
      <c r="J40" s="670">
        <f>SUM(E40:I40)</f>
        <v>0</v>
      </c>
      <c r="K40" s="668"/>
    </row>
    <row r="41" spans="2:11" ht="18">
      <c r="B41" s="35"/>
      <c r="C41" s="344" t="s">
        <v>2330</v>
      </c>
      <c r="D41" s="958"/>
      <c r="E41" s="37"/>
      <c r="F41" s="35"/>
      <c r="G41" s="35"/>
      <c r="H41" s="35"/>
      <c r="I41" s="35"/>
      <c r="J41" s="35"/>
      <c r="K41" s="668"/>
    </row>
    <row r="42" spans="2:11" ht="18">
      <c r="B42" s="46" t="s">
        <v>169</v>
      </c>
      <c r="C42" s="344" t="s">
        <v>2331</v>
      </c>
      <c r="D42" s="957" t="s">
        <v>1787</v>
      </c>
      <c r="E42" s="387"/>
      <c r="F42" s="387"/>
      <c r="G42" s="387"/>
      <c r="H42" s="387"/>
      <c r="I42" s="387"/>
      <c r="J42" s="670">
        <f>SUM(E42:I42)</f>
        <v>0</v>
      </c>
      <c r="K42" s="668"/>
    </row>
    <row r="43" spans="2:11" ht="18">
      <c r="B43" s="35"/>
      <c r="C43" s="344"/>
      <c r="D43" s="957"/>
      <c r="E43" s="37"/>
      <c r="F43" s="35"/>
      <c r="G43" s="35"/>
      <c r="H43" s="37"/>
      <c r="I43" s="35"/>
      <c r="J43" s="35"/>
      <c r="K43" s="668"/>
    </row>
    <row r="44" spans="2:11" ht="18">
      <c r="B44" s="56" t="s">
        <v>1623</v>
      </c>
      <c r="C44" s="344" t="s">
        <v>208</v>
      </c>
      <c r="D44" s="957" t="s">
        <v>2581</v>
      </c>
      <c r="E44" s="387"/>
      <c r="F44" s="387"/>
      <c r="G44" s="387"/>
      <c r="H44" s="387"/>
      <c r="I44" s="387"/>
      <c r="J44" s="670">
        <f>SUM(E44:I44)</f>
        <v>0</v>
      </c>
      <c r="K44" s="668"/>
    </row>
    <row r="45" spans="2:11" ht="18">
      <c r="B45" s="33"/>
      <c r="C45" s="339"/>
      <c r="D45" s="957"/>
      <c r="E45" s="33"/>
      <c r="F45" s="33"/>
      <c r="G45" s="33"/>
      <c r="H45" s="33"/>
      <c r="I45" s="33"/>
      <c r="J45" s="33"/>
      <c r="K45" s="668"/>
    </row>
    <row r="46" spans="2:11" ht="18">
      <c r="B46" s="56" t="s">
        <v>1852</v>
      </c>
      <c r="C46" s="344" t="s">
        <v>2332</v>
      </c>
      <c r="D46" s="957" t="s">
        <v>1789</v>
      </c>
      <c r="E46" s="387"/>
      <c r="F46" s="387"/>
      <c r="G46" s="387"/>
      <c r="H46" s="387"/>
      <c r="I46" s="387"/>
      <c r="J46" s="670">
        <f>SUM(E46:I46)</f>
        <v>0</v>
      </c>
      <c r="K46" s="668"/>
    </row>
    <row r="47" spans="2:11" ht="18">
      <c r="B47" s="46"/>
      <c r="C47" s="38" t="s">
        <v>2333</v>
      </c>
      <c r="D47" s="35"/>
      <c r="E47" s="33"/>
      <c r="F47" s="35"/>
      <c r="G47" s="35"/>
      <c r="H47" s="35"/>
      <c r="I47" s="35"/>
      <c r="J47" s="35"/>
      <c r="K47" s="668"/>
    </row>
    <row r="48" spans="2:11" ht="18">
      <c r="B48" s="56" t="s">
        <v>1852</v>
      </c>
      <c r="C48" s="344" t="s">
        <v>2332</v>
      </c>
      <c r="D48" s="330" t="s">
        <v>2583</v>
      </c>
      <c r="E48" s="387"/>
      <c r="F48" s="387"/>
      <c r="G48" s="387"/>
      <c r="H48" s="387"/>
      <c r="I48" s="387"/>
      <c r="J48" s="670">
        <f>SUM(E48:I48)</f>
        <v>0</v>
      </c>
      <c r="K48" s="668"/>
    </row>
    <row r="49" spans="2:11" ht="18">
      <c r="B49" s="33"/>
      <c r="C49" s="361" t="s">
        <v>1067</v>
      </c>
      <c r="D49" s="330"/>
      <c r="E49" s="33"/>
      <c r="F49" s="33"/>
      <c r="G49" s="33"/>
      <c r="H49" s="33"/>
      <c r="I49" s="33"/>
      <c r="J49" s="33"/>
      <c r="K49" s="668"/>
    </row>
    <row r="50" spans="2:11" ht="18">
      <c r="B50" s="56" t="s">
        <v>1745</v>
      </c>
      <c r="C50" s="344" t="s">
        <v>1605</v>
      </c>
      <c r="D50" s="330" t="s">
        <v>1832</v>
      </c>
      <c r="E50" s="387"/>
      <c r="F50" s="387"/>
      <c r="G50" s="387"/>
      <c r="H50" s="387"/>
      <c r="I50" s="387"/>
      <c r="J50" s="670">
        <f>SUM(E50:I50)</f>
        <v>0</v>
      </c>
      <c r="K50" s="668"/>
    </row>
    <row r="51" spans="2:11" ht="18">
      <c r="B51" s="38"/>
      <c r="C51" s="38"/>
      <c r="D51" s="35"/>
      <c r="E51" s="37"/>
      <c r="F51" s="35"/>
      <c r="G51" s="35"/>
      <c r="H51" s="35"/>
      <c r="I51" s="35"/>
      <c r="J51" s="35"/>
      <c r="K51" s="668"/>
    </row>
    <row r="52" spans="2:11" ht="18">
      <c r="B52" s="46"/>
      <c r="C52" s="344" t="s">
        <v>1606</v>
      </c>
      <c r="D52" s="56"/>
      <c r="E52" s="387"/>
      <c r="F52" s="387"/>
      <c r="G52" s="387"/>
      <c r="H52" s="387"/>
      <c r="I52" s="387"/>
      <c r="J52" s="35"/>
      <c r="K52" s="668"/>
    </row>
    <row r="53" spans="2:11" ht="18.75" thickBot="1">
      <c r="B53" s="311"/>
      <c r="C53" s="312"/>
      <c r="D53" s="311"/>
      <c r="E53" s="313"/>
      <c r="F53" s="314"/>
      <c r="G53" s="314"/>
      <c r="H53" s="671"/>
      <c r="I53" s="314"/>
      <c r="J53" s="672"/>
      <c r="K53" s="673"/>
    </row>
    <row r="54" spans="2:11" ht="18">
      <c r="B54" s="46"/>
      <c r="C54" s="33" t="str">
        <f>"T3-"&amp;yeartext&amp;" GENERAL DATA SUMMARY"</f>
        <v>T3-2007 GENERAL DATA SUMMARY</v>
      </c>
      <c r="D54" s="33"/>
      <c r="E54" s="34" t="s">
        <v>294</v>
      </c>
      <c r="F54" s="35"/>
      <c r="G54" s="35"/>
      <c r="H54" s="36"/>
      <c r="I54" s="35"/>
      <c r="J54" s="36" t="str">
        <f>yeartext</f>
        <v>2007</v>
      </c>
      <c r="K54" s="668"/>
    </row>
    <row r="55" spans="2:11" ht="18">
      <c r="B55" s="46"/>
      <c r="C55" s="49"/>
      <c r="D55" s="46"/>
      <c r="E55" s="51"/>
      <c r="F55" s="48"/>
      <c r="G55" s="48"/>
      <c r="H55" s="674"/>
      <c r="I55" s="48"/>
      <c r="J55" s="675"/>
      <c r="K55" s="668"/>
    </row>
    <row r="56" spans="2:11" ht="18">
      <c r="B56" s="46"/>
      <c r="C56" s="41" t="s">
        <v>1903</v>
      </c>
      <c r="D56" s="41" t="s">
        <v>1529</v>
      </c>
      <c r="E56" s="41" t="s">
        <v>1904</v>
      </c>
      <c r="F56" s="346"/>
      <c r="G56" s="346"/>
      <c r="H56" s="346"/>
      <c r="I56" s="346"/>
      <c r="J56" s="346"/>
      <c r="K56" s="668"/>
    </row>
    <row r="57" spans="2:11" ht="18">
      <c r="B57" s="46"/>
      <c r="C57" s="309" t="s">
        <v>1902</v>
      </c>
      <c r="D57" s="310" t="s">
        <v>621</v>
      </c>
      <c r="E57" s="351"/>
      <c r="F57" s="347"/>
      <c r="G57" s="347"/>
      <c r="H57" s="347"/>
      <c r="I57" s="347"/>
      <c r="J57" s="347"/>
      <c r="K57" s="668"/>
    </row>
    <row r="58" spans="2:11" ht="18">
      <c r="B58" s="46"/>
      <c r="C58" s="309" t="s">
        <v>1902</v>
      </c>
      <c r="D58" s="310" t="s">
        <v>420</v>
      </c>
      <c r="E58" s="351">
        <f>J30</f>
        <v>0</v>
      </c>
      <c r="F58" s="347"/>
      <c r="G58" s="347"/>
      <c r="H58" s="347"/>
      <c r="I58" s="347"/>
      <c r="J58" s="347"/>
      <c r="K58" s="668"/>
    </row>
    <row r="59" spans="2:11" ht="18">
      <c r="B59" s="46"/>
      <c r="C59" s="309" t="s">
        <v>1902</v>
      </c>
      <c r="D59" s="310" t="s">
        <v>976</v>
      </c>
      <c r="E59" s="351"/>
      <c r="F59" s="347"/>
      <c r="G59" s="347"/>
      <c r="H59" s="347"/>
      <c r="I59" s="347"/>
      <c r="J59" s="347"/>
      <c r="K59" s="668"/>
    </row>
    <row r="60" spans="2:11" ht="18">
      <c r="B60" s="46"/>
      <c r="C60" s="309" t="s">
        <v>1902</v>
      </c>
      <c r="D60" s="310" t="s">
        <v>158</v>
      </c>
      <c r="E60" s="351"/>
      <c r="F60" s="347"/>
      <c r="G60" s="347"/>
      <c r="H60" s="347"/>
      <c r="I60" s="347"/>
      <c r="J60" s="347"/>
      <c r="K60" s="668"/>
    </row>
    <row r="61" spans="2:11" ht="18">
      <c r="B61" s="46"/>
      <c r="C61" s="309" t="s">
        <v>1851</v>
      </c>
      <c r="D61" s="310" t="s">
        <v>1907</v>
      </c>
      <c r="E61" s="351"/>
      <c r="F61" s="357"/>
      <c r="G61" s="357" t="s">
        <v>70</v>
      </c>
      <c r="H61" s="357"/>
      <c r="I61" s="357"/>
      <c r="J61" s="347"/>
      <c r="K61" s="668"/>
    </row>
    <row r="62" spans="2:11" ht="18">
      <c r="B62" s="46"/>
      <c r="C62" s="309" t="s">
        <v>416</v>
      </c>
      <c r="D62" s="310" t="s">
        <v>166</v>
      </c>
      <c r="E62" s="351">
        <f>J44</f>
        <v>0</v>
      </c>
      <c r="F62" s="357"/>
      <c r="G62" s="357" t="s">
        <v>71</v>
      </c>
      <c r="H62" s="357"/>
      <c r="I62" s="357"/>
      <c r="J62" s="347"/>
      <c r="K62" s="668"/>
    </row>
    <row r="63" spans="2:11" ht="18">
      <c r="B63" s="46"/>
      <c r="C63" s="309" t="s">
        <v>416</v>
      </c>
      <c r="D63" s="310" t="s">
        <v>167</v>
      </c>
      <c r="E63" s="351"/>
      <c r="F63" s="357"/>
      <c r="G63" s="357"/>
      <c r="H63" s="357"/>
      <c r="I63" s="357"/>
      <c r="J63" s="347"/>
      <c r="K63" s="668"/>
    </row>
    <row r="64" spans="2:11" ht="18">
      <c r="B64" s="46"/>
      <c r="C64" s="309" t="s">
        <v>416</v>
      </c>
      <c r="D64" s="310" t="s">
        <v>168</v>
      </c>
      <c r="E64" s="351"/>
      <c r="F64" s="357"/>
      <c r="G64" s="347" t="s">
        <v>2584</v>
      </c>
      <c r="H64" s="357"/>
      <c r="I64" s="357"/>
      <c r="J64" s="347"/>
      <c r="K64" s="668"/>
    </row>
    <row r="65" spans="2:11" ht="18">
      <c r="B65" s="46"/>
      <c r="C65" s="309" t="s">
        <v>1048</v>
      </c>
      <c r="D65" s="310" t="s">
        <v>169</v>
      </c>
      <c r="E65" s="351">
        <f>J42</f>
        <v>0</v>
      </c>
      <c r="F65" s="347"/>
      <c r="G65" s="347" t="s">
        <v>2585</v>
      </c>
      <c r="H65" s="347"/>
      <c r="I65" s="347"/>
      <c r="J65" s="347"/>
      <c r="K65" s="668"/>
    </row>
    <row r="66" spans="2:11" ht="18">
      <c r="B66" s="46"/>
      <c r="C66" s="309" t="s">
        <v>165</v>
      </c>
      <c r="D66" s="310" t="s">
        <v>170</v>
      </c>
      <c r="E66" s="351"/>
      <c r="F66" s="347"/>
      <c r="G66" s="347"/>
      <c r="H66" s="347"/>
      <c r="I66" s="347"/>
      <c r="J66" s="347"/>
      <c r="K66" s="668"/>
    </row>
    <row r="67" spans="2:11" ht="18">
      <c r="B67" s="46"/>
      <c r="C67" s="309" t="s">
        <v>165</v>
      </c>
      <c r="D67" s="310" t="s">
        <v>1738</v>
      </c>
      <c r="E67" s="351"/>
      <c r="F67" s="347"/>
      <c r="G67" s="347" t="s">
        <v>94</v>
      </c>
      <c r="H67" s="347"/>
      <c r="I67" s="347"/>
      <c r="J67" s="347"/>
      <c r="K67" s="668"/>
    </row>
    <row r="68" spans="2:11" ht="18">
      <c r="B68" s="46"/>
      <c r="C68" s="309" t="s">
        <v>165</v>
      </c>
      <c r="D68" s="310" t="s">
        <v>160</v>
      </c>
      <c r="E68" s="351"/>
      <c r="F68" s="347"/>
      <c r="G68" s="347" t="s">
        <v>69</v>
      </c>
      <c r="H68" s="347"/>
      <c r="I68" s="347"/>
      <c r="J68" s="347"/>
      <c r="K68" s="668"/>
    </row>
    <row r="69" spans="2:11" ht="18">
      <c r="B69" s="46"/>
      <c r="C69" s="309" t="s">
        <v>165</v>
      </c>
      <c r="D69" s="310" t="s">
        <v>1739</v>
      </c>
      <c r="E69" s="351">
        <f>J40</f>
        <v>0</v>
      </c>
      <c r="F69" s="347"/>
      <c r="G69" s="347"/>
      <c r="H69" s="347"/>
      <c r="I69" s="347"/>
      <c r="J69" s="347"/>
      <c r="K69" s="668"/>
    </row>
    <row r="70" spans="2:11" ht="18">
      <c r="B70" s="46"/>
      <c r="C70" s="309" t="s">
        <v>165</v>
      </c>
      <c r="D70" s="310" t="s">
        <v>161</v>
      </c>
      <c r="E70" s="351"/>
      <c r="F70" s="347" t="s">
        <v>2223</v>
      </c>
      <c r="G70" s="347"/>
      <c r="H70" s="347"/>
      <c r="I70" s="347"/>
      <c r="J70" s="347"/>
      <c r="K70" s="668"/>
    </row>
    <row r="71" spans="2:11" ht="18">
      <c r="B71" s="46"/>
      <c r="C71" s="309" t="s">
        <v>1740</v>
      </c>
      <c r="D71" s="310" t="s">
        <v>1850</v>
      </c>
      <c r="E71" s="351"/>
      <c r="F71" s="347"/>
      <c r="G71" s="347"/>
      <c r="H71" s="347"/>
      <c r="I71" s="347"/>
      <c r="J71" s="347"/>
      <c r="K71" s="668"/>
    </row>
    <row r="72" spans="2:11" ht="18">
      <c r="B72" s="46"/>
      <c r="C72" s="309" t="s">
        <v>1049</v>
      </c>
      <c r="D72" s="310" t="s">
        <v>1742</v>
      </c>
      <c r="E72" s="351"/>
      <c r="F72" s="347"/>
      <c r="G72" s="347"/>
      <c r="H72" s="347"/>
      <c r="I72" s="347"/>
      <c r="J72" s="347"/>
      <c r="K72" s="668"/>
    </row>
    <row r="73" spans="2:11" ht="18">
      <c r="B73" s="46"/>
      <c r="C73" s="309" t="s">
        <v>1049</v>
      </c>
      <c r="D73" s="310" t="s">
        <v>1743</v>
      </c>
      <c r="E73" s="351"/>
      <c r="F73" s="347"/>
      <c r="G73" s="347"/>
      <c r="H73" s="347"/>
      <c r="I73" s="347"/>
      <c r="J73" s="347"/>
      <c r="K73" s="668"/>
    </row>
    <row r="74" spans="2:11" ht="18">
      <c r="B74" s="46"/>
      <c r="C74" s="309" t="s">
        <v>1049</v>
      </c>
      <c r="D74" s="310" t="s">
        <v>1744</v>
      </c>
      <c r="E74" s="351"/>
      <c r="F74" s="347"/>
      <c r="G74" s="347"/>
      <c r="H74" s="347"/>
      <c r="I74" s="347"/>
      <c r="J74" s="347"/>
      <c r="K74" s="668"/>
    </row>
    <row r="75" spans="2:11" ht="18">
      <c r="B75" s="46"/>
      <c r="C75" s="309" t="s">
        <v>1745</v>
      </c>
      <c r="D75" s="310"/>
      <c r="E75" s="351"/>
      <c r="F75" s="347"/>
      <c r="G75" s="347"/>
      <c r="H75" s="347"/>
      <c r="I75" s="347"/>
      <c r="J75" s="347"/>
      <c r="K75" s="668"/>
    </row>
    <row r="76" spans="2:11" ht="18">
      <c r="B76" s="46"/>
      <c r="C76" s="309" t="s">
        <v>1852</v>
      </c>
      <c r="D76" s="310"/>
      <c r="E76" s="351"/>
      <c r="F76" s="347"/>
      <c r="G76" s="347"/>
      <c r="H76" s="347"/>
      <c r="I76" s="347"/>
      <c r="J76" s="347"/>
      <c r="K76" s="668"/>
    </row>
    <row r="77" spans="2:11" ht="18">
      <c r="B77" s="46"/>
      <c r="C77" s="309" t="s">
        <v>893</v>
      </c>
      <c r="D77" s="310"/>
      <c r="E77" s="351"/>
      <c r="F77" s="347"/>
      <c r="G77" s="347"/>
      <c r="H77" s="347"/>
      <c r="I77" s="347"/>
      <c r="J77" s="347"/>
      <c r="K77" s="668"/>
    </row>
    <row r="78" spans="2:11" ht="18">
      <c r="B78" s="46"/>
      <c r="C78" s="328"/>
      <c r="D78" s="329"/>
      <c r="E78" s="343"/>
      <c r="F78" s="347"/>
      <c r="G78" s="347"/>
      <c r="H78" s="347"/>
      <c r="I78" s="347"/>
      <c r="J78" s="347"/>
      <c r="K78" s="668"/>
    </row>
    <row r="79" spans="2:11" ht="18">
      <c r="B79" s="46"/>
      <c r="C79" s="330"/>
      <c r="D79" s="46"/>
      <c r="E79" s="347"/>
      <c r="F79" s="347"/>
      <c r="G79" s="347"/>
      <c r="H79" s="347"/>
      <c r="I79" s="347"/>
      <c r="J79" s="347"/>
      <c r="K79" s="668"/>
    </row>
    <row r="80" spans="2:4" ht="15">
      <c r="B80" s="676"/>
      <c r="D80" s="55"/>
    </row>
    <row r="81" spans="2:4" ht="15">
      <c r="B81" s="676"/>
      <c r="D81" s="55"/>
    </row>
    <row r="82" spans="2:4" ht="15">
      <c r="B82" s="676"/>
      <c r="D82" s="55"/>
    </row>
    <row r="83" spans="2:4" ht="15">
      <c r="B83" s="676"/>
      <c r="D83" s="55"/>
    </row>
    <row r="84" spans="2:4" ht="15">
      <c r="B84" s="676"/>
      <c r="D84" s="55"/>
    </row>
    <row r="85" spans="2:4" ht="15">
      <c r="B85" s="676"/>
      <c r="D85" s="55"/>
    </row>
    <row r="86" spans="2:4" ht="15">
      <c r="B86" s="676"/>
      <c r="D86" s="55"/>
    </row>
    <row r="87" spans="2:4" ht="15">
      <c r="B87" s="676"/>
      <c r="D87" s="55"/>
    </row>
    <row r="88" spans="2:4" ht="15">
      <c r="B88" s="676"/>
      <c r="D88" s="55"/>
    </row>
    <row r="89" spans="2:4" ht="15">
      <c r="B89" s="676"/>
      <c r="D89" s="55"/>
    </row>
    <row r="90" spans="2:4" ht="15">
      <c r="B90" s="676"/>
      <c r="D90" s="55"/>
    </row>
    <row r="91" spans="2:4" ht="15">
      <c r="B91" s="676"/>
      <c r="D91" s="55"/>
    </row>
  </sheetData>
  <sheetProtection password="EC35" sheet="1" objects="1" scenarios="1"/>
  <printOptions horizontalCentered="1"/>
  <pageMargins left="0" right="0" top="0" bottom="0" header="0.5" footer="0.5"/>
  <pageSetup fitToHeight="0" fitToWidth="1" horizontalDpi="600" verticalDpi="600" orientation="portrait" scale="50" r:id="rId1"/>
</worksheet>
</file>

<file path=xl/worksheets/sheet38.xml><?xml version="1.0" encoding="utf-8"?>
<worksheet xmlns="http://schemas.openxmlformats.org/spreadsheetml/2006/main" xmlns:r="http://schemas.openxmlformats.org/officeDocument/2006/relationships">
  <sheetPr codeName="Sheet2111111111">
    <pageSetUpPr fitToPage="1"/>
  </sheetPr>
  <dimension ref="A1:IV70"/>
  <sheetViews>
    <sheetView zoomScale="50" zoomScaleNormal="50" workbookViewId="0" topLeftCell="A1">
      <selection activeCell="B12" sqref="B12"/>
    </sheetView>
  </sheetViews>
  <sheetFormatPr defaultColWidth="8.88671875" defaultRowHeight="15"/>
  <cols>
    <col min="1" max="1" width="1.77734375" style="669" customWidth="1"/>
    <col min="2" max="2" width="8.3359375" style="669" customWidth="1"/>
    <col min="3" max="3" width="34.77734375" style="669" customWidth="1"/>
    <col min="4" max="4" width="7.99609375" style="669" customWidth="1"/>
    <col min="5" max="10" width="12.21484375" style="669" customWidth="1"/>
    <col min="11" max="11" width="1.88671875" style="669" customWidth="1"/>
    <col min="12" max="16384" width="8.88671875" style="669" customWidth="1"/>
  </cols>
  <sheetData>
    <row r="1" spans="2:11" ht="18">
      <c r="B1" s="35"/>
      <c r="C1" s="33" t="str">
        <f>"T5-"&amp;yeartext&amp;" SLIPS DATA ENTRY FOR"</f>
        <v>T5-2007 SLIPS DATA ENTRY FOR</v>
      </c>
      <c r="D1" s="33"/>
      <c r="E1" s="339" t="s">
        <v>1265</v>
      </c>
      <c r="F1" s="35"/>
      <c r="G1" s="35"/>
      <c r="H1" s="36"/>
      <c r="I1" s="35"/>
      <c r="J1" s="36" t="str">
        <f>yeartext</f>
        <v>2007</v>
      </c>
      <c r="K1" s="668"/>
    </row>
    <row r="2" spans="2:11" ht="15.75">
      <c r="B2" s="35"/>
      <c r="C2" s="35"/>
      <c r="D2" s="37"/>
      <c r="E2" s="668"/>
      <c r="F2" s="35"/>
      <c r="G2" s="35"/>
      <c r="H2" s="35"/>
      <c r="I2" s="35"/>
      <c r="J2" s="35"/>
      <c r="K2" s="668"/>
    </row>
    <row r="3" spans="2:11" ht="18">
      <c r="B3" s="38"/>
      <c r="C3" s="38" t="s">
        <v>723</v>
      </c>
      <c r="D3" s="35"/>
      <c r="E3" s="37"/>
      <c r="F3" s="35"/>
      <c r="G3" s="35"/>
      <c r="H3" s="35"/>
      <c r="I3" s="35"/>
      <c r="J3" s="35"/>
      <c r="K3" s="668"/>
    </row>
    <row r="4" spans="2:11" ht="18">
      <c r="B4" s="38"/>
      <c r="C4" s="38" t="s">
        <v>724</v>
      </c>
      <c r="D4" s="35"/>
      <c r="E4" s="37"/>
      <c r="F4" s="35"/>
      <c r="G4" s="35"/>
      <c r="H4" s="35"/>
      <c r="I4" s="35"/>
      <c r="J4" s="35"/>
      <c r="K4" s="668"/>
    </row>
    <row r="5" spans="2:11" ht="18">
      <c r="B5" s="38"/>
      <c r="C5" s="38" t="s">
        <v>485</v>
      </c>
      <c r="D5" s="35"/>
      <c r="E5" s="37"/>
      <c r="F5" s="35"/>
      <c r="G5" s="35"/>
      <c r="H5" s="35"/>
      <c r="I5" s="35"/>
      <c r="J5" s="35"/>
      <c r="K5" s="668"/>
    </row>
    <row r="6" spans="2:11" ht="18">
      <c r="B6" s="38"/>
      <c r="C6" s="38" t="s">
        <v>2240</v>
      </c>
      <c r="D6" s="35"/>
      <c r="E6" s="37"/>
      <c r="F6" s="35"/>
      <c r="G6" s="35"/>
      <c r="H6" s="35"/>
      <c r="I6" s="35"/>
      <c r="J6" s="35"/>
      <c r="K6" s="668"/>
    </row>
    <row r="7" spans="2:11" ht="18">
      <c r="B7" s="38"/>
      <c r="C7" s="38" t="s">
        <v>972</v>
      </c>
      <c r="D7" s="35"/>
      <c r="E7" s="37"/>
      <c r="F7" s="35"/>
      <c r="G7" s="35"/>
      <c r="H7" s="35"/>
      <c r="I7" s="35"/>
      <c r="J7" s="35"/>
      <c r="K7" s="668"/>
    </row>
    <row r="8" spans="2:11" ht="18">
      <c r="B8" s="38"/>
      <c r="C8" s="38" t="s">
        <v>134</v>
      </c>
      <c r="D8" s="35"/>
      <c r="E8" s="37"/>
      <c r="F8" s="35"/>
      <c r="G8" s="35"/>
      <c r="H8" s="35"/>
      <c r="I8" s="35"/>
      <c r="J8" s="35"/>
      <c r="K8" s="668"/>
    </row>
    <row r="9" spans="2:11" ht="18">
      <c r="B9" s="38"/>
      <c r="C9" s="38" t="s">
        <v>1124</v>
      </c>
      <c r="D9" s="35"/>
      <c r="E9" s="37"/>
      <c r="F9" s="35"/>
      <c r="G9" s="35"/>
      <c r="H9" s="35"/>
      <c r="I9" s="35"/>
      <c r="J9" s="35"/>
      <c r="K9" s="668"/>
    </row>
    <row r="10" spans="2:11" ht="18">
      <c r="B10" s="38"/>
      <c r="C10" s="38" t="s">
        <v>1125</v>
      </c>
      <c r="D10" s="35"/>
      <c r="E10" s="37"/>
      <c r="F10" s="35"/>
      <c r="G10" s="35"/>
      <c r="H10" s="35"/>
      <c r="I10" s="35"/>
      <c r="J10" s="35"/>
      <c r="K10" s="668"/>
    </row>
    <row r="11" spans="2:11" ht="18">
      <c r="B11" s="38"/>
      <c r="C11" s="38" t="s">
        <v>1526</v>
      </c>
      <c r="D11" s="35"/>
      <c r="E11" s="37"/>
      <c r="F11" s="35"/>
      <c r="G11" s="35"/>
      <c r="H11" s="35"/>
      <c r="I11" s="35"/>
      <c r="J11" s="35"/>
      <c r="K11" s="668"/>
    </row>
    <row r="12" spans="2:11" ht="18">
      <c r="B12" s="38"/>
      <c r="C12" s="38" t="s">
        <v>2574</v>
      </c>
      <c r="D12" s="35"/>
      <c r="E12" s="37"/>
      <c r="F12" s="35"/>
      <c r="G12" s="35"/>
      <c r="H12" s="35"/>
      <c r="I12" s="35"/>
      <c r="J12" s="35"/>
      <c r="K12" s="668"/>
    </row>
    <row r="13" spans="2:11" ht="18">
      <c r="B13" s="38"/>
      <c r="C13" s="38"/>
      <c r="D13" s="35"/>
      <c r="E13" s="37"/>
      <c r="F13" s="35"/>
      <c r="G13" s="35"/>
      <c r="H13" s="35"/>
      <c r="I13" s="35"/>
      <c r="J13" s="35"/>
      <c r="K13" s="668"/>
    </row>
    <row r="14" spans="2:11" ht="23.25">
      <c r="B14" s="389" t="s">
        <v>1793</v>
      </c>
      <c r="C14" s="38"/>
      <c r="D14" s="35"/>
      <c r="E14" s="37"/>
      <c r="F14" s="35"/>
      <c r="G14" s="35"/>
      <c r="H14" s="35"/>
      <c r="I14" s="35"/>
      <c r="J14" s="35"/>
      <c r="K14" s="668"/>
    </row>
    <row r="15" spans="2:11" ht="36">
      <c r="B15" s="41" t="s">
        <v>44</v>
      </c>
      <c r="C15" s="41" t="s">
        <v>2180</v>
      </c>
      <c r="D15" s="41" t="s">
        <v>1529</v>
      </c>
      <c r="E15" s="41" t="s">
        <v>135</v>
      </c>
      <c r="F15" s="41" t="s">
        <v>833</v>
      </c>
      <c r="G15" s="41" t="s">
        <v>834</v>
      </c>
      <c r="H15" s="41" t="s">
        <v>835</v>
      </c>
      <c r="I15" s="41" t="s">
        <v>236</v>
      </c>
      <c r="J15" s="42" t="s">
        <v>2444</v>
      </c>
      <c r="K15" s="668"/>
    </row>
    <row r="16" spans="2:11" ht="18">
      <c r="B16" s="38"/>
      <c r="C16" s="38"/>
      <c r="D16" s="35"/>
      <c r="E16" s="37"/>
      <c r="F16" s="35"/>
      <c r="G16" s="35"/>
      <c r="H16" s="35"/>
      <c r="I16" s="35"/>
      <c r="J16" s="35"/>
      <c r="K16" s="668"/>
    </row>
    <row r="17" spans="2:11" ht="18">
      <c r="B17" s="46" t="s">
        <v>2445</v>
      </c>
      <c r="C17" s="344" t="s">
        <v>206</v>
      </c>
      <c r="D17" s="46"/>
      <c r="E17" s="387"/>
      <c r="F17" s="387"/>
      <c r="G17" s="387"/>
      <c r="H17" s="387"/>
      <c r="I17" s="387"/>
      <c r="J17" s="670">
        <f>SUM(E17:I17)</f>
        <v>0</v>
      </c>
      <c r="K17" s="668"/>
    </row>
    <row r="18" spans="2:11" ht="18">
      <c r="B18" s="46"/>
      <c r="C18" s="38"/>
      <c r="D18" s="35"/>
      <c r="E18" s="37"/>
      <c r="F18" s="35"/>
      <c r="G18" s="35"/>
      <c r="H18" s="37"/>
      <c r="I18" s="35"/>
      <c r="J18" s="35"/>
      <c r="K18" s="668"/>
    </row>
    <row r="19" spans="2:11" ht="18">
      <c r="B19" s="46" t="s">
        <v>884</v>
      </c>
      <c r="C19" s="344" t="s">
        <v>207</v>
      </c>
      <c r="D19" s="46" t="s">
        <v>420</v>
      </c>
      <c r="E19" s="387"/>
      <c r="F19" s="387"/>
      <c r="G19" s="387"/>
      <c r="H19" s="387"/>
      <c r="I19" s="387"/>
      <c r="J19" s="670">
        <f>SUM(E19:I19)</f>
        <v>0</v>
      </c>
      <c r="K19" s="668"/>
    </row>
    <row r="20" spans="1:256" s="696" customFormat="1" ht="18">
      <c r="A20" s="388"/>
      <c r="B20" s="46"/>
      <c r="C20" s="339"/>
      <c r="D20" s="33"/>
      <c r="E20" s="37"/>
      <c r="F20" s="35"/>
      <c r="G20" s="35"/>
      <c r="H20" s="37"/>
      <c r="I20" s="35"/>
      <c r="J20" s="35"/>
      <c r="K20" s="668"/>
      <c r="L20" s="388"/>
      <c r="M20" s="388"/>
      <c r="N20" s="388"/>
      <c r="O20" s="388"/>
      <c r="P20" s="388"/>
      <c r="Q20" s="388"/>
      <c r="R20" s="388"/>
      <c r="S20" s="388"/>
      <c r="T20" s="388"/>
      <c r="U20" s="388"/>
      <c r="V20" s="388"/>
      <c r="W20" s="388"/>
      <c r="X20" s="388"/>
      <c r="Y20" s="388"/>
      <c r="Z20" s="388"/>
      <c r="AA20" s="388"/>
      <c r="AB20" s="388"/>
      <c r="AC20" s="388"/>
      <c r="AD20" s="388"/>
      <c r="AE20" s="388"/>
      <c r="AF20" s="388"/>
      <c r="AG20" s="388"/>
      <c r="AH20" s="388"/>
      <c r="AI20" s="388"/>
      <c r="AJ20" s="388"/>
      <c r="AK20" s="388"/>
      <c r="AL20" s="388"/>
      <c r="AM20" s="388"/>
      <c r="AN20" s="388"/>
      <c r="AO20" s="388"/>
      <c r="AP20" s="388"/>
      <c r="AQ20" s="388"/>
      <c r="AR20" s="388"/>
      <c r="AS20" s="388"/>
      <c r="AT20" s="388"/>
      <c r="AU20" s="388"/>
      <c r="AV20" s="388"/>
      <c r="AW20" s="388"/>
      <c r="AX20" s="388"/>
      <c r="AY20" s="388"/>
      <c r="AZ20" s="388"/>
      <c r="BA20" s="388"/>
      <c r="BB20" s="388"/>
      <c r="BC20" s="388"/>
      <c r="BD20" s="388"/>
      <c r="BE20" s="388"/>
      <c r="BF20" s="388"/>
      <c r="BG20" s="388"/>
      <c r="BH20" s="388"/>
      <c r="BI20" s="388"/>
      <c r="BJ20" s="388"/>
      <c r="BK20" s="388"/>
      <c r="BL20" s="388"/>
      <c r="BM20" s="388"/>
      <c r="BN20" s="388"/>
      <c r="BO20" s="388"/>
      <c r="BP20" s="388"/>
      <c r="BQ20" s="388"/>
      <c r="BR20" s="388"/>
      <c r="BS20" s="388"/>
      <c r="BT20" s="388"/>
      <c r="BU20" s="388"/>
      <c r="BV20" s="388"/>
      <c r="BW20" s="388"/>
      <c r="BX20" s="388"/>
      <c r="BY20" s="388"/>
      <c r="BZ20" s="388"/>
      <c r="CA20" s="388"/>
      <c r="CB20" s="388"/>
      <c r="CC20" s="388"/>
      <c r="CD20" s="388"/>
      <c r="CE20" s="388"/>
      <c r="CF20" s="388"/>
      <c r="CG20" s="388"/>
      <c r="CH20" s="388"/>
      <c r="CI20" s="388"/>
      <c r="CJ20" s="388"/>
      <c r="CK20" s="388"/>
      <c r="CL20" s="388"/>
      <c r="CM20" s="388"/>
      <c r="CN20" s="388"/>
      <c r="CO20" s="388"/>
      <c r="CP20" s="388"/>
      <c r="CQ20" s="388"/>
      <c r="CR20" s="388"/>
      <c r="CS20" s="388"/>
      <c r="CT20" s="388"/>
      <c r="CU20" s="388"/>
      <c r="CV20" s="388"/>
      <c r="CW20" s="388"/>
      <c r="CX20" s="388"/>
      <c r="CY20" s="388"/>
      <c r="CZ20" s="388"/>
      <c r="DA20" s="388"/>
      <c r="DB20" s="388"/>
      <c r="DC20" s="388"/>
      <c r="DD20" s="388"/>
      <c r="DE20" s="388"/>
      <c r="DF20" s="388"/>
      <c r="DG20" s="388"/>
      <c r="DH20" s="388"/>
      <c r="DI20" s="388"/>
      <c r="DJ20" s="388"/>
      <c r="DK20" s="388"/>
      <c r="DL20" s="388"/>
      <c r="DM20" s="388"/>
      <c r="DN20" s="388"/>
      <c r="DO20" s="388"/>
      <c r="DP20" s="388"/>
      <c r="DQ20" s="388"/>
      <c r="DR20" s="388"/>
      <c r="DS20" s="388"/>
      <c r="DT20" s="388"/>
      <c r="DU20" s="388"/>
      <c r="DV20" s="388"/>
      <c r="DW20" s="388"/>
      <c r="DX20" s="388"/>
      <c r="DY20" s="388"/>
      <c r="DZ20" s="388"/>
      <c r="EA20" s="388"/>
      <c r="EB20" s="388"/>
      <c r="EC20" s="388"/>
      <c r="ED20" s="388"/>
      <c r="EE20" s="388"/>
      <c r="EF20" s="388"/>
      <c r="EG20" s="388"/>
      <c r="EH20" s="388"/>
      <c r="EI20" s="388"/>
      <c r="EJ20" s="388"/>
      <c r="EK20" s="388"/>
      <c r="EL20" s="388"/>
      <c r="EM20" s="388"/>
      <c r="EN20" s="388"/>
      <c r="EO20" s="388"/>
      <c r="EP20" s="388"/>
      <c r="EQ20" s="388"/>
      <c r="ER20" s="388"/>
      <c r="ES20" s="388"/>
      <c r="ET20" s="388"/>
      <c r="EU20" s="388"/>
      <c r="EV20" s="388"/>
      <c r="EW20" s="388"/>
      <c r="EX20" s="388"/>
      <c r="EY20" s="388"/>
      <c r="EZ20" s="388"/>
      <c r="FA20" s="388"/>
      <c r="FB20" s="388"/>
      <c r="FC20" s="388"/>
      <c r="FD20" s="388"/>
      <c r="FE20" s="388"/>
      <c r="FF20" s="388"/>
      <c r="FG20" s="388"/>
      <c r="FH20" s="388"/>
      <c r="FI20" s="388"/>
      <c r="FJ20" s="388"/>
      <c r="FK20" s="388"/>
      <c r="FL20" s="388"/>
      <c r="FM20" s="388"/>
      <c r="FN20" s="388"/>
      <c r="FO20" s="388"/>
      <c r="FP20" s="388"/>
      <c r="FQ20" s="388"/>
      <c r="FR20" s="388"/>
      <c r="FS20" s="388"/>
      <c r="FT20" s="388"/>
      <c r="FU20" s="388"/>
      <c r="FV20" s="388"/>
      <c r="FW20" s="388"/>
      <c r="FX20" s="388"/>
      <c r="FY20" s="388"/>
      <c r="FZ20" s="388"/>
      <c r="GA20" s="388"/>
      <c r="GB20" s="388"/>
      <c r="GC20" s="388"/>
      <c r="GD20" s="388"/>
      <c r="GE20" s="388"/>
      <c r="GF20" s="388"/>
      <c r="GG20" s="388"/>
      <c r="GH20" s="388"/>
      <c r="GI20" s="388"/>
      <c r="GJ20" s="388"/>
      <c r="GK20" s="388"/>
      <c r="GL20" s="388"/>
      <c r="GM20" s="388"/>
      <c r="GN20" s="388"/>
      <c r="GO20" s="388"/>
      <c r="GP20" s="388"/>
      <c r="GQ20" s="388"/>
      <c r="GR20" s="388"/>
      <c r="GS20" s="388"/>
      <c r="GT20" s="388"/>
      <c r="GU20" s="388"/>
      <c r="GV20" s="388"/>
      <c r="GW20" s="388"/>
      <c r="GX20" s="388"/>
      <c r="GY20" s="388"/>
      <c r="GZ20" s="388"/>
      <c r="HA20" s="388"/>
      <c r="HB20" s="388"/>
      <c r="HC20" s="388"/>
      <c r="HD20" s="388"/>
      <c r="HE20" s="388"/>
      <c r="HF20" s="388"/>
      <c r="HG20" s="388"/>
      <c r="HH20" s="388"/>
      <c r="HI20" s="388"/>
      <c r="HJ20" s="388"/>
      <c r="HK20" s="388"/>
      <c r="HL20" s="388"/>
      <c r="HM20" s="388"/>
      <c r="HN20" s="388"/>
      <c r="HO20" s="388"/>
      <c r="HP20" s="388"/>
      <c r="HQ20" s="388"/>
      <c r="HR20" s="388"/>
      <c r="HS20" s="388"/>
      <c r="HT20" s="388"/>
      <c r="HU20" s="388"/>
      <c r="HV20" s="388"/>
      <c r="HW20" s="388"/>
      <c r="HX20" s="388"/>
      <c r="HY20" s="388"/>
      <c r="HZ20" s="388"/>
      <c r="IA20" s="388"/>
      <c r="IB20" s="388"/>
      <c r="IC20" s="388"/>
      <c r="ID20" s="388"/>
      <c r="IE20" s="388"/>
      <c r="IF20" s="388"/>
      <c r="IG20" s="388"/>
      <c r="IH20" s="388"/>
      <c r="II20" s="388"/>
      <c r="IJ20" s="388"/>
      <c r="IK20" s="388"/>
      <c r="IL20" s="388"/>
      <c r="IM20" s="388"/>
      <c r="IN20" s="388"/>
      <c r="IO20" s="388"/>
      <c r="IP20" s="388"/>
      <c r="IQ20" s="388"/>
      <c r="IR20" s="388"/>
      <c r="IS20" s="388"/>
      <c r="IT20" s="388"/>
      <c r="IU20" s="388"/>
      <c r="IV20" s="388"/>
    </row>
    <row r="21" spans="2:11" ht="18">
      <c r="B21" s="46" t="s">
        <v>886</v>
      </c>
      <c r="C21" s="344" t="s">
        <v>208</v>
      </c>
      <c r="D21" s="46" t="s">
        <v>166</v>
      </c>
      <c r="E21" s="387"/>
      <c r="F21" s="387"/>
      <c r="G21" s="387"/>
      <c r="H21" s="387"/>
      <c r="I21" s="387"/>
      <c r="J21" s="670">
        <f>SUM(E21:I21)</f>
        <v>0</v>
      </c>
      <c r="K21" s="668"/>
    </row>
    <row r="22" spans="2:11" ht="18">
      <c r="B22" s="46"/>
      <c r="C22" s="38"/>
      <c r="D22" s="35"/>
      <c r="E22" s="33"/>
      <c r="F22" s="35"/>
      <c r="G22" s="35"/>
      <c r="H22" s="35"/>
      <c r="I22" s="35"/>
      <c r="J22" s="35"/>
      <c r="K22" s="668"/>
    </row>
    <row r="23" spans="2:11" ht="18">
      <c r="B23" s="46" t="s">
        <v>888</v>
      </c>
      <c r="C23" s="344" t="s">
        <v>534</v>
      </c>
      <c r="D23" s="56" t="s">
        <v>421</v>
      </c>
      <c r="E23" s="387"/>
      <c r="F23" s="387"/>
      <c r="G23" s="387"/>
      <c r="H23" s="387"/>
      <c r="I23" s="387"/>
      <c r="J23" s="670">
        <f>SUM(E23:I23)</f>
        <v>0</v>
      </c>
      <c r="K23" s="668"/>
    </row>
    <row r="24" spans="2:11" ht="18">
      <c r="B24" s="46"/>
      <c r="C24" s="38"/>
      <c r="D24" s="358"/>
      <c r="E24" s="33"/>
      <c r="F24" s="35"/>
      <c r="G24" s="35"/>
      <c r="H24" s="35"/>
      <c r="I24" s="35"/>
      <c r="J24" s="35"/>
      <c r="K24" s="668"/>
    </row>
    <row r="25" spans="2:11" ht="18">
      <c r="B25" s="46" t="s">
        <v>2447</v>
      </c>
      <c r="C25" s="344" t="s">
        <v>245</v>
      </c>
      <c r="D25" s="46" t="s">
        <v>421</v>
      </c>
      <c r="E25" s="387"/>
      <c r="F25" s="387"/>
      <c r="G25" s="387"/>
      <c r="H25" s="387"/>
      <c r="I25" s="387"/>
      <c r="J25" s="670">
        <f>SUM(E25:I25)</f>
        <v>0</v>
      </c>
      <c r="K25" s="668"/>
    </row>
    <row r="26" spans="2:11" ht="18">
      <c r="B26" s="38"/>
      <c r="C26" s="344" t="s">
        <v>583</v>
      </c>
      <c r="D26" s="35"/>
      <c r="E26" s="37"/>
      <c r="F26" s="35"/>
      <c r="G26" s="35"/>
      <c r="H26" s="35"/>
      <c r="I26" s="35"/>
      <c r="J26" s="35"/>
      <c r="K26" s="668"/>
    </row>
    <row r="27" spans="2:11" ht="18">
      <c r="B27" s="46" t="s">
        <v>1915</v>
      </c>
      <c r="C27" s="344" t="s">
        <v>535</v>
      </c>
      <c r="D27" s="46" t="s">
        <v>421</v>
      </c>
      <c r="E27" s="387"/>
      <c r="F27" s="387"/>
      <c r="G27" s="387"/>
      <c r="H27" s="387"/>
      <c r="I27" s="387"/>
      <c r="J27" s="670">
        <f>SUM(E27:I27)</f>
        <v>0</v>
      </c>
      <c r="K27" s="668"/>
    </row>
    <row r="28" spans="2:11" ht="18">
      <c r="B28" s="46"/>
      <c r="C28" s="344"/>
      <c r="D28" s="35"/>
      <c r="E28" s="37"/>
      <c r="F28" s="35"/>
      <c r="G28" s="35"/>
      <c r="H28" s="37"/>
      <c r="I28" s="35"/>
      <c r="J28" s="35"/>
      <c r="K28" s="668"/>
    </row>
    <row r="29" spans="2:11" ht="18">
      <c r="B29" s="46" t="s">
        <v>2449</v>
      </c>
      <c r="C29" s="344" t="s">
        <v>536</v>
      </c>
      <c r="D29" s="56" t="s">
        <v>584</v>
      </c>
      <c r="E29" s="387"/>
      <c r="F29" s="387"/>
      <c r="G29" s="387"/>
      <c r="H29" s="387"/>
      <c r="I29" s="387"/>
      <c r="J29" s="670">
        <f>SUM(E29:I29)</f>
        <v>0</v>
      </c>
      <c r="K29" s="668"/>
    </row>
    <row r="30" spans="2:11" ht="18">
      <c r="B30" s="46"/>
      <c r="C30" s="339"/>
      <c r="D30" s="33"/>
      <c r="E30" s="33"/>
      <c r="F30" s="33"/>
      <c r="G30" s="33"/>
      <c r="H30" s="33"/>
      <c r="I30" s="33"/>
      <c r="J30" s="33"/>
      <c r="K30" s="668"/>
    </row>
    <row r="31" spans="2:11" ht="18">
      <c r="B31" s="46" t="s">
        <v>2451</v>
      </c>
      <c r="C31" s="344" t="s">
        <v>604</v>
      </c>
      <c r="D31" s="56" t="s">
        <v>1905</v>
      </c>
      <c r="E31" s="387"/>
      <c r="F31" s="387"/>
      <c r="G31" s="387"/>
      <c r="H31" s="387"/>
      <c r="I31" s="387"/>
      <c r="J31" s="670">
        <f>SUM(E31:I31)</f>
        <v>0</v>
      </c>
      <c r="K31" s="668"/>
    </row>
    <row r="32" spans="2:11" ht="18">
      <c r="B32" s="46"/>
      <c r="C32" s="38" t="s">
        <v>736</v>
      </c>
      <c r="D32" s="35"/>
      <c r="E32" s="33"/>
      <c r="F32" s="35"/>
      <c r="G32" s="35"/>
      <c r="H32" s="35"/>
      <c r="I32" s="35"/>
      <c r="J32" s="35"/>
      <c r="K32" s="668"/>
    </row>
    <row r="33" spans="2:11" ht="18">
      <c r="B33" s="46"/>
      <c r="C33" s="38"/>
      <c r="D33" s="35"/>
      <c r="E33" s="33"/>
      <c r="F33" s="35"/>
      <c r="G33" s="35"/>
      <c r="H33" s="35"/>
      <c r="I33" s="35"/>
      <c r="J33" s="35"/>
      <c r="K33" s="668"/>
    </row>
    <row r="34" spans="2:11" ht="18">
      <c r="B34" s="46" t="s">
        <v>2452</v>
      </c>
      <c r="C34" s="344" t="s">
        <v>605</v>
      </c>
      <c r="D34" s="46" t="s">
        <v>1739</v>
      </c>
      <c r="E34" s="387"/>
      <c r="F34" s="387"/>
      <c r="G34" s="387"/>
      <c r="H34" s="387"/>
      <c r="I34" s="387"/>
      <c r="J34" s="670">
        <f>SUM(E34:I34)</f>
        <v>0</v>
      </c>
      <c r="K34" s="668"/>
    </row>
    <row r="35" spans="2:11" ht="18">
      <c r="B35" s="38"/>
      <c r="C35" s="38"/>
      <c r="D35" s="358" t="s">
        <v>165</v>
      </c>
      <c r="E35" s="390"/>
      <c r="F35" s="33"/>
      <c r="G35" s="35"/>
      <c r="H35" s="35"/>
      <c r="I35" s="35"/>
      <c r="J35" s="35"/>
      <c r="K35" s="668"/>
    </row>
    <row r="36" spans="2:11" ht="18">
      <c r="B36" s="46">
        <v>19</v>
      </c>
      <c r="C36" s="344" t="s">
        <v>606</v>
      </c>
      <c r="D36" s="46" t="s">
        <v>585</v>
      </c>
      <c r="E36" s="387"/>
      <c r="F36" s="387"/>
      <c r="G36" s="387"/>
      <c r="H36" s="387"/>
      <c r="I36" s="387"/>
      <c r="J36" s="670">
        <f>SUM(E36:I36)</f>
        <v>0</v>
      </c>
      <c r="K36" s="668"/>
    </row>
    <row r="37" spans="2:11" ht="18">
      <c r="B37" s="46"/>
      <c r="C37" s="344"/>
      <c r="D37" s="35"/>
      <c r="E37" s="37"/>
      <c r="F37" s="35"/>
      <c r="G37" s="35"/>
      <c r="H37" s="37"/>
      <c r="I37" s="35"/>
      <c r="J37" s="35"/>
      <c r="K37" s="668"/>
    </row>
    <row r="38" spans="2:11" ht="18">
      <c r="B38" s="46">
        <v>20</v>
      </c>
      <c r="C38" s="344" t="s">
        <v>395</v>
      </c>
      <c r="D38" s="56" t="s">
        <v>1509</v>
      </c>
      <c r="E38" s="387"/>
      <c r="F38" s="387"/>
      <c r="G38" s="387"/>
      <c r="H38" s="387"/>
      <c r="I38" s="387"/>
      <c r="J38" s="670">
        <f>SUM(E38:I38)</f>
        <v>0</v>
      </c>
      <c r="K38" s="668"/>
    </row>
    <row r="39" spans="2:11" ht="18">
      <c r="B39" s="46"/>
      <c r="C39" s="339" t="s">
        <v>396</v>
      </c>
      <c r="D39" s="33"/>
      <c r="E39" s="33"/>
      <c r="F39" s="33"/>
      <c r="G39" s="33"/>
      <c r="H39" s="33"/>
      <c r="I39" s="33"/>
      <c r="J39" s="33"/>
      <c r="K39" s="668"/>
    </row>
    <row r="40" spans="2:11" ht="18">
      <c r="B40" s="46">
        <v>40</v>
      </c>
      <c r="C40" s="344" t="s">
        <v>397</v>
      </c>
      <c r="D40" s="46" t="s">
        <v>1739</v>
      </c>
      <c r="E40" s="387"/>
      <c r="F40" s="387"/>
      <c r="G40" s="387"/>
      <c r="H40" s="387"/>
      <c r="I40" s="387"/>
      <c r="J40" s="670">
        <f>SUM(E40:I40)</f>
        <v>0</v>
      </c>
      <c r="K40" s="668"/>
    </row>
    <row r="41" spans="2:11" ht="18">
      <c r="B41" s="46"/>
      <c r="C41" s="38"/>
      <c r="D41" s="358" t="s">
        <v>165</v>
      </c>
      <c r="E41" s="33"/>
      <c r="F41" s="35"/>
      <c r="G41" s="35"/>
      <c r="H41" s="35"/>
      <c r="I41" s="35"/>
      <c r="J41" s="35"/>
      <c r="K41" s="668"/>
    </row>
    <row r="42" spans="2:11" ht="18">
      <c r="B42" s="46">
        <v>41</v>
      </c>
      <c r="C42" s="344" t="s">
        <v>398</v>
      </c>
      <c r="D42" s="46" t="s">
        <v>1739</v>
      </c>
      <c r="E42" s="387"/>
      <c r="F42" s="387"/>
      <c r="G42" s="387"/>
      <c r="H42" s="387"/>
      <c r="I42" s="387"/>
      <c r="J42" s="670">
        <f>SUM(E42:I42)</f>
        <v>0</v>
      </c>
      <c r="K42" s="668"/>
    </row>
    <row r="43" spans="2:11" ht="18">
      <c r="B43" s="38"/>
      <c r="C43" s="38"/>
      <c r="D43" s="358" t="s">
        <v>165</v>
      </c>
      <c r="E43" s="37"/>
      <c r="F43" s="35"/>
      <c r="G43" s="35"/>
      <c r="H43" s="35"/>
      <c r="I43" s="35"/>
      <c r="J43" s="35"/>
      <c r="K43" s="668"/>
    </row>
    <row r="44" spans="2:11" ht="18.75" thickBot="1">
      <c r="B44" s="311"/>
      <c r="C44" s="312"/>
      <c r="D44" s="311"/>
      <c r="E44" s="313"/>
      <c r="F44" s="314"/>
      <c r="G44" s="314"/>
      <c r="H44" s="671"/>
      <c r="I44" s="314"/>
      <c r="J44" s="672"/>
      <c r="K44" s="673"/>
    </row>
    <row r="45" spans="2:11" ht="18">
      <c r="B45" s="46"/>
      <c r="C45" s="33" t="str">
        <f>"T5-"&amp;yeartext&amp;" GENERAL DATA SUMMARY"</f>
        <v>T5-2007 GENERAL DATA SUMMARY</v>
      </c>
      <c r="D45" s="33"/>
      <c r="E45" s="339" t="s">
        <v>1265</v>
      </c>
      <c r="F45" s="35"/>
      <c r="G45" s="35"/>
      <c r="H45" s="36"/>
      <c r="I45" s="35"/>
      <c r="J45" s="36" t="str">
        <f>yeartext</f>
        <v>2007</v>
      </c>
      <c r="K45" s="668"/>
    </row>
    <row r="46" spans="2:11" ht="18">
      <c r="B46" s="46"/>
      <c r="C46" s="49"/>
      <c r="D46" s="46"/>
      <c r="E46" s="51"/>
      <c r="F46" s="48"/>
      <c r="G46" s="48"/>
      <c r="H46" s="674"/>
      <c r="I46" s="48"/>
      <c r="J46" s="675"/>
      <c r="K46" s="668"/>
    </row>
    <row r="47" spans="2:11" ht="18">
      <c r="B47" s="46"/>
      <c r="C47" s="41" t="s">
        <v>1903</v>
      </c>
      <c r="D47" s="41" t="s">
        <v>1529</v>
      </c>
      <c r="E47" s="41" t="s">
        <v>1904</v>
      </c>
      <c r="F47" s="346"/>
      <c r="G47" s="346"/>
      <c r="H47" s="346"/>
      <c r="I47" s="346"/>
      <c r="J47" s="346"/>
      <c r="K47" s="668"/>
    </row>
    <row r="48" spans="2:11" ht="18">
      <c r="B48" s="46"/>
      <c r="C48" s="315" t="s">
        <v>1902</v>
      </c>
      <c r="D48" s="316" t="s">
        <v>1905</v>
      </c>
      <c r="E48" s="351">
        <f>J31</f>
        <v>0</v>
      </c>
      <c r="F48" s="347"/>
      <c r="G48" s="347"/>
      <c r="H48" s="347"/>
      <c r="I48" s="347"/>
      <c r="J48" s="347"/>
      <c r="K48" s="668"/>
    </row>
    <row r="49" spans="2:11" ht="18">
      <c r="B49" s="46"/>
      <c r="C49" s="309" t="s">
        <v>1902</v>
      </c>
      <c r="D49" s="310" t="s">
        <v>621</v>
      </c>
      <c r="E49" s="351"/>
      <c r="F49" s="347" t="s">
        <v>1674</v>
      </c>
      <c r="G49" s="357" t="s">
        <v>70</v>
      </c>
      <c r="H49" s="347"/>
      <c r="I49" s="347"/>
      <c r="J49" s="347"/>
      <c r="K49" s="668"/>
    </row>
    <row r="50" spans="2:11" ht="18">
      <c r="B50" s="46"/>
      <c r="C50" s="309" t="s">
        <v>1902</v>
      </c>
      <c r="D50" s="310" t="s">
        <v>420</v>
      </c>
      <c r="E50" s="351">
        <f>J19</f>
        <v>0</v>
      </c>
      <c r="F50" s="347"/>
      <c r="G50" s="357" t="s">
        <v>71</v>
      </c>
      <c r="H50" s="347"/>
      <c r="I50" s="347"/>
      <c r="J50" s="347"/>
      <c r="K50" s="668"/>
    </row>
    <row r="51" spans="2:11" ht="18">
      <c r="B51" s="46"/>
      <c r="C51" s="309" t="s">
        <v>1902</v>
      </c>
      <c r="D51" s="310" t="s">
        <v>421</v>
      </c>
      <c r="E51" s="351">
        <f>J23+J25+J27</f>
        <v>0</v>
      </c>
      <c r="F51" s="347" t="s">
        <v>1673</v>
      </c>
      <c r="G51" s="357"/>
      <c r="H51" s="347"/>
      <c r="I51" s="347"/>
      <c r="J51" s="347"/>
      <c r="K51" s="668"/>
    </row>
    <row r="52" spans="2:11" ht="18">
      <c r="B52" s="46"/>
      <c r="C52" s="309" t="s">
        <v>1906</v>
      </c>
      <c r="D52" s="310" t="s">
        <v>1509</v>
      </c>
      <c r="E52" s="351">
        <f>0.25*J38</f>
        <v>0</v>
      </c>
      <c r="F52" s="347"/>
      <c r="G52" s="347" t="s">
        <v>2584</v>
      </c>
      <c r="H52" s="347"/>
      <c r="I52" s="347"/>
      <c r="J52" s="347"/>
      <c r="K52" s="668"/>
    </row>
    <row r="53" spans="2:11" ht="18">
      <c r="B53" s="46"/>
      <c r="C53" s="309" t="s">
        <v>416</v>
      </c>
      <c r="D53" s="310" t="s">
        <v>166</v>
      </c>
      <c r="E53" s="351">
        <f>J21</f>
        <v>0</v>
      </c>
      <c r="F53" s="357"/>
      <c r="G53" s="347" t="s">
        <v>2585</v>
      </c>
      <c r="H53" s="357"/>
      <c r="I53" s="357"/>
      <c r="J53" s="347"/>
      <c r="K53" s="668"/>
    </row>
    <row r="54" spans="2:11" ht="18">
      <c r="B54" s="46"/>
      <c r="C54" s="309" t="s">
        <v>416</v>
      </c>
      <c r="D54" s="310" t="s">
        <v>167</v>
      </c>
      <c r="E54" s="351"/>
      <c r="F54" s="357" t="s">
        <v>1675</v>
      </c>
      <c r="G54" s="347"/>
      <c r="H54" s="357"/>
      <c r="I54" s="357"/>
      <c r="J54" s="347"/>
      <c r="K54" s="668"/>
    </row>
    <row r="55" spans="2:11" ht="18">
      <c r="B55" s="46"/>
      <c r="C55" s="309" t="s">
        <v>416</v>
      </c>
      <c r="D55" s="310" t="s">
        <v>168</v>
      </c>
      <c r="E55" s="351"/>
      <c r="F55" s="357" t="s">
        <v>1675</v>
      </c>
      <c r="G55" s="347" t="s">
        <v>94</v>
      </c>
      <c r="H55" s="357"/>
      <c r="I55" s="357"/>
      <c r="J55" s="347"/>
      <c r="K55" s="668"/>
    </row>
    <row r="56" spans="2:11" ht="18">
      <c r="B56" s="46"/>
      <c r="C56" s="309" t="s">
        <v>165</v>
      </c>
      <c r="D56" s="310" t="s">
        <v>1739</v>
      </c>
      <c r="E56" s="351">
        <f>J34+J40+J42</f>
        <v>0</v>
      </c>
      <c r="F56" s="347"/>
      <c r="G56" s="347" t="s">
        <v>69</v>
      </c>
      <c r="H56" s="347"/>
      <c r="I56" s="347"/>
      <c r="J56" s="347"/>
      <c r="K56" s="668"/>
    </row>
    <row r="57" spans="2:11" ht="18">
      <c r="B57" s="46"/>
      <c r="C57" s="309" t="s">
        <v>893</v>
      </c>
      <c r="D57" s="310"/>
      <c r="E57" s="351"/>
      <c r="F57" s="48" t="s">
        <v>1676</v>
      </c>
      <c r="G57" s="48"/>
      <c r="H57" s="674"/>
      <c r="I57" s="48"/>
      <c r="J57" s="675"/>
      <c r="K57" s="668"/>
    </row>
    <row r="58" spans="2:11" ht="18">
      <c r="B58" s="46"/>
      <c r="C58" s="49"/>
      <c r="D58" s="46"/>
      <c r="E58" s="51"/>
      <c r="F58" s="48"/>
      <c r="G58" s="48"/>
      <c r="H58" s="674"/>
      <c r="I58" s="48"/>
      <c r="J58" s="675"/>
      <c r="K58" s="668"/>
    </row>
    <row r="59" spans="2:4" ht="15">
      <c r="B59" s="676"/>
      <c r="D59" s="55"/>
    </row>
    <row r="60" spans="2:4" ht="15">
      <c r="B60" s="676"/>
      <c r="D60" s="55"/>
    </row>
    <row r="61" spans="2:4" ht="15">
      <c r="B61" s="676"/>
      <c r="D61" s="55"/>
    </row>
    <row r="62" spans="2:4" ht="15">
      <c r="B62" s="676"/>
      <c r="D62" s="55"/>
    </row>
    <row r="63" spans="2:4" ht="15">
      <c r="B63" s="676"/>
      <c r="D63" s="55"/>
    </row>
    <row r="64" spans="2:4" ht="15">
      <c r="B64" s="676"/>
      <c r="D64" s="55"/>
    </row>
    <row r="65" spans="2:4" ht="15">
      <c r="B65" s="676"/>
      <c r="D65" s="55"/>
    </row>
    <row r="66" spans="2:4" ht="15">
      <c r="B66" s="676"/>
      <c r="D66" s="55"/>
    </row>
    <row r="67" spans="2:4" ht="15">
      <c r="B67" s="676"/>
      <c r="D67" s="55"/>
    </row>
    <row r="68" spans="2:4" ht="15">
      <c r="B68" s="676"/>
      <c r="D68" s="55"/>
    </row>
    <row r="69" spans="2:4" ht="15">
      <c r="B69" s="676"/>
      <c r="D69" s="55"/>
    </row>
    <row r="70" spans="2:4" ht="15">
      <c r="B70" s="676"/>
      <c r="D70" s="55"/>
    </row>
  </sheetData>
  <sheetProtection password="EC35" sheet="1" objects="1" scenarios="1"/>
  <printOptions horizontalCentered="1"/>
  <pageMargins left="0" right="0" top="0" bottom="0" header="0.5" footer="0.5"/>
  <pageSetup fitToHeight="0" fitToWidth="1" horizontalDpi="600" verticalDpi="600" orientation="portrait" scale="54" r:id="rId1"/>
</worksheet>
</file>

<file path=xl/worksheets/sheet39.xml><?xml version="1.0" encoding="utf-8"?>
<worksheet xmlns="http://schemas.openxmlformats.org/spreadsheetml/2006/main" xmlns:r="http://schemas.openxmlformats.org/officeDocument/2006/relationships">
  <sheetPr codeName="Sheet25">
    <pageSetUpPr fitToPage="1"/>
  </sheetPr>
  <dimension ref="A1:L133"/>
  <sheetViews>
    <sheetView zoomScale="75" zoomScaleNormal="75" workbookViewId="0" topLeftCell="A1">
      <selection activeCell="A3" sqref="A3"/>
    </sheetView>
  </sheetViews>
  <sheetFormatPr defaultColWidth="8.88671875" defaultRowHeight="15"/>
  <cols>
    <col min="1" max="1" width="20.77734375" style="0" customWidth="1"/>
    <col min="2" max="2" width="5.88671875" style="0" customWidth="1"/>
    <col min="4" max="4" width="4.77734375" style="0" customWidth="1"/>
    <col min="5" max="5" width="17.77734375" style="0" customWidth="1"/>
    <col min="6" max="6" width="25.88671875" style="0" customWidth="1"/>
    <col min="7" max="7" width="17.77734375" style="0" customWidth="1"/>
    <col min="8" max="8" width="4.77734375" style="0" customWidth="1"/>
    <col min="9" max="9" width="17.77734375" style="0" customWidth="1"/>
    <col min="10" max="10" width="4.77734375" style="0" customWidth="1"/>
    <col min="11" max="11" width="3.21484375" style="0" customWidth="1"/>
  </cols>
  <sheetData>
    <row r="1" spans="1:12" ht="15">
      <c r="A1" s="112"/>
      <c r="B1" s="112"/>
      <c r="C1" s="112"/>
      <c r="D1" s="112"/>
      <c r="E1" s="112"/>
      <c r="F1" s="112"/>
      <c r="G1" s="112"/>
      <c r="H1" s="112"/>
      <c r="I1" s="112"/>
      <c r="J1" s="112"/>
      <c r="K1" s="112"/>
      <c r="L1" s="1508" t="s">
        <v>998</v>
      </c>
    </row>
    <row r="2" spans="1:12" ht="23.25">
      <c r="A2" s="112"/>
      <c r="B2" s="112"/>
      <c r="C2" s="112"/>
      <c r="D2" s="112"/>
      <c r="E2" s="112"/>
      <c r="F2" s="1424"/>
      <c r="G2" s="1425" t="s">
        <v>2269</v>
      </c>
      <c r="H2" s="112"/>
      <c r="I2" s="112"/>
      <c r="J2" s="112"/>
      <c r="K2" s="112"/>
      <c r="L2" s="1508"/>
    </row>
    <row r="3" spans="1:12" ht="15">
      <c r="A3" s="112"/>
      <c r="B3" s="112"/>
      <c r="C3" s="112"/>
      <c r="D3" s="112"/>
      <c r="E3" s="112"/>
      <c r="F3" s="112"/>
      <c r="G3" s="112"/>
      <c r="H3" s="112"/>
      <c r="I3" s="112"/>
      <c r="J3" s="112"/>
      <c r="K3" s="112"/>
      <c r="L3" s="1508"/>
    </row>
    <row r="4" spans="1:12" ht="15">
      <c r="A4" s="112" t="s">
        <v>2248</v>
      </c>
      <c r="B4" s="112"/>
      <c r="C4" s="112"/>
      <c r="D4" s="112"/>
      <c r="E4" s="112"/>
      <c r="F4" s="112"/>
      <c r="G4" s="112"/>
      <c r="H4" s="112"/>
      <c r="I4" s="112"/>
      <c r="J4" s="112"/>
      <c r="K4" s="112"/>
      <c r="L4" s="1508"/>
    </row>
    <row r="5" spans="1:12" ht="15">
      <c r="A5" s="112" t="s">
        <v>2249</v>
      </c>
      <c r="B5" s="112"/>
      <c r="C5" s="112"/>
      <c r="D5" s="112"/>
      <c r="E5" s="112"/>
      <c r="F5" s="112"/>
      <c r="G5" s="112"/>
      <c r="H5" s="112"/>
      <c r="I5" s="112"/>
      <c r="J5" s="112"/>
      <c r="K5" s="112"/>
      <c r="L5" s="1508"/>
    </row>
    <row r="6" spans="1:12" ht="15">
      <c r="A6" s="112" t="s">
        <v>2250</v>
      </c>
      <c r="B6" s="112"/>
      <c r="C6" s="112"/>
      <c r="D6" s="112"/>
      <c r="E6" s="112"/>
      <c r="F6" s="112"/>
      <c r="G6" s="112"/>
      <c r="H6" s="112"/>
      <c r="I6" s="112"/>
      <c r="J6" s="112"/>
      <c r="K6" s="112"/>
      <c r="L6" s="1508"/>
    </row>
    <row r="7" spans="1:12" ht="15">
      <c r="A7" s="112" t="s">
        <v>2251</v>
      </c>
      <c r="B7" s="112"/>
      <c r="C7" s="112"/>
      <c r="D7" s="112"/>
      <c r="E7" s="112"/>
      <c r="F7" s="112"/>
      <c r="G7" s="112"/>
      <c r="H7" s="112"/>
      <c r="I7" s="112"/>
      <c r="J7" s="112"/>
      <c r="K7" s="112"/>
      <c r="L7" s="1508"/>
    </row>
    <row r="8" spans="1:12" ht="15">
      <c r="A8" s="112" t="s">
        <v>2268</v>
      </c>
      <c r="B8" s="112"/>
      <c r="C8" s="112"/>
      <c r="D8" s="112"/>
      <c r="E8" s="112"/>
      <c r="F8" s="112"/>
      <c r="G8" s="112"/>
      <c r="H8" s="112"/>
      <c r="I8" s="112"/>
      <c r="J8" s="112"/>
      <c r="K8" s="112"/>
      <c r="L8" s="1508"/>
    </row>
    <row r="9" spans="1:12" ht="15">
      <c r="A9" s="112"/>
      <c r="B9" s="112"/>
      <c r="C9" s="112"/>
      <c r="D9" s="112"/>
      <c r="E9" s="112"/>
      <c r="F9" s="112"/>
      <c r="G9" s="112"/>
      <c r="H9" s="112"/>
      <c r="I9" s="112"/>
      <c r="J9" s="112"/>
      <c r="K9" s="112"/>
      <c r="L9" s="1508"/>
    </row>
    <row r="10" spans="1:12" ht="21.75" customHeight="1">
      <c r="A10" s="1422" t="s">
        <v>2252</v>
      </c>
      <c r="B10" s="1421"/>
      <c r="C10" s="1421"/>
      <c r="D10" s="1421"/>
      <c r="E10" s="1421"/>
      <c r="F10" s="1707"/>
      <c r="G10" s="1708"/>
      <c r="H10" s="1708"/>
      <c r="I10" s="1709"/>
      <c r="J10" s="112"/>
      <c r="K10" s="112"/>
      <c r="L10" s="1508"/>
    </row>
    <row r="11" spans="1:12" ht="21" customHeight="1">
      <c r="A11" s="1271" t="s">
        <v>2325</v>
      </c>
      <c r="B11" s="112"/>
      <c r="C11" s="112"/>
      <c r="D11" s="112"/>
      <c r="E11" s="112"/>
      <c r="F11" s="112"/>
      <c r="G11" s="112"/>
      <c r="H11" s="112"/>
      <c r="I11" s="112"/>
      <c r="J11" s="112"/>
      <c r="K11" s="112"/>
      <c r="L11" s="1508"/>
    </row>
    <row r="12" spans="1:12" ht="18">
      <c r="A12" s="112" t="s">
        <v>2253</v>
      </c>
      <c r="B12" s="112"/>
      <c r="C12" s="112"/>
      <c r="D12" s="112"/>
      <c r="E12" s="1423"/>
      <c r="F12" s="1423"/>
      <c r="G12" s="1423"/>
      <c r="H12" s="1275" t="s">
        <v>167</v>
      </c>
      <c r="I12" s="1428">
        <f>MISC!L59</f>
        <v>0</v>
      </c>
      <c r="J12" s="1419" t="s">
        <v>2267</v>
      </c>
      <c r="K12" s="112"/>
      <c r="L12" s="1508"/>
    </row>
    <row r="13" spans="1:12" ht="15">
      <c r="A13" s="112"/>
      <c r="B13" s="112"/>
      <c r="C13" s="112"/>
      <c r="D13" s="112"/>
      <c r="E13" s="112"/>
      <c r="F13" s="112"/>
      <c r="G13" s="112"/>
      <c r="H13" s="112"/>
      <c r="I13" s="112"/>
      <c r="J13" s="112"/>
      <c r="K13" s="112"/>
      <c r="L13" s="1508"/>
    </row>
    <row r="14" spans="1:12" ht="18">
      <c r="A14" s="112" t="s">
        <v>2254</v>
      </c>
      <c r="B14" s="112"/>
      <c r="C14" s="1423"/>
      <c r="D14" s="1275" t="s">
        <v>168</v>
      </c>
      <c r="E14" s="1428">
        <f>MISC!L60</f>
        <v>0</v>
      </c>
      <c r="F14" s="935" t="s">
        <v>2266</v>
      </c>
      <c r="G14" s="1428">
        <f>basicfedtax+line425+line426</f>
        <v>0</v>
      </c>
      <c r="H14" s="1284" t="s">
        <v>1416</v>
      </c>
      <c r="I14" s="1282">
        <f>G14*E14/(E15+0.0001)</f>
        <v>0</v>
      </c>
      <c r="J14" s="1420" t="s">
        <v>698</v>
      </c>
      <c r="K14" s="112"/>
      <c r="L14" s="1508"/>
    </row>
    <row r="15" spans="1:12" ht="18">
      <c r="A15" s="112" t="s">
        <v>2255</v>
      </c>
      <c r="B15" s="1423"/>
      <c r="C15" s="1423"/>
      <c r="D15" s="112"/>
      <c r="E15" s="1430">
        <f>MAX(0,netincome-line244-line248-line249-line250-line253-line254-line256)</f>
        <v>0</v>
      </c>
      <c r="F15" s="112"/>
      <c r="G15" s="112"/>
      <c r="H15" s="112"/>
      <c r="I15" s="112"/>
      <c r="J15" s="112"/>
      <c r="K15" s="112"/>
      <c r="L15" s="1508"/>
    </row>
    <row r="16" spans="1:12" ht="15">
      <c r="A16" s="112"/>
      <c r="B16" s="112"/>
      <c r="C16" s="112"/>
      <c r="D16" s="112"/>
      <c r="E16" s="112"/>
      <c r="F16" s="112"/>
      <c r="G16" s="112"/>
      <c r="H16" s="112"/>
      <c r="I16" s="112"/>
      <c r="J16" s="112"/>
      <c r="K16" s="112"/>
      <c r="L16" s="1508"/>
    </row>
    <row r="17" spans="1:12" ht="15.75">
      <c r="A17" s="112" t="s">
        <v>1499</v>
      </c>
      <c r="B17" s="112"/>
      <c r="C17" s="112"/>
      <c r="D17" s="112"/>
      <c r="E17" s="1423"/>
      <c r="F17" s="1423"/>
      <c r="G17" s="1384" t="s">
        <v>2270</v>
      </c>
      <c r="H17" s="112"/>
      <c r="I17" s="1282">
        <f>MIN(I12,I14)</f>
        <v>0</v>
      </c>
      <c r="J17" s="1420" t="s">
        <v>699</v>
      </c>
      <c r="K17" s="112"/>
      <c r="L17" s="1508"/>
    </row>
    <row r="18" spans="1:12" ht="15">
      <c r="A18" s="112"/>
      <c r="B18" s="112"/>
      <c r="C18" s="112"/>
      <c r="D18" s="112"/>
      <c r="E18" s="112"/>
      <c r="F18" s="112"/>
      <c r="G18" s="112"/>
      <c r="H18" s="112"/>
      <c r="I18" s="1360" t="s">
        <v>2271</v>
      </c>
      <c r="J18" s="112"/>
      <c r="K18" s="112"/>
      <c r="L18" s="1508"/>
    </row>
    <row r="19" spans="1:12" ht="32.25" customHeight="1">
      <c r="A19" s="1271" t="s">
        <v>2256</v>
      </c>
      <c r="B19" s="112"/>
      <c r="C19" s="112"/>
      <c r="D19" s="112"/>
      <c r="E19" s="112"/>
      <c r="F19" s="112"/>
      <c r="G19" s="112"/>
      <c r="H19" s="112"/>
      <c r="I19" s="112"/>
      <c r="J19" s="112"/>
      <c r="K19" s="112"/>
      <c r="L19" s="1508"/>
    </row>
    <row r="20" spans="1:12" ht="18">
      <c r="A20" s="112" t="s">
        <v>2257</v>
      </c>
      <c r="B20" s="112"/>
      <c r="C20" s="112"/>
      <c r="D20" s="112"/>
      <c r="E20" s="112"/>
      <c r="F20" s="112"/>
      <c r="G20" s="112"/>
      <c r="H20" s="112"/>
      <c r="I20" s="112"/>
      <c r="J20" s="112"/>
      <c r="K20" s="112"/>
      <c r="L20" s="1508"/>
    </row>
    <row r="21" spans="1:12" ht="18">
      <c r="A21" s="112" t="s">
        <v>2258</v>
      </c>
      <c r="B21" s="112"/>
      <c r="C21" s="112"/>
      <c r="D21" s="112"/>
      <c r="E21" s="112"/>
      <c r="F21" s="1423"/>
      <c r="G21" s="1423"/>
      <c r="H21" s="112"/>
      <c r="I21" s="1428">
        <v>0</v>
      </c>
      <c r="J21" s="1420" t="s">
        <v>700</v>
      </c>
      <c r="K21" s="112"/>
      <c r="L21" s="1508"/>
    </row>
    <row r="22" spans="1:12" ht="15">
      <c r="A22" s="112"/>
      <c r="B22" s="112"/>
      <c r="C22" s="112"/>
      <c r="D22" s="112"/>
      <c r="E22" s="112"/>
      <c r="F22" s="112"/>
      <c r="G22" s="112"/>
      <c r="H22" s="112"/>
      <c r="I22" s="112"/>
      <c r="J22" s="112"/>
      <c r="K22" s="112"/>
      <c r="L22" s="1508"/>
    </row>
    <row r="23" spans="1:12" ht="18">
      <c r="A23" s="112" t="s">
        <v>2259</v>
      </c>
      <c r="B23" s="112"/>
      <c r="C23" s="1423"/>
      <c r="D23" s="112"/>
      <c r="E23" s="1428"/>
      <c r="F23" s="935" t="s">
        <v>2272</v>
      </c>
      <c r="G23" s="1282">
        <f>basicfedtax+line425+line426</f>
        <v>0</v>
      </c>
      <c r="H23" s="1284" t="s">
        <v>1416</v>
      </c>
      <c r="I23" s="1282">
        <f>G23*E23/(E24+0.0001)</f>
        <v>0</v>
      </c>
      <c r="J23" s="1420" t="s">
        <v>701</v>
      </c>
      <c r="K23" s="112"/>
      <c r="L23" s="1508"/>
    </row>
    <row r="24" spans="1:12" ht="18">
      <c r="A24" s="112" t="s">
        <v>2260</v>
      </c>
      <c r="B24" s="1423"/>
      <c r="C24" s="1423"/>
      <c r="D24" s="112"/>
      <c r="E24" s="1430">
        <f>MAX(0,netincome-line244-line248-line249-line250-line253-line254-line256)</f>
        <v>0</v>
      </c>
      <c r="F24" s="112"/>
      <c r="G24" s="112"/>
      <c r="H24" s="112"/>
      <c r="I24" s="112"/>
      <c r="J24" s="112"/>
      <c r="K24" s="112"/>
      <c r="L24" s="1508"/>
    </row>
    <row r="25" spans="1:12" ht="15">
      <c r="A25" s="112"/>
      <c r="B25" s="112"/>
      <c r="C25" s="112"/>
      <c r="D25" s="112"/>
      <c r="E25" s="112"/>
      <c r="F25" s="112"/>
      <c r="G25" s="112"/>
      <c r="H25" s="112"/>
      <c r="I25" s="112"/>
      <c r="J25" s="112"/>
      <c r="K25" s="112"/>
      <c r="L25" s="1508"/>
    </row>
    <row r="26" spans="1:12" ht="15">
      <c r="A26" s="112" t="s">
        <v>2273</v>
      </c>
      <c r="B26" s="112"/>
      <c r="C26" s="112"/>
      <c r="D26" s="112"/>
      <c r="E26" s="112"/>
      <c r="F26" s="112"/>
      <c r="G26" s="112"/>
      <c r="H26" s="112"/>
      <c r="I26" s="112"/>
      <c r="J26" s="112"/>
      <c r="K26" s="112"/>
      <c r="L26" s="1508"/>
    </row>
    <row r="27" spans="1:12" ht="15">
      <c r="A27" s="112" t="str">
        <f>"Taxes for "&amp;yeartext&amp;"– Multiple Jurisdictions, or 48% of the amount from line 429 of Schedule 1. Enter the amount that applies to"</f>
        <v>Taxes for 2007– Multiple Jurisdictions, or 48% of the amount from line 429 of Schedule 1. Enter the amount that applies to</v>
      </c>
      <c r="B27" s="112"/>
      <c r="C27" s="112"/>
      <c r="D27" s="112"/>
      <c r="E27" s="112"/>
      <c r="F27" s="112"/>
      <c r="G27" s="112"/>
      <c r="H27" s="112"/>
      <c r="I27" s="112"/>
      <c r="J27" s="112"/>
      <c r="K27" s="112"/>
      <c r="L27" s="1508"/>
    </row>
    <row r="28" spans="1:12" ht="16.5" thickBot="1">
      <c r="A28" s="112" t="s">
        <v>2261</v>
      </c>
      <c r="B28" s="112"/>
      <c r="C28" s="112"/>
      <c r="D28" s="112"/>
      <c r="E28" s="112"/>
      <c r="F28" s="112"/>
      <c r="G28" s="112"/>
      <c r="H28" s="112"/>
      <c r="I28" s="1431">
        <f>0.48*Sch1!K71</f>
        <v>0</v>
      </c>
      <c r="J28" s="1420" t="s">
        <v>702</v>
      </c>
      <c r="K28" s="112"/>
      <c r="L28" s="1508"/>
    </row>
    <row r="29" spans="1:12" ht="6.75" customHeight="1">
      <c r="A29" s="112"/>
      <c r="B29" s="112"/>
      <c r="C29" s="112"/>
      <c r="D29" s="112"/>
      <c r="E29" s="112"/>
      <c r="F29" s="112"/>
      <c r="G29" s="112"/>
      <c r="H29" s="112"/>
      <c r="I29" s="112"/>
      <c r="J29" s="112"/>
      <c r="K29" s="112"/>
      <c r="L29" s="1508"/>
    </row>
    <row r="30" spans="1:12" ht="15.75">
      <c r="A30" s="112" t="s">
        <v>2511</v>
      </c>
      <c r="B30" s="1423"/>
      <c r="C30" s="1423"/>
      <c r="D30" s="1423"/>
      <c r="E30" s="1423"/>
      <c r="F30" s="1423"/>
      <c r="G30" s="1423"/>
      <c r="H30" s="112"/>
      <c r="I30" s="1282">
        <f>I23+I28</f>
        <v>0</v>
      </c>
      <c r="J30" s="1420" t="s">
        <v>64</v>
      </c>
      <c r="K30" s="112"/>
      <c r="L30" s="1508"/>
    </row>
    <row r="31" spans="1:12" ht="18">
      <c r="A31" s="112" t="s">
        <v>2262</v>
      </c>
      <c r="B31" s="112"/>
      <c r="C31" s="112"/>
      <c r="D31" s="112"/>
      <c r="E31" s="1423"/>
      <c r="F31" s="1423"/>
      <c r="G31" s="1282">
        <f>I28+G23</f>
        <v>0</v>
      </c>
      <c r="H31" s="112"/>
      <c r="I31" s="112"/>
      <c r="J31" s="112"/>
      <c r="K31" s="112"/>
      <c r="L31" s="1508"/>
    </row>
    <row r="32" spans="1:12" ht="18" customHeight="1">
      <c r="A32" s="112" t="s">
        <v>2263</v>
      </c>
      <c r="B32" s="112"/>
      <c r="C32" s="1423"/>
      <c r="D32" s="1423"/>
      <c r="E32" s="1423"/>
      <c r="F32" s="1429" t="s">
        <v>1498</v>
      </c>
      <c r="G32" s="1282">
        <f>I17</f>
        <v>0</v>
      </c>
      <c r="H32" s="1284" t="s">
        <v>1416</v>
      </c>
      <c r="I32" s="1282">
        <f>MAX(0,G31-G32)</f>
        <v>0</v>
      </c>
      <c r="J32" s="1420" t="s">
        <v>703</v>
      </c>
      <c r="K32" s="112"/>
      <c r="L32" s="1508"/>
    </row>
    <row r="33" spans="1:12" ht="15">
      <c r="A33" s="112"/>
      <c r="B33" s="112"/>
      <c r="C33" s="112"/>
      <c r="D33" s="112"/>
      <c r="E33" s="112"/>
      <c r="F33" s="112"/>
      <c r="G33" s="112"/>
      <c r="H33" s="112"/>
      <c r="I33" s="112"/>
      <c r="J33" s="112"/>
      <c r="K33" s="112"/>
      <c r="L33" s="1508"/>
    </row>
    <row r="34" spans="1:12" ht="15.75">
      <c r="A34" s="112" t="s">
        <v>2264</v>
      </c>
      <c r="B34" s="112"/>
      <c r="C34" s="112"/>
      <c r="D34" s="112"/>
      <c r="E34" s="1423"/>
      <c r="F34" s="1423"/>
      <c r="G34" s="1384" t="s">
        <v>2274</v>
      </c>
      <c r="H34" s="112"/>
      <c r="I34" s="1282">
        <f>MIN(I21,I30,I32)</f>
        <v>0</v>
      </c>
      <c r="J34" s="1420" t="s">
        <v>2288</v>
      </c>
      <c r="K34" s="112"/>
      <c r="L34" s="1508"/>
    </row>
    <row r="35" spans="1:12" ht="15">
      <c r="A35" s="112"/>
      <c r="B35" s="112"/>
      <c r="C35" s="112"/>
      <c r="D35" s="112"/>
      <c r="E35" s="112"/>
      <c r="F35" s="112"/>
      <c r="G35" s="112"/>
      <c r="H35" s="112"/>
      <c r="I35" s="112"/>
      <c r="J35" s="112"/>
      <c r="K35" s="112"/>
      <c r="L35" s="1508"/>
    </row>
    <row r="36" spans="1:12" ht="15.75">
      <c r="A36" s="112" t="s">
        <v>2265</v>
      </c>
      <c r="B36" s="1423"/>
      <c r="C36" s="1423"/>
      <c r="D36" s="1423"/>
      <c r="E36" s="1423"/>
      <c r="F36" s="1423"/>
      <c r="G36" s="1384" t="s">
        <v>2275</v>
      </c>
      <c r="H36" s="112"/>
      <c r="I36" s="1283">
        <f>I34+I17</f>
        <v>0</v>
      </c>
      <c r="J36" s="1420" t="s">
        <v>2445</v>
      </c>
      <c r="K36" s="112"/>
      <c r="L36" s="1508"/>
    </row>
    <row r="37" spans="1:12" ht="15">
      <c r="A37" s="112"/>
      <c r="B37" s="112"/>
      <c r="C37" s="112"/>
      <c r="D37" s="112"/>
      <c r="E37" s="112"/>
      <c r="F37" s="112"/>
      <c r="G37" s="112"/>
      <c r="H37" s="112"/>
      <c r="I37" s="1360" t="s">
        <v>2276</v>
      </c>
      <c r="J37" s="112"/>
      <c r="K37" s="112"/>
      <c r="L37" s="1508"/>
    </row>
    <row r="38" spans="1:12" ht="15">
      <c r="A38" s="112"/>
      <c r="B38" s="112"/>
      <c r="C38" s="112"/>
      <c r="D38" s="112"/>
      <c r="E38" s="112"/>
      <c r="F38" s="112"/>
      <c r="G38" s="112"/>
      <c r="H38" s="112"/>
      <c r="I38" s="1360" t="s">
        <v>2277</v>
      </c>
      <c r="J38" s="112"/>
      <c r="K38" s="112"/>
      <c r="L38" s="1508"/>
    </row>
    <row r="39" spans="1:11" ht="15">
      <c r="A39" s="112"/>
      <c r="B39" s="112"/>
      <c r="C39" s="112"/>
      <c r="D39" s="112"/>
      <c r="E39" s="112"/>
      <c r="F39" s="112"/>
      <c r="G39" s="112"/>
      <c r="H39" s="112"/>
      <c r="I39" s="112"/>
      <c r="J39" s="112"/>
      <c r="K39" s="112"/>
    </row>
    <row r="40" spans="1:11" ht="15">
      <c r="A40" s="112" t="s">
        <v>1144</v>
      </c>
      <c r="B40" s="112"/>
      <c r="C40" s="112"/>
      <c r="D40" s="112"/>
      <c r="E40" s="112"/>
      <c r="F40" s="112"/>
      <c r="G40" s="112"/>
      <c r="H40" s="112"/>
      <c r="I40" s="112"/>
      <c r="J40" s="112"/>
      <c r="K40" s="112"/>
    </row>
    <row r="41" spans="1:11" ht="15">
      <c r="A41" s="112" t="s">
        <v>2278</v>
      </c>
      <c r="B41" s="112"/>
      <c r="C41" s="112"/>
      <c r="D41" s="112"/>
      <c r="E41" s="112"/>
      <c r="F41" s="112"/>
      <c r="G41" s="112"/>
      <c r="H41" s="112"/>
      <c r="I41" s="112"/>
      <c r="J41" s="112"/>
      <c r="K41" s="112"/>
    </row>
    <row r="42" spans="1:11" ht="15">
      <c r="A42" s="112" t="s">
        <v>2279</v>
      </c>
      <c r="B42" s="112"/>
      <c r="C42" s="112"/>
      <c r="D42" s="112"/>
      <c r="E42" s="112"/>
      <c r="F42" s="112"/>
      <c r="G42" s="112"/>
      <c r="H42" s="112"/>
      <c r="I42" s="112"/>
      <c r="J42" s="112"/>
      <c r="K42" s="112"/>
    </row>
    <row r="43" spans="1:11" ht="15">
      <c r="A43" s="112" t="s">
        <v>2280</v>
      </c>
      <c r="B43" s="112"/>
      <c r="C43" s="112"/>
      <c r="D43" s="112"/>
      <c r="E43" s="112"/>
      <c r="F43" s="112"/>
      <c r="G43" s="112"/>
      <c r="H43" s="112"/>
      <c r="I43" s="112"/>
      <c r="J43" s="112"/>
      <c r="K43" s="112"/>
    </row>
    <row r="44" spans="1:11" ht="15">
      <c r="A44" s="1418" t="s">
        <v>1023</v>
      </c>
      <c r="B44" s="112"/>
      <c r="C44" s="112"/>
      <c r="D44" s="112"/>
      <c r="E44" s="112"/>
      <c r="F44" s="112"/>
      <c r="G44" s="112"/>
      <c r="H44" s="112"/>
      <c r="I44" s="112"/>
      <c r="J44" s="112"/>
      <c r="K44" s="112"/>
    </row>
    <row r="45" spans="1:11" ht="15">
      <c r="A45" s="112" t="s">
        <v>1024</v>
      </c>
      <c r="B45" s="112"/>
      <c r="C45" s="112"/>
      <c r="D45" s="112"/>
      <c r="E45" s="112"/>
      <c r="F45" s="112"/>
      <c r="G45" s="112"/>
      <c r="H45" s="112"/>
      <c r="I45" s="112"/>
      <c r="J45" s="112"/>
      <c r="K45" s="112"/>
    </row>
    <row r="46" spans="1:11" ht="15">
      <c r="A46" s="112" t="s">
        <v>1025</v>
      </c>
      <c r="B46" s="112"/>
      <c r="C46" s="112"/>
      <c r="D46" s="112"/>
      <c r="E46" s="112"/>
      <c r="F46" s="112"/>
      <c r="G46" s="112"/>
      <c r="H46" s="112"/>
      <c r="I46" s="112"/>
      <c r="J46" s="112"/>
      <c r="K46" s="112"/>
    </row>
    <row r="47" spans="1:11" ht="15">
      <c r="A47" s="112" t="s">
        <v>2281</v>
      </c>
      <c r="B47" s="112"/>
      <c r="C47" s="112"/>
      <c r="D47" s="112"/>
      <c r="E47" s="112"/>
      <c r="F47" s="112"/>
      <c r="G47" s="112"/>
      <c r="H47" s="112"/>
      <c r="I47" s="112"/>
      <c r="J47" s="112"/>
      <c r="K47" s="112"/>
    </row>
    <row r="48" spans="1:11" ht="15">
      <c r="A48" s="112" t="s">
        <v>1026</v>
      </c>
      <c r="B48" s="112"/>
      <c r="C48" s="112"/>
      <c r="D48" s="112"/>
      <c r="E48" s="112"/>
      <c r="F48" s="112"/>
      <c r="G48" s="112"/>
      <c r="H48" s="112"/>
      <c r="I48" s="112"/>
      <c r="J48" s="112"/>
      <c r="K48" s="112"/>
    </row>
    <row r="49" spans="1:11" ht="15">
      <c r="A49" s="112" t="s">
        <v>1027</v>
      </c>
      <c r="B49" s="112"/>
      <c r="C49" s="112"/>
      <c r="D49" s="112"/>
      <c r="E49" s="112"/>
      <c r="F49" s="112"/>
      <c r="G49" s="112"/>
      <c r="H49" s="112"/>
      <c r="I49" s="112"/>
      <c r="J49" s="112"/>
      <c r="K49" s="112"/>
    </row>
    <row r="50" spans="1:11" ht="15">
      <c r="A50" s="112"/>
      <c r="B50" s="112"/>
      <c r="C50" s="112"/>
      <c r="D50" s="112"/>
      <c r="E50" s="112"/>
      <c r="F50" s="112"/>
      <c r="G50" s="112"/>
      <c r="H50" s="112"/>
      <c r="I50" s="112"/>
      <c r="J50" s="112"/>
      <c r="K50" s="112"/>
    </row>
    <row r="51" spans="1:11" ht="15.75">
      <c r="A51" s="1271" t="s">
        <v>1029</v>
      </c>
      <c r="B51" s="112"/>
      <c r="C51" s="112"/>
      <c r="D51" s="112"/>
      <c r="E51" s="112"/>
      <c r="F51" s="112"/>
      <c r="G51" s="112"/>
      <c r="H51" s="112"/>
      <c r="I51" s="112"/>
      <c r="J51" s="112"/>
      <c r="K51" s="112"/>
    </row>
    <row r="52" spans="1:11" ht="15">
      <c r="A52" s="112" t="s">
        <v>1028</v>
      </c>
      <c r="B52" s="112"/>
      <c r="C52" s="112"/>
      <c r="D52" s="112"/>
      <c r="E52" s="112"/>
      <c r="F52" s="112"/>
      <c r="G52" s="112"/>
      <c r="H52" s="112"/>
      <c r="I52" s="112"/>
      <c r="J52" s="112"/>
      <c r="K52" s="112"/>
    </row>
    <row r="53" spans="1:11" ht="15">
      <c r="A53" s="112"/>
      <c r="B53" s="112"/>
      <c r="C53" s="112"/>
      <c r="D53" s="112"/>
      <c r="E53" s="112"/>
      <c r="F53" s="112"/>
      <c r="G53" s="112"/>
      <c r="H53" s="112"/>
      <c r="I53" s="112"/>
      <c r="J53" s="112"/>
      <c r="K53" s="112"/>
    </row>
    <row r="54" spans="1:11" ht="15.75">
      <c r="A54" s="112" t="s">
        <v>1145</v>
      </c>
      <c r="B54" s="112"/>
      <c r="C54" s="112"/>
      <c r="D54" s="112"/>
      <c r="E54" s="112"/>
      <c r="F54" s="112"/>
      <c r="G54" s="112"/>
      <c r="H54" s="112"/>
      <c r="I54" s="112"/>
      <c r="J54" s="112"/>
      <c r="K54" s="112"/>
    </row>
    <row r="55" spans="1:11" ht="15">
      <c r="A55" s="112" t="s">
        <v>1136</v>
      </c>
      <c r="B55" s="112"/>
      <c r="C55" s="112"/>
      <c r="D55" s="112"/>
      <c r="E55" s="112"/>
      <c r="F55" s="112"/>
      <c r="G55" s="112"/>
      <c r="H55" s="112"/>
      <c r="I55" s="112"/>
      <c r="J55" s="112"/>
      <c r="K55" s="112"/>
    </row>
    <row r="56" spans="1:11" ht="15">
      <c r="A56" s="112" t="s">
        <v>1137</v>
      </c>
      <c r="B56" s="112"/>
      <c r="C56" s="112"/>
      <c r="D56" s="112"/>
      <c r="E56" s="112"/>
      <c r="F56" s="112"/>
      <c r="G56" s="112"/>
      <c r="H56" s="112"/>
      <c r="I56" s="112"/>
      <c r="J56" s="112"/>
      <c r="K56" s="112"/>
    </row>
    <row r="57" spans="1:11" ht="15">
      <c r="A57" s="112" t="s">
        <v>1138</v>
      </c>
      <c r="B57" s="112"/>
      <c r="C57" s="112"/>
      <c r="D57" s="112"/>
      <c r="E57" s="112"/>
      <c r="F57" s="112"/>
      <c r="G57" s="112"/>
      <c r="H57" s="112"/>
      <c r="I57" s="112"/>
      <c r="J57" s="112"/>
      <c r="K57" s="112"/>
    </row>
    <row r="58" spans="1:11" ht="15">
      <c r="A58" s="112" t="s">
        <v>1139</v>
      </c>
      <c r="B58" s="112"/>
      <c r="C58" s="112"/>
      <c r="D58" s="112"/>
      <c r="E58" s="112"/>
      <c r="F58" s="112"/>
      <c r="G58" s="112"/>
      <c r="H58" s="112"/>
      <c r="I58" s="112"/>
      <c r="J58" s="112"/>
      <c r="K58" s="112"/>
    </row>
    <row r="59" spans="1:11" ht="15">
      <c r="A59" s="112" t="s">
        <v>1140</v>
      </c>
      <c r="B59" s="112"/>
      <c r="C59" s="112"/>
      <c r="D59" s="112"/>
      <c r="E59" s="112"/>
      <c r="F59" s="112"/>
      <c r="G59" s="112"/>
      <c r="H59" s="112"/>
      <c r="I59" s="112"/>
      <c r="J59" s="112"/>
      <c r="K59" s="112"/>
    </row>
    <row r="60" spans="1:11" ht="15">
      <c r="A60" s="112" t="s">
        <v>1141</v>
      </c>
      <c r="B60" s="112"/>
      <c r="C60" s="112"/>
      <c r="D60" s="112"/>
      <c r="E60" s="112"/>
      <c r="F60" s="112"/>
      <c r="G60" s="112"/>
      <c r="H60" s="112"/>
      <c r="I60" s="112"/>
      <c r="J60" s="112"/>
      <c r="K60" s="112"/>
    </row>
    <row r="61" spans="1:11" ht="15">
      <c r="A61" s="112" t="s">
        <v>1142</v>
      </c>
      <c r="B61" s="112"/>
      <c r="C61" s="112"/>
      <c r="D61" s="112"/>
      <c r="E61" s="112"/>
      <c r="F61" s="112"/>
      <c r="G61" s="112"/>
      <c r="H61" s="112"/>
      <c r="I61" s="112"/>
      <c r="J61" s="112"/>
      <c r="K61" s="112"/>
    </row>
    <row r="62" spans="1:11" ht="15">
      <c r="A62" s="112" t="s">
        <v>1143</v>
      </c>
      <c r="B62" s="112"/>
      <c r="C62" s="112"/>
      <c r="D62" s="112"/>
      <c r="E62" s="112"/>
      <c r="F62" s="112"/>
      <c r="G62" s="112"/>
      <c r="H62" s="112"/>
      <c r="I62" s="112"/>
      <c r="J62" s="112"/>
      <c r="K62" s="112"/>
    </row>
    <row r="63" spans="1:11" ht="21" customHeight="1">
      <c r="A63" s="112" t="s">
        <v>1146</v>
      </c>
      <c r="B63" s="112"/>
      <c r="C63" s="112"/>
      <c r="D63" s="112"/>
      <c r="E63" s="112"/>
      <c r="F63" s="112"/>
      <c r="G63" s="112"/>
      <c r="H63" s="112"/>
      <c r="I63" s="112"/>
      <c r="J63" s="112"/>
      <c r="K63" s="112"/>
    </row>
    <row r="64" spans="1:11" ht="15">
      <c r="A64" s="1426" t="s">
        <v>1147</v>
      </c>
      <c r="B64" s="112"/>
      <c r="C64" s="112"/>
      <c r="D64" s="112"/>
      <c r="E64" s="112"/>
      <c r="F64" s="112"/>
      <c r="G64" s="112"/>
      <c r="H64" s="112"/>
      <c r="I64" s="112"/>
      <c r="J64" s="112"/>
      <c r="K64" s="112"/>
    </row>
    <row r="65" spans="1:11" ht="27" customHeight="1">
      <c r="A65" s="1271" t="s">
        <v>1148</v>
      </c>
      <c r="B65" s="112"/>
      <c r="C65" s="112"/>
      <c r="D65" s="112"/>
      <c r="E65" s="112"/>
      <c r="F65" s="112"/>
      <c r="G65" s="112"/>
      <c r="H65" s="112"/>
      <c r="I65" s="112"/>
      <c r="J65" s="112"/>
      <c r="K65" s="112"/>
    </row>
    <row r="66" spans="1:11" ht="15">
      <c r="A66" s="112"/>
      <c r="B66" s="112"/>
      <c r="C66" s="112"/>
      <c r="D66" s="112"/>
      <c r="E66" s="112"/>
      <c r="F66" s="112"/>
      <c r="G66" s="112"/>
      <c r="H66" s="112"/>
      <c r="I66" s="112"/>
      <c r="J66" s="112"/>
      <c r="K66" s="112"/>
    </row>
    <row r="67" spans="1:11" ht="15">
      <c r="A67" s="112"/>
      <c r="B67" s="112"/>
      <c r="C67" s="112"/>
      <c r="D67" s="112"/>
      <c r="E67" s="112"/>
      <c r="F67" s="112"/>
      <c r="G67" s="112"/>
      <c r="H67" s="112"/>
      <c r="I67" s="112"/>
      <c r="J67" s="112"/>
      <c r="K67" s="112"/>
    </row>
    <row r="68" spans="1:11" ht="15">
      <c r="A68" s="112" t="s">
        <v>1154</v>
      </c>
      <c r="B68" s="112"/>
      <c r="C68" s="112"/>
      <c r="D68" s="112"/>
      <c r="E68" s="112"/>
      <c r="F68" s="112"/>
      <c r="G68" s="112"/>
      <c r="H68" s="112"/>
      <c r="I68" s="112"/>
      <c r="J68" s="112"/>
      <c r="K68" s="112"/>
    </row>
    <row r="69" spans="1:11" ht="15">
      <c r="A69" s="112" t="s">
        <v>1153</v>
      </c>
      <c r="B69" s="112"/>
      <c r="C69" s="112"/>
      <c r="D69" s="112"/>
      <c r="E69" s="112"/>
      <c r="F69" s="112"/>
      <c r="G69" s="112"/>
      <c r="H69" s="112"/>
      <c r="I69" s="112"/>
      <c r="J69" s="112"/>
      <c r="K69" s="112"/>
    </row>
    <row r="70" spans="1:11" ht="15">
      <c r="A70" s="112" t="s">
        <v>1155</v>
      </c>
      <c r="B70" s="112"/>
      <c r="C70" s="112"/>
      <c r="D70" s="112"/>
      <c r="E70" s="112"/>
      <c r="F70" s="112"/>
      <c r="G70" s="112"/>
      <c r="H70" s="112"/>
      <c r="I70" s="112"/>
      <c r="J70" s="112"/>
      <c r="K70" s="112"/>
    </row>
    <row r="71" spans="1:11" ht="15">
      <c r="A71" s="112" t="s">
        <v>1156</v>
      </c>
      <c r="B71" s="112"/>
      <c r="C71" s="112"/>
      <c r="D71" s="112"/>
      <c r="E71" s="112"/>
      <c r="F71" s="112"/>
      <c r="G71" s="112"/>
      <c r="H71" s="112"/>
      <c r="I71" s="112"/>
      <c r="J71" s="112"/>
      <c r="K71" s="112"/>
    </row>
    <row r="72" spans="1:11" ht="15">
      <c r="A72" s="112" t="s">
        <v>1464</v>
      </c>
      <c r="B72" s="112"/>
      <c r="C72" s="112"/>
      <c r="D72" s="112"/>
      <c r="E72" s="112"/>
      <c r="F72" s="112"/>
      <c r="G72" s="112"/>
      <c r="H72" s="112"/>
      <c r="I72" s="112"/>
      <c r="J72" s="112"/>
      <c r="K72" s="112"/>
    </row>
    <row r="73" spans="1:11" ht="15">
      <c r="A73" s="112" t="s">
        <v>1465</v>
      </c>
      <c r="B73" s="112"/>
      <c r="C73" s="112"/>
      <c r="D73" s="112"/>
      <c r="E73" s="112"/>
      <c r="F73" s="112"/>
      <c r="G73" s="112"/>
      <c r="H73" s="112"/>
      <c r="I73" s="112"/>
      <c r="J73" s="112"/>
      <c r="K73" s="112"/>
    </row>
    <row r="74" spans="1:11" ht="15">
      <c r="A74" s="112" t="s">
        <v>1466</v>
      </c>
      <c r="B74" s="112"/>
      <c r="C74" s="112"/>
      <c r="D74" s="112"/>
      <c r="E74" s="112"/>
      <c r="F74" s="112"/>
      <c r="G74" s="112"/>
      <c r="H74" s="112"/>
      <c r="I74" s="112"/>
      <c r="J74" s="112"/>
      <c r="K74" s="112"/>
    </row>
    <row r="75" spans="1:11" ht="15">
      <c r="A75" s="112" t="s">
        <v>1467</v>
      </c>
      <c r="B75" s="112"/>
      <c r="C75" s="112"/>
      <c r="D75" s="112"/>
      <c r="E75" s="112"/>
      <c r="F75" s="112"/>
      <c r="G75" s="112"/>
      <c r="H75" s="112"/>
      <c r="I75" s="112"/>
      <c r="J75" s="112"/>
      <c r="K75" s="112"/>
    </row>
    <row r="76" spans="1:11" ht="15">
      <c r="A76" s="112" t="s">
        <v>1468</v>
      </c>
      <c r="B76" s="112"/>
      <c r="C76" s="112"/>
      <c r="D76" s="112"/>
      <c r="E76" s="112"/>
      <c r="F76" s="112"/>
      <c r="G76" s="112"/>
      <c r="H76" s="112"/>
      <c r="I76" s="112"/>
      <c r="J76" s="112"/>
      <c r="K76" s="112"/>
    </row>
    <row r="77" spans="1:11" ht="15">
      <c r="A77" s="112"/>
      <c r="B77" s="112"/>
      <c r="C77" s="112"/>
      <c r="D77" s="112"/>
      <c r="E77" s="112"/>
      <c r="F77" s="112"/>
      <c r="G77" s="112"/>
      <c r="H77" s="112"/>
      <c r="I77" s="112"/>
      <c r="J77" s="112"/>
      <c r="K77" s="112"/>
    </row>
    <row r="78" spans="1:11" ht="15.75">
      <c r="A78" s="1271" t="s">
        <v>1469</v>
      </c>
      <c r="B78" s="112"/>
      <c r="C78" s="112"/>
      <c r="D78" s="112"/>
      <c r="E78" s="112"/>
      <c r="F78" s="112"/>
      <c r="G78" s="112"/>
      <c r="H78" s="112"/>
      <c r="I78" s="112"/>
      <c r="J78" s="112"/>
      <c r="K78" s="112"/>
    </row>
    <row r="79" spans="1:11" ht="15">
      <c r="A79" s="112" t="s">
        <v>1149</v>
      </c>
      <c r="B79" s="112"/>
      <c r="C79" s="112"/>
      <c r="D79" s="112"/>
      <c r="E79" s="112"/>
      <c r="F79" s="112"/>
      <c r="G79" s="112"/>
      <c r="H79" s="112"/>
      <c r="I79" s="112"/>
      <c r="J79" s="112"/>
      <c r="K79" s="112"/>
    </row>
    <row r="80" spans="1:11" ht="15">
      <c r="A80" s="112" t="s">
        <v>1150</v>
      </c>
      <c r="B80" s="112"/>
      <c r="C80" s="112"/>
      <c r="D80" s="112"/>
      <c r="E80" s="112"/>
      <c r="F80" s="112"/>
      <c r="G80" s="112"/>
      <c r="H80" s="112"/>
      <c r="I80" s="112"/>
      <c r="J80" s="112"/>
      <c r="K80" s="112"/>
    </row>
    <row r="81" spans="1:11" ht="15">
      <c r="A81" s="112"/>
      <c r="B81" s="112"/>
      <c r="C81" s="112"/>
      <c r="D81" s="112"/>
      <c r="E81" s="112"/>
      <c r="F81" s="112"/>
      <c r="G81" s="112"/>
      <c r="H81" s="112"/>
      <c r="I81" s="112"/>
      <c r="J81" s="112"/>
      <c r="K81" s="112"/>
    </row>
    <row r="82" spans="1:11" ht="15">
      <c r="A82" s="112" t="s">
        <v>1470</v>
      </c>
      <c r="B82" s="112"/>
      <c r="C82" s="112"/>
      <c r="D82" s="112"/>
      <c r="E82" s="112"/>
      <c r="F82" s="112"/>
      <c r="G82" s="112"/>
      <c r="H82" s="112"/>
      <c r="I82" s="112"/>
      <c r="J82" s="112"/>
      <c r="K82" s="112"/>
    </row>
    <row r="83" spans="1:11" ht="15">
      <c r="A83" s="112" t="s">
        <v>1471</v>
      </c>
      <c r="B83" s="112"/>
      <c r="C83" s="112"/>
      <c r="D83" s="112"/>
      <c r="E83" s="112"/>
      <c r="F83" s="112"/>
      <c r="G83" s="112"/>
      <c r="H83" s="112"/>
      <c r="I83" s="112"/>
      <c r="J83" s="112"/>
      <c r="K83" s="112"/>
    </row>
    <row r="84" spans="1:11" ht="15">
      <c r="A84" s="112" t="s">
        <v>1472</v>
      </c>
      <c r="B84" s="112"/>
      <c r="C84" s="112"/>
      <c r="D84" s="112"/>
      <c r="E84" s="112"/>
      <c r="F84" s="112"/>
      <c r="G84" s="112"/>
      <c r="H84" s="112"/>
      <c r="I84" s="112"/>
      <c r="J84" s="112"/>
      <c r="K84" s="112"/>
    </row>
    <row r="85" spans="1:11" ht="15">
      <c r="A85" s="112" t="s">
        <v>1473</v>
      </c>
      <c r="B85" s="112"/>
      <c r="C85" s="112"/>
      <c r="D85" s="112"/>
      <c r="E85" s="112"/>
      <c r="F85" s="112"/>
      <c r="G85" s="112"/>
      <c r="H85" s="112"/>
      <c r="I85" s="112"/>
      <c r="J85" s="112"/>
      <c r="K85" s="112"/>
    </row>
    <row r="86" spans="1:11" ht="15">
      <c r="A86" s="112" t="s">
        <v>1474</v>
      </c>
      <c r="B86" s="112"/>
      <c r="C86" s="112"/>
      <c r="D86" s="112"/>
      <c r="E86" s="112"/>
      <c r="F86" s="112"/>
      <c r="G86" s="112"/>
      <c r="H86" s="112"/>
      <c r="I86" s="112"/>
      <c r="J86" s="112"/>
      <c r="K86" s="112"/>
    </row>
    <row r="87" spans="1:11" ht="15">
      <c r="A87" s="112"/>
      <c r="B87" s="112"/>
      <c r="C87" s="112"/>
      <c r="D87" s="112"/>
      <c r="E87" s="112"/>
      <c r="F87" s="112"/>
      <c r="G87" s="112"/>
      <c r="H87" s="112"/>
      <c r="I87" s="112"/>
      <c r="J87" s="112"/>
      <c r="K87" s="112"/>
    </row>
    <row r="88" spans="1:11" ht="15">
      <c r="A88" s="112" t="s">
        <v>1152</v>
      </c>
      <c r="B88" s="112"/>
      <c r="C88" s="112"/>
      <c r="D88" s="112"/>
      <c r="E88" s="112"/>
      <c r="F88" s="112"/>
      <c r="G88" s="112"/>
      <c r="H88" s="112"/>
      <c r="I88" s="112"/>
      <c r="J88" s="112"/>
      <c r="K88" s="112"/>
    </row>
    <row r="89" spans="1:11" ht="15">
      <c r="A89" s="112" t="s">
        <v>1475</v>
      </c>
      <c r="B89" s="112"/>
      <c r="C89" s="112"/>
      <c r="D89" s="112"/>
      <c r="E89" s="112"/>
      <c r="F89" s="112"/>
      <c r="G89" s="112"/>
      <c r="H89" s="112"/>
      <c r="I89" s="112"/>
      <c r="J89" s="112"/>
      <c r="K89" s="112"/>
    </row>
    <row r="90" spans="1:11" ht="15">
      <c r="A90" s="112" t="s">
        <v>1476</v>
      </c>
      <c r="B90" s="112"/>
      <c r="C90" s="112"/>
      <c r="D90" s="112"/>
      <c r="E90" s="112"/>
      <c r="F90" s="112"/>
      <c r="G90" s="112"/>
      <c r="H90" s="112"/>
      <c r="I90" s="112"/>
      <c r="J90" s="112"/>
      <c r="K90" s="112"/>
    </row>
    <row r="91" spans="1:11" ht="15">
      <c r="A91" s="112"/>
      <c r="B91" s="112"/>
      <c r="C91" s="112"/>
      <c r="D91" s="112"/>
      <c r="E91" s="112"/>
      <c r="F91" s="112"/>
      <c r="G91" s="112"/>
      <c r="H91" s="112"/>
      <c r="I91" s="112"/>
      <c r="J91" s="112"/>
      <c r="K91" s="112"/>
    </row>
    <row r="92" spans="1:11" ht="15.75">
      <c r="A92" s="1271" t="s">
        <v>1477</v>
      </c>
      <c r="B92" s="112"/>
      <c r="C92" s="112"/>
      <c r="D92" s="112"/>
      <c r="E92" s="112"/>
      <c r="F92" s="112"/>
      <c r="G92" s="112"/>
      <c r="H92" s="112"/>
      <c r="I92" s="112"/>
      <c r="J92" s="112"/>
      <c r="K92" s="112"/>
    </row>
    <row r="93" spans="1:11" ht="23.25" customHeight="1">
      <c r="A93" s="1427" t="s">
        <v>1479</v>
      </c>
      <c r="B93" s="112"/>
      <c r="C93" s="112"/>
      <c r="D93" s="112"/>
      <c r="E93" s="112"/>
      <c r="F93" s="112"/>
      <c r="G93" s="112"/>
      <c r="H93" s="112"/>
      <c r="I93" s="112"/>
      <c r="J93" s="112"/>
      <c r="K93" s="112"/>
    </row>
    <row r="94" spans="1:11" ht="15">
      <c r="A94" s="1427" t="s">
        <v>1480</v>
      </c>
      <c r="B94" s="112"/>
      <c r="C94" s="112"/>
      <c r="D94" s="112"/>
      <c r="E94" s="112"/>
      <c r="F94" s="112"/>
      <c r="G94" s="112"/>
      <c r="H94" s="112"/>
      <c r="I94" s="112"/>
      <c r="J94" s="112"/>
      <c r="K94" s="112"/>
    </row>
    <row r="95" spans="1:11" ht="21.75" customHeight="1">
      <c r="A95" s="1271" t="s">
        <v>1478</v>
      </c>
      <c r="B95" s="112"/>
      <c r="C95" s="112"/>
      <c r="D95" s="112"/>
      <c r="E95" s="112"/>
      <c r="F95" s="112"/>
      <c r="G95" s="112"/>
      <c r="H95" s="112"/>
      <c r="I95" s="112"/>
      <c r="J95" s="112"/>
      <c r="K95" s="112"/>
    </row>
    <row r="96" spans="1:11" ht="15">
      <c r="A96" s="112" t="s">
        <v>1481</v>
      </c>
      <c r="B96" s="112"/>
      <c r="C96" s="112"/>
      <c r="D96" s="112"/>
      <c r="E96" s="112"/>
      <c r="F96" s="112"/>
      <c r="G96" s="112"/>
      <c r="H96" s="112"/>
      <c r="I96" s="112"/>
      <c r="J96" s="112"/>
      <c r="K96" s="112"/>
    </row>
    <row r="97" spans="1:11" ht="15">
      <c r="A97" s="112"/>
      <c r="B97" s="112"/>
      <c r="C97" s="112"/>
      <c r="D97" s="112"/>
      <c r="E97" s="112"/>
      <c r="F97" s="112"/>
      <c r="G97" s="112"/>
      <c r="H97" s="112"/>
      <c r="I97" s="112"/>
      <c r="J97" s="112"/>
      <c r="K97" s="112"/>
    </row>
    <row r="98" spans="1:11" ht="15.75">
      <c r="A98" s="112" t="s">
        <v>1485</v>
      </c>
      <c r="B98" s="112"/>
      <c r="C98" s="112"/>
      <c r="D98" s="112"/>
      <c r="E98" s="112"/>
      <c r="F98" s="112"/>
      <c r="G98" s="112"/>
      <c r="H98" s="112"/>
      <c r="I98" s="112"/>
      <c r="J98" s="112"/>
      <c r="K98" s="112"/>
    </row>
    <row r="99" spans="1:11" ht="15">
      <c r="A99" s="112" t="s">
        <v>1482</v>
      </c>
      <c r="B99" s="112"/>
      <c r="C99" s="112"/>
      <c r="D99" s="112"/>
      <c r="E99" s="112"/>
      <c r="F99" s="112"/>
      <c r="G99" s="112"/>
      <c r="H99" s="112"/>
      <c r="I99" s="112"/>
      <c r="J99" s="112"/>
      <c r="K99" s="112"/>
    </row>
    <row r="100" spans="1:11" ht="15">
      <c r="A100" s="112" t="s">
        <v>1483</v>
      </c>
      <c r="B100" s="112"/>
      <c r="C100" s="112"/>
      <c r="D100" s="112"/>
      <c r="E100" s="112"/>
      <c r="F100" s="112"/>
      <c r="G100" s="112"/>
      <c r="H100" s="112"/>
      <c r="I100" s="112"/>
      <c r="J100" s="112"/>
      <c r="K100" s="112"/>
    </row>
    <row r="101" spans="1:11" ht="15">
      <c r="A101" s="112" t="s">
        <v>1484</v>
      </c>
      <c r="B101" s="112"/>
      <c r="C101" s="112"/>
      <c r="D101" s="112"/>
      <c r="E101" s="112"/>
      <c r="F101" s="112"/>
      <c r="G101" s="112"/>
      <c r="H101" s="112"/>
      <c r="I101" s="112"/>
      <c r="J101" s="112"/>
      <c r="K101" s="112"/>
    </row>
    <row r="102" spans="1:11" ht="19.5" customHeight="1">
      <c r="A102" s="1271" t="s">
        <v>1486</v>
      </c>
      <c r="B102" s="112"/>
      <c r="C102" s="112"/>
      <c r="D102" s="112"/>
      <c r="E102" s="112"/>
      <c r="F102" s="112"/>
      <c r="G102" s="112"/>
      <c r="H102" s="112"/>
      <c r="I102" s="112"/>
      <c r="J102" s="112"/>
      <c r="K102" s="112"/>
    </row>
    <row r="103" spans="1:11" ht="15">
      <c r="A103" s="112" t="s">
        <v>1151</v>
      </c>
      <c r="B103" s="112"/>
      <c r="C103" s="112"/>
      <c r="D103" s="112"/>
      <c r="E103" s="112"/>
      <c r="F103" s="112"/>
      <c r="G103" s="112"/>
      <c r="H103" s="112"/>
      <c r="I103" s="112"/>
      <c r="J103" s="112"/>
      <c r="K103" s="112"/>
    </row>
    <row r="104" spans="1:11" ht="21" customHeight="1">
      <c r="A104" s="1271" t="s">
        <v>1487</v>
      </c>
      <c r="B104" s="112"/>
      <c r="C104" s="112"/>
      <c r="D104" s="112"/>
      <c r="E104" s="112"/>
      <c r="F104" s="112"/>
      <c r="G104" s="112"/>
      <c r="H104" s="112"/>
      <c r="I104" s="112"/>
      <c r="J104" s="112"/>
      <c r="K104" s="112"/>
    </row>
    <row r="105" spans="1:11" ht="15">
      <c r="A105" s="112"/>
      <c r="B105" s="112"/>
      <c r="C105" s="112"/>
      <c r="D105" s="112"/>
      <c r="E105" s="112"/>
      <c r="F105" s="112"/>
      <c r="G105" s="112"/>
      <c r="H105" s="112"/>
      <c r="I105" s="112"/>
      <c r="J105" s="112"/>
      <c r="K105" s="112"/>
    </row>
    <row r="106" spans="1:11" ht="15.75">
      <c r="A106" s="112" t="s">
        <v>1489</v>
      </c>
      <c r="B106" s="112"/>
      <c r="C106" s="112"/>
      <c r="D106" s="112"/>
      <c r="E106" s="112"/>
      <c r="F106" s="112"/>
      <c r="G106" s="112"/>
      <c r="H106" s="112"/>
      <c r="I106" s="112"/>
      <c r="J106" s="112"/>
      <c r="K106" s="112"/>
    </row>
    <row r="107" spans="1:11" ht="15">
      <c r="A107" s="112" t="s">
        <v>1488</v>
      </c>
      <c r="B107" s="112"/>
      <c r="C107" s="112"/>
      <c r="D107" s="112"/>
      <c r="E107" s="112"/>
      <c r="F107" s="112"/>
      <c r="G107" s="112"/>
      <c r="H107" s="112"/>
      <c r="I107" s="112"/>
      <c r="J107" s="112"/>
      <c r="K107" s="112"/>
    </row>
    <row r="108" spans="1:11" ht="15">
      <c r="A108" s="112"/>
      <c r="B108" s="112"/>
      <c r="C108" s="112"/>
      <c r="D108" s="112"/>
      <c r="E108" s="112"/>
      <c r="F108" s="112"/>
      <c r="G108" s="112"/>
      <c r="H108" s="112"/>
      <c r="I108" s="112"/>
      <c r="J108" s="112"/>
      <c r="K108" s="112"/>
    </row>
    <row r="109" spans="1:11" ht="15.75">
      <c r="A109" s="112" t="s">
        <v>1494</v>
      </c>
      <c r="B109" s="112"/>
      <c r="C109" s="112"/>
      <c r="D109" s="112"/>
      <c r="E109" s="112"/>
      <c r="F109" s="112"/>
      <c r="G109" s="112"/>
      <c r="H109" s="112"/>
      <c r="I109" s="112"/>
      <c r="J109" s="112"/>
      <c r="K109" s="112"/>
    </row>
    <row r="110" spans="1:11" ht="15">
      <c r="A110" s="112" t="s">
        <v>1490</v>
      </c>
      <c r="B110" s="112"/>
      <c r="C110" s="112"/>
      <c r="D110" s="112"/>
      <c r="E110" s="112"/>
      <c r="F110" s="112"/>
      <c r="G110" s="112"/>
      <c r="H110" s="112"/>
      <c r="I110" s="112"/>
      <c r="J110" s="112"/>
      <c r="K110" s="112"/>
    </row>
    <row r="111" spans="1:11" ht="15">
      <c r="A111" s="112" t="s">
        <v>1491</v>
      </c>
      <c r="B111" s="112"/>
      <c r="C111" s="112"/>
      <c r="D111" s="112"/>
      <c r="E111" s="112"/>
      <c r="F111" s="112"/>
      <c r="G111" s="112"/>
      <c r="H111" s="112"/>
      <c r="I111" s="112"/>
      <c r="J111" s="112"/>
      <c r="K111" s="112"/>
    </row>
    <row r="112" spans="1:11" ht="15">
      <c r="A112" s="112" t="s">
        <v>1492</v>
      </c>
      <c r="B112" s="112"/>
      <c r="C112" s="112"/>
      <c r="D112" s="112"/>
      <c r="E112" s="112"/>
      <c r="F112" s="112"/>
      <c r="G112" s="112"/>
      <c r="H112" s="112"/>
      <c r="I112" s="112"/>
      <c r="J112" s="112"/>
      <c r="K112" s="112"/>
    </row>
    <row r="113" spans="1:11" ht="15">
      <c r="A113" s="112" t="s">
        <v>1493</v>
      </c>
      <c r="B113" s="112"/>
      <c r="C113" s="112"/>
      <c r="D113" s="112"/>
      <c r="E113" s="112"/>
      <c r="F113" s="112"/>
      <c r="G113" s="112"/>
      <c r="H113" s="112"/>
      <c r="I113" s="112"/>
      <c r="J113" s="112"/>
      <c r="K113" s="112"/>
    </row>
    <row r="114" spans="1:11" ht="24" customHeight="1">
      <c r="A114" s="1271" t="s">
        <v>1495</v>
      </c>
      <c r="B114" s="112"/>
      <c r="C114" s="112"/>
      <c r="D114" s="112"/>
      <c r="E114" s="112"/>
      <c r="F114" s="112"/>
      <c r="G114" s="112"/>
      <c r="H114" s="112"/>
      <c r="I114" s="112"/>
      <c r="J114" s="112"/>
      <c r="K114" s="112"/>
    </row>
    <row r="115" spans="1:11" ht="15">
      <c r="A115" s="112"/>
      <c r="B115" s="112"/>
      <c r="C115" s="112"/>
      <c r="D115" s="112"/>
      <c r="E115" s="112"/>
      <c r="F115" s="112"/>
      <c r="G115" s="112"/>
      <c r="H115" s="112"/>
      <c r="I115" s="112"/>
      <c r="J115" s="112"/>
      <c r="K115" s="112"/>
    </row>
    <row r="116" spans="1:11" ht="15.75">
      <c r="A116" s="112" t="s">
        <v>1496</v>
      </c>
      <c r="B116" s="112"/>
      <c r="C116" s="112"/>
      <c r="D116" s="112"/>
      <c r="E116" s="112"/>
      <c r="F116" s="112"/>
      <c r="G116" s="112"/>
      <c r="H116" s="112"/>
      <c r="I116" s="112"/>
      <c r="J116" s="112"/>
      <c r="K116" s="112"/>
    </row>
    <row r="117" spans="1:11" ht="15">
      <c r="A117" s="112" t="s">
        <v>1479</v>
      </c>
      <c r="B117" s="112"/>
      <c r="C117" s="112"/>
      <c r="D117" s="112"/>
      <c r="E117" s="112"/>
      <c r="F117" s="112"/>
      <c r="G117" s="112"/>
      <c r="H117" s="112"/>
      <c r="I117" s="112"/>
      <c r="J117" s="112"/>
      <c r="K117" s="112"/>
    </row>
    <row r="118" spans="1:11" ht="15">
      <c r="A118" s="112" t="s">
        <v>1497</v>
      </c>
      <c r="B118" s="112"/>
      <c r="C118" s="112"/>
      <c r="D118" s="112"/>
      <c r="E118" s="112"/>
      <c r="F118" s="112"/>
      <c r="G118" s="112"/>
      <c r="H118" s="112"/>
      <c r="I118" s="112"/>
      <c r="J118" s="112"/>
      <c r="K118" s="112"/>
    </row>
    <row r="119" spans="1:11" ht="15">
      <c r="A119" s="112"/>
      <c r="B119" s="112"/>
      <c r="C119" s="112"/>
      <c r="D119" s="112"/>
      <c r="E119" s="112"/>
      <c r="F119" s="112"/>
      <c r="G119" s="112"/>
      <c r="H119" s="112"/>
      <c r="I119" s="112"/>
      <c r="J119" s="112"/>
      <c r="K119" s="112"/>
    </row>
    <row r="120" spans="1:11" ht="15">
      <c r="A120" s="112"/>
      <c r="B120" s="112"/>
      <c r="C120" s="112"/>
      <c r="D120" s="112"/>
      <c r="E120" s="112"/>
      <c r="F120" s="112"/>
      <c r="G120" s="112"/>
      <c r="H120" s="112"/>
      <c r="I120" s="112"/>
      <c r="J120" s="112"/>
      <c r="K120" s="112"/>
    </row>
    <row r="121" spans="1:11" ht="15">
      <c r="A121" s="112"/>
      <c r="B121" s="112"/>
      <c r="C121" s="112"/>
      <c r="D121" s="112"/>
      <c r="E121" s="112"/>
      <c r="F121" s="112"/>
      <c r="G121" s="112"/>
      <c r="H121" s="112"/>
      <c r="I121" s="112"/>
      <c r="J121" s="112"/>
      <c r="K121" s="112"/>
    </row>
    <row r="122" spans="1:11" ht="15">
      <c r="A122" s="112"/>
      <c r="B122" s="112"/>
      <c r="C122" s="112"/>
      <c r="D122" s="112"/>
      <c r="E122" s="112"/>
      <c r="F122" s="112"/>
      <c r="G122" s="112"/>
      <c r="H122" s="112"/>
      <c r="I122" s="112"/>
      <c r="J122" s="112"/>
      <c r="K122" s="112"/>
    </row>
    <row r="123" spans="1:11" ht="15">
      <c r="A123" s="112"/>
      <c r="B123" s="112"/>
      <c r="C123" s="112"/>
      <c r="D123" s="112"/>
      <c r="E123" s="112"/>
      <c r="F123" s="112"/>
      <c r="G123" s="112"/>
      <c r="H123" s="112"/>
      <c r="I123" s="112"/>
      <c r="J123" s="112"/>
      <c r="K123" s="112"/>
    </row>
    <row r="124" spans="1:11" ht="15">
      <c r="A124" s="112"/>
      <c r="B124" s="112"/>
      <c r="C124" s="112"/>
      <c r="D124" s="112"/>
      <c r="E124" s="112"/>
      <c r="F124" s="112"/>
      <c r="G124" s="112"/>
      <c r="H124" s="112"/>
      <c r="I124" s="112"/>
      <c r="J124" s="112"/>
      <c r="K124" s="112"/>
    </row>
    <row r="125" spans="1:11" ht="15">
      <c r="A125" s="112"/>
      <c r="B125" s="112"/>
      <c r="C125" s="112"/>
      <c r="D125" s="112"/>
      <c r="E125" s="112"/>
      <c r="F125" s="112"/>
      <c r="G125" s="112"/>
      <c r="H125" s="112"/>
      <c r="I125" s="112"/>
      <c r="J125" s="112"/>
      <c r="K125" s="112"/>
    </row>
    <row r="126" spans="1:11" ht="15">
      <c r="A126" s="112"/>
      <c r="B126" s="112"/>
      <c r="C126" s="112"/>
      <c r="D126" s="112"/>
      <c r="E126" s="112"/>
      <c r="F126" s="112"/>
      <c r="G126" s="112"/>
      <c r="H126" s="112"/>
      <c r="I126" s="112"/>
      <c r="J126" s="112"/>
      <c r="K126" s="112"/>
    </row>
    <row r="127" spans="1:11" ht="15">
      <c r="A127" s="112"/>
      <c r="B127" s="112"/>
      <c r="C127" s="112"/>
      <c r="D127" s="112"/>
      <c r="E127" s="112"/>
      <c r="F127" s="112"/>
      <c r="G127" s="112"/>
      <c r="H127" s="112"/>
      <c r="I127" s="112"/>
      <c r="J127" s="112"/>
      <c r="K127" s="112"/>
    </row>
    <row r="128" spans="1:11" ht="15">
      <c r="A128" s="112"/>
      <c r="B128" s="112"/>
      <c r="C128" s="112"/>
      <c r="D128" s="112"/>
      <c r="E128" s="112"/>
      <c r="F128" s="112"/>
      <c r="G128" s="112"/>
      <c r="H128" s="112"/>
      <c r="I128" s="112"/>
      <c r="J128" s="112"/>
      <c r="K128" s="112"/>
    </row>
    <row r="129" spans="1:11" ht="15">
      <c r="A129" s="112"/>
      <c r="B129" s="112"/>
      <c r="C129" s="112"/>
      <c r="D129" s="112"/>
      <c r="E129" s="112"/>
      <c r="F129" s="112"/>
      <c r="G129" s="112"/>
      <c r="H129" s="112"/>
      <c r="I129" s="112"/>
      <c r="J129" s="112"/>
      <c r="K129" s="112"/>
    </row>
    <row r="130" spans="1:11" ht="15">
      <c r="A130" s="112"/>
      <c r="B130" s="112"/>
      <c r="C130" s="112"/>
      <c r="D130" s="112"/>
      <c r="E130" s="112"/>
      <c r="F130" s="112"/>
      <c r="G130" s="112"/>
      <c r="H130" s="112"/>
      <c r="I130" s="112"/>
      <c r="J130" s="112"/>
      <c r="K130" s="112"/>
    </row>
    <row r="131" spans="1:11" ht="15">
      <c r="A131" s="112"/>
      <c r="B131" s="112"/>
      <c r="C131" s="112"/>
      <c r="D131" s="112"/>
      <c r="E131" s="112"/>
      <c r="F131" s="112"/>
      <c r="G131" s="112"/>
      <c r="H131" s="112"/>
      <c r="I131" s="112"/>
      <c r="J131" s="112"/>
      <c r="K131" s="112"/>
    </row>
    <row r="132" spans="1:11" ht="15">
      <c r="A132" s="112"/>
      <c r="B132" s="112"/>
      <c r="C132" s="112"/>
      <c r="D132" s="112"/>
      <c r="E132" s="112"/>
      <c r="F132" s="112"/>
      <c r="G132" s="112"/>
      <c r="H132" s="112"/>
      <c r="I132" s="112"/>
      <c r="J132" s="112"/>
      <c r="K132" s="112"/>
    </row>
    <row r="133" spans="1:11" ht="15">
      <c r="A133" s="112"/>
      <c r="B133" s="112"/>
      <c r="C133" s="112"/>
      <c r="D133" s="112"/>
      <c r="E133" s="112"/>
      <c r="F133" s="112"/>
      <c r="G133" s="112"/>
      <c r="H133" s="112"/>
      <c r="I133" s="112"/>
      <c r="J133" s="112"/>
      <c r="K133" s="112"/>
    </row>
  </sheetData>
  <sheetProtection password="EC35" sheet="1" objects="1" scenarios="1"/>
  <mergeCells count="2">
    <mergeCell ref="F10:I10"/>
    <mergeCell ref="L1:L38"/>
  </mergeCells>
  <hyperlinks>
    <hyperlink ref="L1:L38" location="'GO TO'!G20" display="  "/>
  </hyperlinks>
  <printOptions horizontalCentered="1"/>
  <pageMargins left="0.3" right="0.3" top="0.5" bottom="0.75" header="0.5" footer="0.4"/>
  <pageSetup fitToHeight="0" fitToWidth="1" horizontalDpi="600" verticalDpi="600" orientation="portrait" scale="65" r:id="rId4"/>
  <headerFooter alignWithMargins="0">
    <oddFooter>&amp;L&amp;10T2209 E (07)</oddFooter>
  </headerFooter>
  <rowBreaks count="1" manualBreakCount="1">
    <brk id="66" max="255" man="1"/>
  </rowBreaks>
  <drawing r:id="rId3"/>
  <legacyDrawing r:id="rId2"/>
</worksheet>
</file>

<file path=xl/worksheets/sheet4.xml><?xml version="1.0" encoding="utf-8"?>
<worksheet xmlns="http://schemas.openxmlformats.org/spreadsheetml/2006/main" xmlns:r="http://schemas.openxmlformats.org/officeDocument/2006/relationships">
  <sheetPr codeName="Sheet10">
    <pageSetUpPr fitToPage="1"/>
  </sheetPr>
  <dimension ref="B1:R65"/>
  <sheetViews>
    <sheetView zoomScale="70" zoomScaleNormal="70" workbookViewId="0" topLeftCell="A1">
      <selection activeCell="G7" sqref="G7"/>
    </sheetView>
  </sheetViews>
  <sheetFormatPr defaultColWidth="8.88671875" defaultRowHeight="15"/>
  <cols>
    <col min="1" max="1" width="1.4375" style="0" customWidth="1"/>
    <col min="2" max="2" width="12.77734375" style="0" customWidth="1"/>
    <col min="3" max="3" width="6.77734375" style="0" customWidth="1"/>
    <col min="4" max="4" width="5.77734375" style="0" customWidth="1"/>
    <col min="5" max="5" width="6.77734375" style="0" customWidth="1"/>
    <col min="6" max="6" width="2.77734375" style="0" customWidth="1"/>
    <col min="7" max="7" width="10.77734375" style="0" customWidth="1"/>
    <col min="8" max="8" width="6.77734375" style="0" customWidth="1"/>
    <col min="9" max="9" width="5.77734375" style="0" customWidth="1"/>
    <col min="10" max="10" width="6.77734375" style="0" customWidth="1"/>
    <col min="11" max="11" width="2.77734375" style="0" customWidth="1"/>
    <col min="12" max="12" width="10.77734375" style="0" customWidth="1"/>
    <col min="13" max="13" width="6.77734375" style="0" customWidth="1"/>
    <col min="14" max="14" width="6.6640625" style="0" customWidth="1"/>
    <col min="15" max="15" width="6.77734375" style="0" customWidth="1"/>
  </cols>
  <sheetData>
    <row r="1" spans="2:16" ht="25.5" customHeight="1">
      <c r="B1" s="112"/>
      <c r="C1" s="112"/>
      <c r="D1" s="374"/>
      <c r="E1" s="374"/>
      <c r="F1" s="394"/>
      <c r="G1" s="112"/>
      <c r="H1" s="941" t="s">
        <v>2235</v>
      </c>
      <c r="I1" s="112"/>
      <c r="J1" s="112"/>
      <c r="K1" s="112"/>
      <c r="L1" s="112"/>
      <c r="M1" s="112"/>
      <c r="N1" s="112"/>
      <c r="O1" s="112"/>
      <c r="P1" s="1508" t="s">
        <v>1659</v>
      </c>
    </row>
    <row r="2" spans="2:16" ht="15" customHeight="1">
      <c r="B2" s="112"/>
      <c r="C2" s="112"/>
      <c r="D2" s="374"/>
      <c r="E2" s="374"/>
      <c r="F2" s="394"/>
      <c r="G2" s="112"/>
      <c r="H2" s="936" t="s">
        <v>125</v>
      </c>
      <c r="I2" s="112"/>
      <c r="J2" s="112"/>
      <c r="K2" s="112"/>
      <c r="L2" s="112"/>
      <c r="M2" s="112"/>
      <c r="N2" s="112"/>
      <c r="O2" s="112"/>
      <c r="P2" s="1508"/>
    </row>
    <row r="3" spans="2:16" ht="15" customHeight="1">
      <c r="B3" s="112"/>
      <c r="C3" s="112"/>
      <c r="D3" s="374"/>
      <c r="E3" s="374"/>
      <c r="F3" s="394"/>
      <c r="G3" s="112"/>
      <c r="H3" s="935" t="s">
        <v>1660</v>
      </c>
      <c r="I3" s="112"/>
      <c r="J3" s="112"/>
      <c r="K3" s="112"/>
      <c r="L3" s="112"/>
      <c r="M3" s="112"/>
      <c r="N3" s="112"/>
      <c r="O3" s="112"/>
      <c r="P3" s="1508"/>
    </row>
    <row r="4" spans="2:16" ht="15" customHeight="1">
      <c r="B4" s="112"/>
      <c r="C4" s="112"/>
      <c r="D4" s="374"/>
      <c r="E4" s="374"/>
      <c r="F4" s="394"/>
      <c r="G4" s="112"/>
      <c r="H4" s="936" t="s">
        <v>1661</v>
      </c>
      <c r="I4" s="112"/>
      <c r="J4" s="112"/>
      <c r="K4" s="112"/>
      <c r="L4" s="112"/>
      <c r="M4" s="112"/>
      <c r="N4" s="112"/>
      <c r="O4" s="112"/>
      <c r="P4" s="1508"/>
    </row>
    <row r="5" spans="2:16" ht="15" customHeight="1">
      <c r="B5" s="112"/>
      <c r="C5" s="112"/>
      <c r="D5" s="112"/>
      <c r="E5" s="112"/>
      <c r="F5" s="112"/>
      <c r="G5" s="112"/>
      <c r="H5" s="936" t="s">
        <v>1315</v>
      </c>
      <c r="I5" s="112"/>
      <c r="J5" s="112"/>
      <c r="K5" s="112"/>
      <c r="L5" s="112"/>
      <c r="M5" s="112"/>
      <c r="N5" s="112"/>
      <c r="O5" s="112"/>
      <c r="P5" s="1508"/>
    </row>
    <row r="6" spans="2:16" ht="31.5" customHeight="1">
      <c r="B6" s="393" t="s">
        <v>124</v>
      </c>
      <c r="C6" s="378"/>
      <c r="D6" s="372" t="s">
        <v>1062</v>
      </c>
      <c r="E6" s="373"/>
      <c r="F6" s="379"/>
      <c r="G6" s="393" t="s">
        <v>124</v>
      </c>
      <c r="H6" s="378"/>
      <c r="I6" s="372" t="s">
        <v>1062</v>
      </c>
      <c r="J6" s="373"/>
      <c r="K6" s="375"/>
      <c r="L6" s="393" t="s">
        <v>124</v>
      </c>
      <c r="M6" s="1490" t="s">
        <v>1632</v>
      </c>
      <c r="N6" s="1491"/>
      <c r="O6" s="1492"/>
      <c r="P6" s="1508"/>
    </row>
    <row r="7" spans="2:16" ht="16.5" customHeight="1">
      <c r="B7" s="933" t="s">
        <v>1063</v>
      </c>
      <c r="C7" s="125"/>
      <c r="D7" s="376" t="str">
        <f>IF('T1 GEN-1'!D14="","No","Yes")</f>
        <v>No</v>
      </c>
      <c r="E7" s="129"/>
      <c r="F7" s="375"/>
      <c r="G7" s="937" t="s">
        <v>890</v>
      </c>
      <c r="H7" s="126"/>
      <c r="I7" s="376" t="str">
        <f>IF(SUM('T4'!J18:J54)=0,"No","Yes")</f>
        <v>No</v>
      </c>
      <c r="J7" s="127"/>
      <c r="K7" s="375"/>
      <c r="L7" s="126" t="s">
        <v>202</v>
      </c>
      <c r="M7" s="1305" t="s">
        <v>1628</v>
      </c>
      <c r="N7" s="1515"/>
      <c r="O7" s="1489"/>
      <c r="P7" s="1508"/>
    </row>
    <row r="8" spans="2:16" ht="16.5" customHeight="1">
      <c r="B8" s="934" t="s">
        <v>1064</v>
      </c>
      <c r="C8" s="126"/>
      <c r="D8" s="376" t="str">
        <f>IF('T1 GEN-2-3-4'!K103+'T1 GEN-2-3-4'!I43+ABS('T1 GEN-2-3-4'!K132)=0,"No","Yes")</f>
        <v>Yes</v>
      </c>
      <c r="E8" s="127"/>
      <c r="F8" s="375"/>
      <c r="G8" s="937" t="s">
        <v>891</v>
      </c>
      <c r="H8" s="126"/>
      <c r="I8" s="376" t="str">
        <f>IF(SUM('T4A'!J15:J43)=0,"No","Yes")</f>
        <v>No</v>
      </c>
      <c r="J8" s="127"/>
      <c r="K8" s="375"/>
      <c r="L8" s="126" t="s">
        <v>1629</v>
      </c>
      <c r="M8" s="1305" t="s">
        <v>1628</v>
      </c>
      <c r="N8" s="1493"/>
      <c r="O8" s="1494"/>
      <c r="P8" s="1508"/>
    </row>
    <row r="9" spans="2:16" ht="16.5" customHeight="1">
      <c r="B9" s="934" t="s">
        <v>1851</v>
      </c>
      <c r="C9" s="126"/>
      <c r="D9" s="376" t="str">
        <f>D8</f>
        <v>Yes</v>
      </c>
      <c r="E9" s="127"/>
      <c r="F9" s="375"/>
      <c r="G9" s="937" t="s">
        <v>817</v>
      </c>
      <c r="H9" s="126"/>
      <c r="I9" s="376" t="str">
        <f>IF(SUM('T4A(OAS)'!J17:J27)=0,"No","Yes")</f>
        <v>No</v>
      </c>
      <c r="J9" s="127"/>
      <c r="K9" s="375"/>
      <c r="L9" s="126" t="s">
        <v>1085</v>
      </c>
      <c r="M9" s="1305" t="s">
        <v>1628</v>
      </c>
      <c r="N9" s="1515"/>
      <c r="O9" s="1489"/>
      <c r="P9" s="1508"/>
    </row>
    <row r="10" spans="2:16" ht="16.5" customHeight="1">
      <c r="B10" s="934" t="s">
        <v>416</v>
      </c>
      <c r="C10" s="126"/>
      <c r="D10" s="377" t="str">
        <f>IF(Sch1!I48=0,"No","Yes")</f>
        <v>No</v>
      </c>
      <c r="E10" s="127"/>
      <c r="F10" s="375"/>
      <c r="G10" s="937" t="s">
        <v>514</v>
      </c>
      <c r="H10" s="126"/>
      <c r="I10" s="376" t="str">
        <f>IF(SUM('T4A(P)'!E27:E29)=0,"No","Yes")</f>
        <v>No</v>
      </c>
      <c r="J10" s="127"/>
      <c r="K10" s="375"/>
      <c r="L10" s="126" t="s">
        <v>889</v>
      </c>
      <c r="M10" s="125" t="s">
        <v>1631</v>
      </c>
      <c r="N10" s="1077"/>
      <c r="O10" s="129"/>
      <c r="P10" s="1508"/>
    </row>
    <row r="11" spans="2:16" ht="16.5" customHeight="1">
      <c r="B11" s="934" t="s">
        <v>2231</v>
      </c>
      <c r="C11" s="126"/>
      <c r="D11" s="376" t="str">
        <f>IF(Sch2!J22=0,"No","Yes")</f>
        <v>No</v>
      </c>
      <c r="E11" s="127"/>
      <c r="F11" s="375"/>
      <c r="G11" s="937" t="s">
        <v>1854</v>
      </c>
      <c r="H11" s="126"/>
      <c r="I11" s="376" t="str">
        <f>IF(SUM('T4E'!J19:J41)=0,"No","Yes")</f>
        <v>No</v>
      </c>
      <c r="J11" s="127"/>
      <c r="K11" s="375"/>
      <c r="L11" s="126" t="s">
        <v>1542</v>
      </c>
      <c r="M11" s="1080" t="s">
        <v>1631</v>
      </c>
      <c r="N11" s="1079"/>
      <c r="O11" s="129"/>
      <c r="P11" s="1508"/>
    </row>
    <row r="12" spans="2:16" ht="16.5" customHeight="1">
      <c r="B12" s="934" t="s">
        <v>165</v>
      </c>
      <c r="C12" s="126"/>
      <c r="D12" s="376" t="str">
        <f>IF(Sch3!L79=0,"No","Yes")</f>
        <v>No</v>
      </c>
      <c r="E12" s="127"/>
      <c r="F12" s="375"/>
      <c r="G12" s="126"/>
      <c r="H12" s="126"/>
      <c r="I12" s="376"/>
      <c r="J12" s="127"/>
      <c r="K12" s="375"/>
      <c r="L12" s="126" t="s">
        <v>940</v>
      </c>
      <c r="M12" s="1305" t="s">
        <v>1628</v>
      </c>
      <c r="N12" s="1307"/>
      <c r="O12" s="1308"/>
      <c r="P12" s="1508"/>
    </row>
    <row r="13" spans="2:16" ht="16.5" customHeight="1">
      <c r="B13" s="934" t="s">
        <v>1740</v>
      </c>
      <c r="C13" s="126"/>
      <c r="D13" s="376" t="str">
        <f>IF(Sch4!E14+Sch4!E17+Sch4!E22+Sch4!E28=0,"No","Yes")</f>
        <v>No</v>
      </c>
      <c r="E13" s="127"/>
      <c r="F13" s="375"/>
      <c r="G13" s="937" t="s">
        <v>1855</v>
      </c>
      <c r="H13" s="126"/>
      <c r="I13" s="376" t="str">
        <f>IF(SUM('T4PS'!J28:J45)=0,"No","Yes")</f>
        <v>No</v>
      </c>
      <c r="J13" s="127"/>
      <c r="K13" s="375"/>
      <c r="L13" s="126" t="s">
        <v>941</v>
      </c>
      <c r="M13" s="1305" t="s">
        <v>1628</v>
      </c>
      <c r="N13" s="1513"/>
      <c r="O13" s="1514"/>
      <c r="P13" s="1508"/>
    </row>
    <row r="14" spans="2:16" ht="16.5" customHeight="1">
      <c r="B14" s="934" t="s">
        <v>2233</v>
      </c>
      <c r="C14" s="126"/>
      <c r="D14" s="377" t="str">
        <f>D13</f>
        <v>No</v>
      </c>
      <c r="E14" s="127"/>
      <c r="F14" s="375"/>
      <c r="G14" s="937" t="s">
        <v>1541</v>
      </c>
      <c r="H14" s="126"/>
      <c r="I14" s="376" t="str">
        <f>IF(SUM('T4RIF'!J15:J35)&gt;0,"Yes","No")</f>
        <v>No</v>
      </c>
      <c r="J14" s="127"/>
      <c r="K14" s="375"/>
      <c r="L14" s="126" t="s">
        <v>735</v>
      </c>
      <c r="M14" s="1305" t="s">
        <v>1628</v>
      </c>
      <c r="N14" s="1513"/>
      <c r="O14" s="1514"/>
      <c r="P14" s="1508"/>
    </row>
    <row r="15" spans="2:16" ht="16.5" customHeight="1">
      <c r="B15" s="934" t="s">
        <v>2232</v>
      </c>
      <c r="C15" s="126"/>
      <c r="D15" s="376" t="str">
        <f>IF(Sch5!H16+Sch5!H24+Sch5!H31=0,"No","Yes")</f>
        <v>No</v>
      </c>
      <c r="E15" s="127"/>
      <c r="F15" s="375"/>
      <c r="G15" s="937" t="s">
        <v>1856</v>
      </c>
      <c r="H15" s="126"/>
      <c r="I15" s="376" t="str">
        <f>IF(SUM('T4RSP'!J16:J44)&gt;0,"Yes","No")</f>
        <v>No</v>
      </c>
      <c r="J15" s="127"/>
      <c r="K15" s="375"/>
      <c r="L15" s="126" t="s">
        <v>942</v>
      </c>
      <c r="M15" s="1305" t="s">
        <v>1628</v>
      </c>
      <c r="N15" s="1513"/>
      <c r="O15" s="1514"/>
      <c r="P15" s="1508"/>
    </row>
    <row r="16" spans="2:16" ht="16.5" customHeight="1">
      <c r="B16" s="934" t="s">
        <v>1644</v>
      </c>
      <c r="C16" s="126"/>
      <c r="D16" s="376" t="str">
        <f>IF(Sch6!M115=0,"No","Yes")</f>
        <v>No</v>
      </c>
      <c r="E16" s="127"/>
      <c r="F16" s="375"/>
      <c r="G16" s="937" t="s">
        <v>2230</v>
      </c>
      <c r="H16" s="126"/>
      <c r="I16" s="376" t="str">
        <f>IF('T778'!E35=0,"No","Yes")</f>
        <v>No</v>
      </c>
      <c r="J16" s="127"/>
      <c r="K16" s="375"/>
      <c r="L16" s="126" t="s">
        <v>943</v>
      </c>
      <c r="M16" s="1305" t="s">
        <v>1628</v>
      </c>
      <c r="N16" s="1513"/>
      <c r="O16" s="1514"/>
      <c r="P16" s="1508"/>
    </row>
    <row r="17" spans="2:16" ht="16.5" customHeight="1">
      <c r="B17" s="934" t="s">
        <v>1741</v>
      </c>
      <c r="C17" s="126"/>
      <c r="D17" s="376" t="str">
        <f>IF(Sch7!I44=0,"No","Yes")</f>
        <v>No</v>
      </c>
      <c r="E17" s="127"/>
      <c r="F17" s="375"/>
      <c r="G17" s="937" t="s">
        <v>2430</v>
      </c>
      <c r="H17" s="126"/>
      <c r="I17" s="376" t="str">
        <f>IF('T1032E'!N57&gt;0,"Yes","No")</f>
        <v>No</v>
      </c>
      <c r="J17" s="127"/>
      <c r="K17" s="375"/>
      <c r="L17" s="126" t="s">
        <v>1853</v>
      </c>
      <c r="M17" s="1305" t="s">
        <v>1628</v>
      </c>
      <c r="N17" s="1513"/>
      <c r="O17" s="1514"/>
      <c r="P17" s="1508"/>
    </row>
    <row r="18" spans="2:16" ht="16.5" customHeight="1">
      <c r="B18" s="934" t="s">
        <v>417</v>
      </c>
      <c r="C18" s="126"/>
      <c r="D18" s="376" t="str">
        <f>IF(Sch8!I14=0,"No","Yes")</f>
        <v>No</v>
      </c>
      <c r="E18" s="127"/>
      <c r="F18" s="375"/>
      <c r="G18" s="937" t="s">
        <v>204</v>
      </c>
      <c r="H18" s="126"/>
      <c r="I18" s="376" t="str">
        <f>IF('T2204'!I23+'T2204'!I58=0,"No","Yes")</f>
        <v>No</v>
      </c>
      <c r="J18" s="127"/>
      <c r="K18" s="375"/>
      <c r="L18" s="126" t="s">
        <v>1651</v>
      </c>
      <c r="M18" s="1305" t="s">
        <v>1628</v>
      </c>
      <c r="N18" s="1513"/>
      <c r="O18" s="1514"/>
      <c r="P18" s="1508"/>
    </row>
    <row r="19" spans="2:16" ht="16.5" customHeight="1">
      <c r="B19" s="934" t="s">
        <v>1049</v>
      </c>
      <c r="C19" s="126"/>
      <c r="D19" s="376" t="str">
        <f>IF(Sch9!I28=0,"No","Yes")</f>
        <v>No</v>
      </c>
      <c r="E19" s="127"/>
      <c r="F19" s="375"/>
      <c r="G19" s="937" t="s">
        <v>89</v>
      </c>
      <c r="H19" s="126"/>
      <c r="I19" s="376" t="str">
        <f>IF('T2205'!E14&gt;0,"Yes","No")</f>
        <v>No</v>
      </c>
      <c r="J19" s="127"/>
      <c r="K19" s="375"/>
      <c r="L19" s="126" t="s">
        <v>16</v>
      </c>
      <c r="M19" s="1305" t="s">
        <v>1628</v>
      </c>
      <c r="N19" s="1309"/>
      <c r="O19" s="1310"/>
      <c r="P19" s="1508"/>
    </row>
    <row r="20" spans="2:16" ht="16.5" customHeight="1">
      <c r="B20" s="934" t="s">
        <v>2234</v>
      </c>
      <c r="C20" s="126"/>
      <c r="D20" s="596" t="str">
        <f>IF(Sch11!K29=0,"No","Yes")</f>
        <v>No</v>
      </c>
      <c r="E20" s="127"/>
      <c r="F20" s="375"/>
      <c r="G20" s="937" t="s">
        <v>893</v>
      </c>
      <c r="H20" s="126"/>
      <c r="I20" s="376" t="str">
        <f>IF('T2209'!I36&gt;0,"Yes","No")</f>
        <v>No</v>
      </c>
      <c r="J20" s="127"/>
      <c r="K20" s="375"/>
      <c r="L20" s="126"/>
      <c r="M20" s="1305"/>
      <c r="N20" s="1309"/>
      <c r="O20" s="1310"/>
      <c r="P20" s="1508"/>
    </row>
    <row r="21" spans="2:16" ht="16.5" customHeight="1">
      <c r="B21" s="375"/>
      <c r="C21" s="126"/>
      <c r="D21" s="377"/>
      <c r="E21" s="127"/>
      <c r="F21" s="375"/>
      <c r="G21" s="937" t="s">
        <v>1536</v>
      </c>
      <c r="H21" s="126"/>
      <c r="I21" s="376" t="str">
        <f>IF(SUM('T5007'!J17:J19)=0,"No","Yes")</f>
        <v>No</v>
      </c>
      <c r="J21" s="127"/>
      <c r="K21" s="375"/>
      <c r="L21" s="126" t="s">
        <v>2341</v>
      </c>
      <c r="M21" s="1305" t="s">
        <v>1628</v>
      </c>
      <c r="N21" s="1513"/>
      <c r="O21" s="1514"/>
      <c r="P21" s="1508"/>
    </row>
    <row r="22" spans="2:16" ht="16.5" customHeight="1">
      <c r="B22" s="375"/>
      <c r="C22" s="126"/>
      <c r="D22" s="377"/>
      <c r="E22" s="127"/>
      <c r="F22" s="375"/>
      <c r="G22" s="937" t="s">
        <v>1281</v>
      </c>
      <c r="H22" s="126"/>
      <c r="I22" s="376" t="str">
        <f>IF(SUM(MISC!L21:L91)=0,"No","Yes")</f>
        <v>No</v>
      </c>
      <c r="J22" s="127"/>
      <c r="K22" s="375"/>
      <c r="L22" s="126" t="s">
        <v>587</v>
      </c>
      <c r="M22" s="1305" t="s">
        <v>1628</v>
      </c>
      <c r="N22" s="1513"/>
      <c r="O22" s="1514"/>
      <c r="P22" s="1508"/>
    </row>
    <row r="23" spans="2:16" ht="16.5" customHeight="1">
      <c r="B23" s="375"/>
      <c r="C23" s="126"/>
      <c r="D23" s="377"/>
      <c r="E23" s="127"/>
      <c r="F23" s="375"/>
      <c r="G23" s="937" t="s">
        <v>1515</v>
      </c>
      <c r="H23" s="126"/>
      <c r="I23" s="377" t="s">
        <v>2064</v>
      </c>
      <c r="J23" s="127"/>
      <c r="K23" s="375"/>
      <c r="L23" s="126" t="s">
        <v>1852</v>
      </c>
      <c r="M23" s="1305" t="s">
        <v>1628</v>
      </c>
      <c r="N23" s="1513"/>
      <c r="O23" s="1514"/>
      <c r="P23" s="1508"/>
    </row>
    <row r="24" spans="2:16" ht="16.5" customHeight="1">
      <c r="B24" s="375"/>
      <c r="C24" s="126"/>
      <c r="D24" s="377"/>
      <c r="E24" s="127"/>
      <c r="F24" s="375"/>
      <c r="G24" s="937" t="s">
        <v>1791</v>
      </c>
      <c r="H24" s="126"/>
      <c r="I24" s="377" t="s">
        <v>2064</v>
      </c>
      <c r="J24" s="127"/>
      <c r="K24" s="375"/>
      <c r="L24" s="126" t="s">
        <v>300</v>
      </c>
      <c r="M24" s="1305" t="s">
        <v>1628</v>
      </c>
      <c r="N24" s="1513"/>
      <c r="O24" s="1514"/>
      <c r="P24" s="1508"/>
    </row>
    <row r="25" spans="2:16" ht="16.5" customHeight="1">
      <c r="B25" s="375"/>
      <c r="C25" s="126"/>
      <c r="D25" s="377"/>
      <c r="E25" s="127"/>
      <c r="F25" s="375"/>
      <c r="G25" s="937" t="s">
        <v>15</v>
      </c>
      <c r="H25" s="126"/>
      <c r="I25" s="377" t="s">
        <v>2064</v>
      </c>
      <c r="J25" s="127"/>
      <c r="K25" s="375"/>
      <c r="L25" s="126"/>
      <c r="M25" s="1305"/>
      <c r="N25" s="1513"/>
      <c r="O25" s="1514"/>
      <c r="P25" s="1508"/>
    </row>
    <row r="26" spans="2:16" ht="16.5" customHeight="1">
      <c r="B26" s="375"/>
      <c r="C26" s="126"/>
      <c r="D26" s="377"/>
      <c r="E26" s="127"/>
      <c r="F26" s="375"/>
      <c r="G26" s="937" t="s">
        <v>2236</v>
      </c>
      <c r="H26" s="126"/>
      <c r="I26" s="377" t="s">
        <v>2064</v>
      </c>
      <c r="J26" s="127"/>
      <c r="K26" s="375"/>
      <c r="L26" s="126" t="s">
        <v>14</v>
      </c>
      <c r="M26" s="1311" t="s">
        <v>1628</v>
      </c>
      <c r="N26" s="1309"/>
      <c r="O26" s="1310"/>
      <c r="P26" s="1508"/>
    </row>
    <row r="27" spans="2:16" ht="16.5" customHeight="1">
      <c r="B27" s="375"/>
      <c r="C27" s="126"/>
      <c r="D27" s="377"/>
      <c r="E27" s="127"/>
      <c r="F27" s="375"/>
      <c r="G27" s="937" t="s">
        <v>1582</v>
      </c>
      <c r="H27" s="126"/>
      <c r="I27" s="377" t="s">
        <v>2064</v>
      </c>
      <c r="J27" s="127"/>
      <c r="K27" s="375"/>
      <c r="L27" s="126" t="s">
        <v>1282</v>
      </c>
      <c r="M27" s="1080" t="s">
        <v>1631</v>
      </c>
      <c r="N27" s="1079"/>
      <c r="O27" s="1081"/>
      <c r="P27" s="1508"/>
    </row>
    <row r="28" spans="2:16" ht="16.5" customHeight="1">
      <c r="B28" s="375"/>
      <c r="C28" s="126"/>
      <c r="D28" s="377"/>
      <c r="E28" s="127"/>
      <c r="F28" s="375"/>
      <c r="G28" s="126"/>
      <c r="H28" s="126"/>
      <c r="I28" s="126"/>
      <c r="J28" s="127"/>
      <c r="K28" s="375"/>
      <c r="L28" s="1078" t="s">
        <v>1627</v>
      </c>
      <c r="M28" s="1306" t="s">
        <v>1628</v>
      </c>
      <c r="N28" s="1077"/>
      <c r="O28" s="127"/>
      <c r="P28" s="1508"/>
    </row>
    <row r="29" spans="2:18" ht="15">
      <c r="B29" s="1019"/>
      <c r="C29" s="124"/>
      <c r="D29" s="765"/>
      <c r="E29" s="124"/>
      <c r="F29" s="124"/>
      <c r="G29" s="124"/>
      <c r="H29" s="124"/>
      <c r="I29" s="765"/>
      <c r="J29" s="124"/>
      <c r="K29" s="124"/>
      <c r="L29" s="767"/>
      <c r="M29" s="124"/>
      <c r="N29" s="766"/>
      <c r="O29" s="766"/>
      <c r="P29" s="766"/>
      <c r="Q29" s="766"/>
      <c r="R29" s="766"/>
    </row>
    <row r="30" spans="2:18" ht="15" hidden="1">
      <c r="B30" s="934" t="s">
        <v>2227</v>
      </c>
      <c r="C30" s="126"/>
      <c r="D30" s="596" t="e">
        <f>IF(VLOOKUP("WRK",'T1 GEN-2-3-4'!$D$49:$H$52,2,FALSE)&gt;0,"Yes","No")</f>
        <v>#REF!</v>
      </c>
      <c r="E30" s="127"/>
      <c r="F30" s="124"/>
      <c r="G30" s="112" t="s">
        <v>2462</v>
      </c>
      <c r="H30" s="124"/>
      <c r="I30" s="765"/>
      <c r="J30" s="124"/>
      <c r="K30" s="124"/>
      <c r="L30" s="1018"/>
      <c r="M30" s="124"/>
      <c r="N30" s="766"/>
      <c r="O30" s="766"/>
      <c r="P30" s="766"/>
      <c r="Q30" s="766"/>
      <c r="R30" s="766"/>
    </row>
    <row r="31" spans="2:18" ht="15" hidden="1">
      <c r="B31" s="934" t="s">
        <v>660</v>
      </c>
      <c r="C31" s="126"/>
      <c r="D31" s="596" t="str">
        <f>$D$8</f>
        <v>Yes</v>
      </c>
      <c r="E31" s="127"/>
      <c r="F31" s="124"/>
      <c r="G31" s="112" t="s">
        <v>1635</v>
      </c>
      <c r="H31" s="124"/>
      <c r="I31" s="765"/>
      <c r="J31" s="124"/>
      <c r="K31" s="124"/>
      <c r="L31" s="1018"/>
      <c r="M31" s="124"/>
      <c r="N31" s="766"/>
      <c r="O31" s="766"/>
      <c r="P31" s="766"/>
      <c r="Q31" s="766"/>
      <c r="R31" s="766"/>
    </row>
    <row r="32" spans="2:18" ht="15" hidden="1">
      <c r="B32" s="934" t="s">
        <v>1848</v>
      </c>
      <c r="C32" s="126"/>
      <c r="D32" s="597" t="e">
        <f>IF(VLOOKUP("S479",'T1 GEN-2-3-4'!$D$49:$H$52,2,FALSE)&gt;0,"Yes","No")</f>
        <v>#REF!</v>
      </c>
      <c r="E32" s="127"/>
      <c r="F32" s="112"/>
      <c r="G32" s="112" t="s">
        <v>1630</v>
      </c>
      <c r="H32" s="112"/>
      <c r="I32" s="112"/>
      <c r="J32" s="112"/>
      <c r="K32" s="112"/>
      <c r="L32" s="1018"/>
      <c r="M32" s="112"/>
      <c r="N32" s="112"/>
      <c r="O32" s="112"/>
      <c r="P32" s="766"/>
      <c r="Q32" s="766"/>
      <c r="R32" s="766"/>
    </row>
    <row r="33" spans="2:18" ht="15" hidden="1">
      <c r="B33" s="934" t="s">
        <v>2228</v>
      </c>
      <c r="C33" s="126"/>
      <c r="D33" s="597" t="e">
        <f>IF(VLOOKUP("S2",'T1 GEN-2-3-4'!$D$49:$H$52,2,FALSE)&gt;0,"Yes","No")</f>
        <v>#REF!</v>
      </c>
      <c r="E33" s="127"/>
      <c r="F33" s="112"/>
      <c r="G33" s="112" t="s">
        <v>524</v>
      </c>
      <c r="H33" s="112"/>
      <c r="I33" s="112"/>
      <c r="J33" s="112"/>
      <c r="K33" s="112"/>
      <c r="L33" s="1018"/>
      <c r="M33" s="112"/>
      <c r="N33" s="112"/>
      <c r="O33" s="112"/>
      <c r="P33" s="766"/>
      <c r="Q33" s="766"/>
      <c r="R33" s="766"/>
    </row>
    <row r="34" spans="2:18" ht="15" hidden="1">
      <c r="B34" s="934" t="s">
        <v>2229</v>
      </c>
      <c r="C34" s="126"/>
      <c r="D34" s="597" t="e">
        <f>IF(VLOOKUP("S11",'T1 GEN-2-3-4'!$D$49:$H$52,2,FALSE)&gt;0,"Yes","No")</f>
        <v>#REF!</v>
      </c>
      <c r="E34" s="127"/>
      <c r="F34" s="112"/>
      <c r="G34" s="112"/>
      <c r="H34" s="112"/>
      <c r="I34" s="112"/>
      <c r="J34" s="112"/>
      <c r="K34" s="112"/>
      <c r="L34" s="1018"/>
      <c r="M34" s="112"/>
      <c r="N34" s="112"/>
      <c r="O34" s="112"/>
      <c r="P34" s="766"/>
      <c r="Q34" s="766"/>
      <c r="R34" s="766"/>
    </row>
    <row r="35" spans="2:18" ht="15" hidden="1">
      <c r="B35" s="1020"/>
      <c r="C35" s="112"/>
      <c r="D35" s="112"/>
      <c r="E35" s="112"/>
      <c r="F35" s="112"/>
      <c r="G35" s="112"/>
      <c r="H35" s="112"/>
      <c r="I35" s="112"/>
      <c r="J35" s="112"/>
      <c r="K35" s="112"/>
      <c r="L35" s="1018"/>
      <c r="M35" s="112"/>
      <c r="N35" s="112"/>
      <c r="O35" s="112"/>
      <c r="P35" s="766"/>
      <c r="Q35" s="766"/>
      <c r="R35" s="766"/>
    </row>
    <row r="36" spans="2:18" ht="21" customHeight="1">
      <c r="B36" s="934" t="s">
        <v>930</v>
      </c>
      <c r="C36" s="126"/>
      <c r="D36" s="596" t="str">
        <f>IF(VLOOKUP("WRK",'T1 GEN-2-3-4'!$D$49:$H$52,3,FALSE)&gt;0,"Yes","No")</f>
        <v>Yes</v>
      </c>
      <c r="E36" s="127"/>
      <c r="F36" s="112"/>
      <c r="G36" s="112" t="s">
        <v>2462</v>
      </c>
      <c r="H36" s="1434"/>
      <c r="I36" s="1434"/>
      <c r="J36" s="1434"/>
      <c r="K36" s="1434"/>
      <c r="L36" s="1434"/>
      <c r="M36" s="1434"/>
      <c r="N36" s="1434"/>
      <c r="O36" s="1434"/>
      <c r="P36" s="766"/>
      <c r="Q36" s="766"/>
      <c r="R36" s="766"/>
    </row>
    <row r="37" spans="2:18" ht="15">
      <c r="B37" s="934" t="s">
        <v>1680</v>
      </c>
      <c r="C37" s="126"/>
      <c r="D37" s="596" t="str">
        <f>$D$8</f>
        <v>Yes</v>
      </c>
      <c r="E37" s="127"/>
      <c r="F37" s="112"/>
      <c r="G37" s="112" t="s">
        <v>1635</v>
      </c>
      <c r="H37" s="1434"/>
      <c r="I37" s="1434"/>
      <c r="J37" s="1434"/>
      <c r="K37" s="1434"/>
      <c r="L37" s="1434"/>
      <c r="M37" s="1434"/>
      <c r="N37" s="1434"/>
      <c r="O37" s="1434"/>
      <c r="P37" s="766"/>
      <c r="Q37" s="766"/>
      <c r="R37" s="766"/>
    </row>
    <row r="38" spans="2:18" ht="15">
      <c r="B38" s="934" t="s">
        <v>612</v>
      </c>
      <c r="C38" s="126"/>
      <c r="D38" s="597" t="str">
        <f>IF(VLOOKUP("S479",'T1 GEN-2-3-4'!$D$49:$H$52,3,FALSE)&gt;0,"Yes","No")</f>
        <v>Yes</v>
      </c>
      <c r="E38" s="127"/>
      <c r="F38" s="112"/>
      <c r="G38" s="112" t="s">
        <v>1630</v>
      </c>
      <c r="H38" s="1434"/>
      <c r="I38" s="1434"/>
      <c r="J38" s="1434"/>
      <c r="K38" s="1434"/>
      <c r="L38" s="1434"/>
      <c r="M38" s="1434"/>
      <c r="N38" s="1434"/>
      <c r="O38" s="1434"/>
      <c r="P38" s="766"/>
      <c r="Q38" s="766"/>
      <c r="R38" s="766"/>
    </row>
    <row r="39" spans="2:18" ht="15">
      <c r="B39" s="934" t="s">
        <v>931</v>
      </c>
      <c r="C39" s="126"/>
      <c r="D39" s="597" t="str">
        <f>IF(VLOOKUP("S2",'T1 GEN-2-3-4'!$D$49:$H$52,3,FALSE)&gt;0,"Yes","No")</f>
        <v>No</v>
      </c>
      <c r="E39" s="127"/>
      <c r="F39" s="112"/>
      <c r="G39" s="112" t="s">
        <v>524</v>
      </c>
      <c r="H39" s="1434"/>
      <c r="I39" s="1434"/>
      <c r="J39" s="1434"/>
      <c r="K39" s="1434"/>
      <c r="L39" s="1434"/>
      <c r="M39" s="1434"/>
      <c r="N39" s="1434"/>
      <c r="O39" s="1434"/>
      <c r="P39" s="766"/>
      <c r="Q39" s="766"/>
      <c r="R39" s="766"/>
    </row>
    <row r="40" spans="2:18" ht="15">
      <c r="B40" s="934" t="s">
        <v>932</v>
      </c>
      <c r="C40" s="126"/>
      <c r="D40" s="597" t="str">
        <f>IF(VLOOKUP("S11",'T1 GEN-2-3-4'!$D$49:$H$52,3,FALSE)&gt;0,"Yes","No")</f>
        <v>No</v>
      </c>
      <c r="E40" s="127"/>
      <c r="F40" s="112"/>
      <c r="G40" s="1434"/>
      <c r="H40" s="1434"/>
      <c r="I40" s="1434"/>
      <c r="J40" s="1434"/>
      <c r="K40" s="1434"/>
      <c r="L40" s="1434"/>
      <c r="M40" s="1434"/>
      <c r="N40" s="1434"/>
      <c r="O40" s="1434"/>
      <c r="P40" s="766"/>
      <c r="Q40" s="766"/>
      <c r="R40" s="766"/>
    </row>
    <row r="41" spans="2:18" ht="15">
      <c r="B41" s="112"/>
      <c r="C41" s="112"/>
      <c r="D41" s="112"/>
      <c r="E41" s="112"/>
      <c r="F41" s="112"/>
      <c r="G41" s="1434"/>
      <c r="H41" s="1434"/>
      <c r="I41" s="1434"/>
      <c r="J41" s="1434"/>
      <c r="K41" s="1434"/>
      <c r="L41" s="1434"/>
      <c r="M41" s="1434"/>
      <c r="N41" s="1434"/>
      <c r="O41" s="1434"/>
      <c r="P41" s="766"/>
      <c r="Q41" s="766"/>
      <c r="R41" s="766"/>
    </row>
    <row r="42" spans="2:18" ht="15" hidden="1">
      <c r="B42" s="934" t="s">
        <v>1604</v>
      </c>
      <c r="C42" s="126"/>
      <c r="D42" s="596" t="e">
        <f>IF(VLOOKUP("WRK",'T1 GEN-2-3-4'!$D$49:$I$52,6,FALSE)&gt;0,"Yes","No")</f>
        <v>#REF!</v>
      </c>
      <c r="E42" s="127"/>
      <c r="F42" s="112"/>
      <c r="G42" s="112" t="s">
        <v>2462</v>
      </c>
      <c r="H42" s="1434"/>
      <c r="I42" s="1434"/>
      <c r="J42" s="1434"/>
      <c r="K42" s="1434"/>
      <c r="L42" s="1434"/>
      <c r="M42" s="1434"/>
      <c r="N42" s="1434"/>
      <c r="O42" s="1434"/>
      <c r="P42" s="766"/>
      <c r="Q42" s="766"/>
      <c r="R42" s="766"/>
    </row>
    <row r="43" spans="2:18" ht="15" hidden="1">
      <c r="B43" s="934" t="s">
        <v>670</v>
      </c>
      <c r="C43" s="126"/>
      <c r="D43" s="596" t="str">
        <f>$D$8</f>
        <v>Yes</v>
      </c>
      <c r="E43" s="127"/>
      <c r="F43" s="112"/>
      <c r="G43" s="112" t="s">
        <v>1635</v>
      </c>
      <c r="H43" s="1434"/>
      <c r="I43" s="1434"/>
      <c r="J43" s="1434"/>
      <c r="K43" s="1434"/>
      <c r="L43" s="1434"/>
      <c r="M43" s="1434"/>
      <c r="N43" s="1434"/>
      <c r="O43" s="1434"/>
      <c r="P43" s="766"/>
      <c r="Q43" s="766"/>
      <c r="R43" s="766"/>
    </row>
    <row r="44" spans="2:18" ht="15" hidden="1">
      <c r="B44" s="934" t="s">
        <v>669</v>
      </c>
      <c r="C44" s="126"/>
      <c r="D44" s="597" t="e">
        <f>IF(VLOOKUP("S479",'T1 GEN-2-3-4'!$D$49:$I$52,6,FALSE)&gt;0,"Yes","No")</f>
        <v>#REF!</v>
      </c>
      <c r="E44" s="127"/>
      <c r="F44" s="112"/>
      <c r="G44" s="112" t="s">
        <v>1630</v>
      </c>
      <c r="H44" s="1434"/>
      <c r="I44" s="1434"/>
      <c r="J44" s="1434"/>
      <c r="K44" s="1434"/>
      <c r="L44" s="1434"/>
      <c r="M44" s="1434"/>
      <c r="N44" s="1434"/>
      <c r="O44" s="1434"/>
      <c r="P44" s="766"/>
      <c r="Q44" s="766"/>
      <c r="R44" s="766"/>
    </row>
    <row r="45" spans="2:18" ht="15" hidden="1">
      <c r="B45" s="934" t="s">
        <v>1602</v>
      </c>
      <c r="C45" s="126"/>
      <c r="D45" s="597" t="e">
        <f>IF(VLOOKUP("S2",'T1 GEN-2-3-4'!$D$49:$I$52,6,FALSE)&gt;0,"Yes","No")</f>
        <v>#REF!</v>
      </c>
      <c r="E45" s="127"/>
      <c r="F45" s="112"/>
      <c r="G45" s="112" t="s">
        <v>524</v>
      </c>
      <c r="H45" s="1434"/>
      <c r="I45" s="1434"/>
      <c r="J45" s="1434"/>
      <c r="K45" s="1434"/>
      <c r="L45" s="1434"/>
      <c r="M45" s="1434"/>
      <c r="N45" s="1434"/>
      <c r="O45" s="1434"/>
      <c r="P45" s="766"/>
      <c r="Q45" s="766"/>
      <c r="R45" s="766"/>
    </row>
    <row r="46" spans="2:18" ht="15" hidden="1">
      <c r="B46" s="934" t="s">
        <v>1603</v>
      </c>
      <c r="C46" s="126"/>
      <c r="D46" s="597" t="e">
        <f>IF(VLOOKUP("S11",'T1 GEN-2-3-4'!$D$49:$I$52,6,FALSE)&gt;0,"Yes","No")</f>
        <v>#REF!</v>
      </c>
      <c r="E46" s="127"/>
      <c r="F46" s="112"/>
      <c r="G46" s="1434"/>
      <c r="H46" s="1434"/>
      <c r="I46" s="1434"/>
      <c r="J46" s="1434"/>
      <c r="K46" s="1434"/>
      <c r="L46" s="1434"/>
      <c r="M46" s="1434"/>
      <c r="N46" s="1434"/>
      <c r="O46" s="1434"/>
      <c r="P46" s="766"/>
      <c r="Q46" s="766"/>
      <c r="R46" s="766"/>
    </row>
    <row r="47" spans="2:18" ht="15" hidden="1">
      <c r="B47" s="1434"/>
      <c r="C47" s="124"/>
      <c r="D47" s="1435"/>
      <c r="E47" s="124"/>
      <c r="F47" s="112"/>
      <c r="G47" s="1434"/>
      <c r="H47" s="1434"/>
      <c r="I47" s="1434"/>
      <c r="J47" s="1434"/>
      <c r="K47" s="1434"/>
      <c r="L47" s="1434"/>
      <c r="M47" s="1434"/>
      <c r="N47" s="1434"/>
      <c r="O47" s="1434"/>
      <c r="P47" s="766"/>
      <c r="Q47" s="766"/>
      <c r="R47" s="766"/>
    </row>
    <row r="48" spans="2:18" ht="15" hidden="1">
      <c r="B48" s="934" t="s">
        <v>933</v>
      </c>
      <c r="C48" s="126"/>
      <c r="D48" s="596" t="e">
        <f>IF(VLOOKUP("WRK",'T1 GEN-2-3-4'!$D$49:$H$52,4,FALSE)&gt;0,"Yes","No")</f>
        <v>#REF!</v>
      </c>
      <c r="E48" s="127"/>
      <c r="F48" s="112"/>
      <c r="G48" s="112" t="s">
        <v>2462</v>
      </c>
      <c r="H48" s="1434"/>
      <c r="I48" s="1434"/>
      <c r="J48" s="1434"/>
      <c r="K48" s="1434"/>
      <c r="L48" s="1434"/>
      <c r="M48" s="1434"/>
      <c r="N48" s="1434"/>
      <c r="O48" s="1434"/>
      <c r="P48" s="766"/>
      <c r="Q48" s="766"/>
      <c r="R48" s="766"/>
    </row>
    <row r="49" spans="2:18" ht="15" hidden="1">
      <c r="B49" s="934" t="s">
        <v>771</v>
      </c>
      <c r="C49" s="126"/>
      <c r="D49" s="596" t="str">
        <f>$D$8</f>
        <v>Yes</v>
      </c>
      <c r="E49" s="127"/>
      <c r="F49" s="112"/>
      <c r="G49" s="112" t="s">
        <v>1635</v>
      </c>
      <c r="H49" s="124"/>
      <c r="I49" s="1435"/>
      <c r="J49" s="124"/>
      <c r="K49" s="112"/>
      <c r="L49" s="1434"/>
      <c r="M49" s="124"/>
      <c r="N49" s="1435"/>
      <c r="O49" s="124"/>
      <c r="P49" s="766"/>
      <c r="Q49" s="766"/>
      <c r="R49" s="766"/>
    </row>
    <row r="50" spans="2:18" ht="15" hidden="1">
      <c r="B50" s="934" t="s">
        <v>1652</v>
      </c>
      <c r="C50" s="126"/>
      <c r="D50" s="597" t="str">
        <f>IF(VLOOKUP("S479",'T1 GEN-2-3-4'!$D$49:$H$52,4,FALSE)&gt;0,"Yes","No")</f>
        <v>No</v>
      </c>
      <c r="E50" s="127"/>
      <c r="F50" s="112"/>
      <c r="G50" s="112" t="s">
        <v>1630</v>
      </c>
      <c r="H50" s="124"/>
      <c r="I50" s="1435"/>
      <c r="J50" s="124"/>
      <c r="K50" s="112"/>
      <c r="L50" s="1434"/>
      <c r="M50" s="124"/>
      <c r="N50" s="1435"/>
      <c r="O50" s="124"/>
      <c r="P50" s="766"/>
      <c r="Q50" s="766"/>
      <c r="R50" s="766"/>
    </row>
    <row r="51" spans="2:18" ht="15" hidden="1">
      <c r="B51" s="934" t="s">
        <v>934</v>
      </c>
      <c r="C51" s="126"/>
      <c r="D51" s="597" t="e">
        <f>IF(VLOOKUP("S2",'T1 GEN-2-3-4'!$D$49:$H$52,4,FALSE)&gt;0,"Yes","No")</f>
        <v>#REF!</v>
      </c>
      <c r="E51" s="127"/>
      <c r="F51" s="112"/>
      <c r="G51" s="112" t="s">
        <v>524</v>
      </c>
      <c r="H51" s="124"/>
      <c r="I51" s="1435"/>
      <c r="J51" s="124"/>
      <c r="K51" s="112"/>
      <c r="L51" s="1434"/>
      <c r="M51" s="124"/>
      <c r="N51" s="1435"/>
      <c r="O51" s="124"/>
      <c r="P51" s="766"/>
      <c r="Q51" s="766"/>
      <c r="R51" s="766"/>
    </row>
    <row r="52" spans="2:18" ht="15" hidden="1">
      <c r="B52" s="934" t="s">
        <v>935</v>
      </c>
      <c r="C52" s="126"/>
      <c r="D52" s="597" t="e">
        <f>IF(VLOOKUP("S11",'T1 GEN-2-3-4'!$D$49:$H$52,4,FALSE)&gt;0,"Yes","No")</f>
        <v>#REF!</v>
      </c>
      <c r="E52" s="127"/>
      <c r="F52" s="112"/>
      <c r="G52" s="1434"/>
      <c r="H52" s="124"/>
      <c r="I52" s="1435"/>
      <c r="J52" s="124"/>
      <c r="K52" s="112"/>
      <c r="L52" s="1434"/>
      <c r="M52" s="124"/>
      <c r="N52" s="1435"/>
      <c r="O52" s="124"/>
      <c r="P52" s="766"/>
      <c r="Q52" s="766"/>
      <c r="R52" s="766"/>
    </row>
    <row r="53" spans="2:18" ht="15" hidden="1">
      <c r="B53" s="1434"/>
      <c r="C53" s="124"/>
      <c r="D53" s="1435"/>
      <c r="E53" s="124"/>
      <c r="F53" s="112"/>
      <c r="G53" s="1434"/>
      <c r="H53" s="124"/>
      <c r="I53" s="1435"/>
      <c r="J53" s="124"/>
      <c r="K53" s="112"/>
      <c r="L53" s="1434"/>
      <c r="M53" s="124"/>
      <c r="N53" s="1435"/>
      <c r="O53" s="124"/>
      <c r="P53" s="766"/>
      <c r="Q53" s="766"/>
      <c r="R53" s="766"/>
    </row>
    <row r="54" spans="2:18" ht="15" hidden="1">
      <c r="B54" s="934" t="s">
        <v>936</v>
      </c>
      <c r="C54" s="126"/>
      <c r="D54" s="596" t="e">
        <f>IF(VLOOKUP("WRK",'T1 GEN-2-3-4'!$D$49:$H$52,5,FALSE)&gt;0,"Yes","No")</f>
        <v>#REF!</v>
      </c>
      <c r="E54" s="127"/>
      <c r="F54" s="112"/>
      <c r="G54" s="112" t="s">
        <v>2462</v>
      </c>
      <c r="H54" s="124"/>
      <c r="I54" s="1435"/>
      <c r="J54" s="124"/>
      <c r="K54" s="112"/>
      <c r="L54" s="1434"/>
      <c r="M54" s="124"/>
      <c r="N54" s="1435"/>
      <c r="O54" s="124"/>
      <c r="P54" s="766"/>
      <c r="Q54" s="766"/>
      <c r="R54" s="766"/>
    </row>
    <row r="55" spans="2:18" ht="15" hidden="1">
      <c r="B55" s="934" t="s">
        <v>2517</v>
      </c>
      <c r="C55" s="126"/>
      <c r="D55" s="596" t="str">
        <f>$D$8</f>
        <v>Yes</v>
      </c>
      <c r="E55" s="127"/>
      <c r="F55" s="112"/>
      <c r="G55" s="112" t="s">
        <v>1635</v>
      </c>
      <c r="H55" s="124"/>
      <c r="I55" s="1435"/>
      <c r="J55" s="124"/>
      <c r="K55" s="112"/>
      <c r="L55" s="1434"/>
      <c r="M55" s="124"/>
      <c r="N55" s="1435"/>
      <c r="O55" s="124"/>
      <c r="P55" s="766"/>
      <c r="Q55" s="766"/>
      <c r="R55" s="766"/>
    </row>
    <row r="56" spans="2:18" ht="15" hidden="1">
      <c r="B56" s="934" t="s">
        <v>87</v>
      </c>
      <c r="C56" s="126"/>
      <c r="D56" s="597" t="e">
        <f>IF(VLOOKUP("S479",'T1 GEN-2-3-4'!$D$49:$H$52,5,FALSE)&gt;0,"Yes","No")</f>
        <v>#REF!</v>
      </c>
      <c r="E56" s="127"/>
      <c r="F56" s="112"/>
      <c r="G56" s="112" t="s">
        <v>1630</v>
      </c>
      <c r="H56" s="124"/>
      <c r="I56" s="1435"/>
      <c r="J56" s="124"/>
      <c r="K56" s="112"/>
      <c r="L56" s="1434"/>
      <c r="M56" s="124"/>
      <c r="N56" s="1435"/>
      <c r="O56" s="124"/>
      <c r="P56" s="766"/>
      <c r="Q56" s="766"/>
      <c r="R56" s="766"/>
    </row>
    <row r="57" spans="2:18" ht="15" hidden="1">
      <c r="B57" s="934" t="s">
        <v>937</v>
      </c>
      <c r="C57" s="126"/>
      <c r="D57" s="597" t="e">
        <f>IF(VLOOKUP("S2",'T1 GEN-2-3-4'!$D$49:$H$52,5,FALSE)&gt;0,"Yes","No")</f>
        <v>#REF!</v>
      </c>
      <c r="E57" s="127"/>
      <c r="F57" s="112"/>
      <c r="G57" s="112" t="s">
        <v>524</v>
      </c>
      <c r="H57" s="124"/>
      <c r="I57" s="1435"/>
      <c r="J57" s="124"/>
      <c r="K57" s="112"/>
      <c r="L57" s="1434"/>
      <c r="M57" s="124"/>
      <c r="N57" s="1435"/>
      <c r="O57" s="124"/>
      <c r="P57" s="766"/>
      <c r="Q57" s="766"/>
      <c r="R57" s="766"/>
    </row>
    <row r="58" spans="2:18" ht="15" hidden="1">
      <c r="B58" s="934" t="s">
        <v>938</v>
      </c>
      <c r="C58" s="126"/>
      <c r="D58" s="597" t="e">
        <f>IF(VLOOKUP("S11",'T1 GEN-2-3-4'!$D$49:$H$52,5,FALSE)&gt;0,"Yes","No")</f>
        <v>#REF!</v>
      </c>
      <c r="E58" s="127"/>
      <c r="F58" s="112"/>
      <c r="G58" s="1434"/>
      <c r="H58" s="124"/>
      <c r="I58" s="1435"/>
      <c r="J58" s="124"/>
      <c r="K58" s="112"/>
      <c r="L58" s="1434"/>
      <c r="M58" s="124"/>
      <c r="N58" s="1435"/>
      <c r="O58" s="124"/>
      <c r="P58" s="766"/>
      <c r="Q58" s="766"/>
      <c r="R58" s="766"/>
    </row>
    <row r="59" spans="2:18" ht="15" hidden="1">
      <c r="B59" s="1434"/>
      <c r="C59" s="124"/>
      <c r="D59" s="1435"/>
      <c r="E59" s="124"/>
      <c r="F59" s="112"/>
      <c r="G59" s="1434"/>
      <c r="H59" s="124"/>
      <c r="I59" s="1435"/>
      <c r="J59" s="124"/>
      <c r="K59" s="112"/>
      <c r="L59" s="1434"/>
      <c r="M59" s="124"/>
      <c r="N59" s="1435"/>
      <c r="O59" s="124"/>
      <c r="P59" s="766"/>
      <c r="Q59" s="766"/>
      <c r="R59" s="766"/>
    </row>
    <row r="60" spans="2:18" ht="15" hidden="1">
      <c r="B60" s="934" t="s">
        <v>1690</v>
      </c>
      <c r="C60" s="126"/>
      <c r="D60" s="596" t="e">
        <f>IF(VLOOKUP("WRK",'T1 GEN-2-3-4'!$D$49:$J$52,7,FALSE)&gt;0,"Yes","No")</f>
        <v>#REF!</v>
      </c>
      <c r="E60" s="127"/>
      <c r="F60" s="112"/>
      <c r="G60" s="112" t="s">
        <v>2462</v>
      </c>
      <c r="H60" s="124"/>
      <c r="I60" s="1435"/>
      <c r="J60" s="124"/>
      <c r="K60" s="112"/>
      <c r="L60" s="1434"/>
      <c r="M60" s="124"/>
      <c r="N60" s="1435"/>
      <c r="O60" s="124"/>
      <c r="P60" s="766"/>
      <c r="Q60" s="766"/>
      <c r="R60" s="766"/>
    </row>
    <row r="61" spans="2:18" ht="15" hidden="1">
      <c r="B61" s="934" t="s">
        <v>1034</v>
      </c>
      <c r="C61" s="126"/>
      <c r="D61" s="596" t="str">
        <f>$D$8</f>
        <v>Yes</v>
      </c>
      <c r="E61" s="127"/>
      <c r="F61" s="112"/>
      <c r="G61" s="112" t="s">
        <v>1635</v>
      </c>
      <c r="H61" s="124"/>
      <c r="I61" s="1435"/>
      <c r="J61" s="124"/>
      <c r="K61" s="112"/>
      <c r="L61" s="1434"/>
      <c r="M61" s="124"/>
      <c r="N61" s="1435"/>
      <c r="O61" s="124"/>
      <c r="P61" s="766"/>
      <c r="Q61" s="766"/>
      <c r="R61" s="766"/>
    </row>
    <row r="62" spans="2:18" ht="15" hidden="1">
      <c r="B62" s="934" t="s">
        <v>251</v>
      </c>
      <c r="C62" s="126"/>
      <c r="D62" s="597" t="e">
        <f>IF(VLOOKUP("S479",'T1 GEN-2-3-4'!$D$49:$J$52,7,FALSE)&gt;0,"Yes","No")</f>
        <v>#REF!</v>
      </c>
      <c r="E62" s="127"/>
      <c r="F62" s="112"/>
      <c r="G62" s="112" t="s">
        <v>1630</v>
      </c>
      <c r="H62" s="124"/>
      <c r="I62" s="1435"/>
      <c r="J62" s="124"/>
      <c r="K62" s="112"/>
      <c r="L62" s="1434"/>
      <c r="M62" s="124"/>
      <c r="N62" s="1435"/>
      <c r="O62" s="124"/>
      <c r="P62" s="766"/>
      <c r="Q62" s="766"/>
      <c r="R62" s="766"/>
    </row>
    <row r="63" spans="2:18" ht="15" hidden="1">
      <c r="B63" s="934" t="s">
        <v>1691</v>
      </c>
      <c r="C63" s="126"/>
      <c r="D63" s="597" t="e">
        <f>IF(VLOOKUP("S2",'T1 GEN-2-3-4'!$D$49:$J$52,7,FALSE)&gt;0,"Yes","No")</f>
        <v>#REF!</v>
      </c>
      <c r="E63" s="127"/>
      <c r="F63" s="112"/>
      <c r="G63" s="112" t="s">
        <v>524</v>
      </c>
      <c r="H63" s="124"/>
      <c r="I63" s="1435"/>
      <c r="J63" s="124"/>
      <c r="K63" s="112"/>
      <c r="L63" s="1434"/>
      <c r="M63" s="124"/>
      <c r="N63" s="1435"/>
      <c r="O63" s="124"/>
      <c r="P63" s="766"/>
      <c r="Q63" s="766"/>
      <c r="R63" s="766"/>
    </row>
    <row r="64" spans="2:18" ht="15" hidden="1">
      <c r="B64" s="934" t="s">
        <v>1692</v>
      </c>
      <c r="C64" s="126"/>
      <c r="D64" s="597" t="e">
        <f>IF(VLOOKUP("S11",'T1 GEN-2-3-4'!$D$49:$J$52,7,FALSE)&gt;0,"Yes","No")</f>
        <v>#REF!</v>
      </c>
      <c r="E64" s="127"/>
      <c r="F64" s="112"/>
      <c r="G64" s="1434"/>
      <c r="H64" s="124"/>
      <c r="I64" s="1435"/>
      <c r="J64" s="124"/>
      <c r="K64" s="112"/>
      <c r="L64" s="1434"/>
      <c r="M64" s="124"/>
      <c r="N64" s="1435"/>
      <c r="O64" s="124"/>
      <c r="P64" s="766"/>
      <c r="Q64" s="766"/>
      <c r="R64" s="766"/>
    </row>
    <row r="65" spans="2:18" ht="15">
      <c r="B65" s="112"/>
      <c r="C65" s="112"/>
      <c r="D65" s="112"/>
      <c r="E65" s="112"/>
      <c r="F65" s="112"/>
      <c r="G65" s="112"/>
      <c r="H65" s="112"/>
      <c r="I65" s="112"/>
      <c r="J65" s="112"/>
      <c r="K65" s="112"/>
      <c r="L65" s="112"/>
      <c r="M65" s="112"/>
      <c r="N65" s="112"/>
      <c r="O65" s="112"/>
      <c r="P65" s="766"/>
      <c r="Q65" s="766"/>
      <c r="R65" s="766"/>
    </row>
  </sheetData>
  <sheetProtection password="EC35" sheet="1" objects="1" scenarios="1"/>
  <mergeCells count="16">
    <mergeCell ref="P1:P28"/>
    <mergeCell ref="M6:O6"/>
    <mergeCell ref="N13:O13"/>
    <mergeCell ref="N14:O14"/>
    <mergeCell ref="N15:O15"/>
    <mergeCell ref="N16:O16"/>
    <mergeCell ref="N17:O17"/>
    <mergeCell ref="N8:O8"/>
    <mergeCell ref="N7:O7"/>
    <mergeCell ref="N24:O24"/>
    <mergeCell ref="N25:O25"/>
    <mergeCell ref="N9:O9"/>
    <mergeCell ref="N18:O18"/>
    <mergeCell ref="N21:O21"/>
    <mergeCell ref="N22:O22"/>
    <mergeCell ref="N23:O23"/>
  </mergeCells>
  <hyperlinks>
    <hyperlink ref="B7" location="'T1 GEN-1'!D11" display="T1 GEN-1"/>
    <hyperlink ref="B8" location="'T1 GEN-2-3-4'!B4" display="T1 GEN-2-3-4"/>
    <hyperlink ref="B9" location="'FED WRK'!B8" display="FED WRK"/>
    <hyperlink ref="B10" location="Sch1!B1" display="Sch1"/>
    <hyperlink ref="G18" location="'T2204'!I17" display="T2204"/>
    <hyperlink ref="B11" location="Sch2!I12" display="Sch2"/>
    <hyperlink ref="B12" location="Sch3!B13" display="Sch3"/>
    <hyperlink ref="B13" location="Sch4!B8" display="Sch4"/>
    <hyperlink ref="B14" location="'Sch4-2'!B12" display="Sch4-2"/>
    <hyperlink ref="B15" location="Sch5!D10" display="Sch5"/>
    <hyperlink ref="B17" location="Sch7!E13" display="Sch7"/>
    <hyperlink ref="B18" location="Sch8!I13" display="Sch8"/>
    <hyperlink ref="B19" location="Sch9!G6" display="Sch9"/>
    <hyperlink ref="B20" location="Sch11!I13" display="Sch11"/>
    <hyperlink ref="G23" location="QUAL!E10" display="QUAL"/>
    <hyperlink ref="G24" location="README!A1" display="README"/>
    <hyperlink ref="G26" location="'GO TO'!P1" display="GO TO"/>
    <hyperlink ref="G27" location="HELP!A1" display="HELP"/>
    <hyperlink ref="G22" location="MISC!E21" display="MISC"/>
    <hyperlink ref="P1:P28" location="'GO TO'!G26" display=" "/>
    <hyperlink ref="G13" location="T4PS!E17" display="T4PS"/>
    <hyperlink ref="G19" location="'T2205'!B9" display="T2205"/>
    <hyperlink ref="G21" location="'T5007'!E17" display="T5007"/>
    <hyperlink ref="G7" location="'T4'!E14" display="T4"/>
    <hyperlink ref="G8" location="T4A!E15" display="T4A"/>
    <hyperlink ref="G16" location="'T778'!B18" display="T778"/>
    <hyperlink ref="G11" location="T4E!E17" display="T4E"/>
    <hyperlink ref="G9" location="'T4A(OAS)'!E17" display="T4A(OAS)"/>
    <hyperlink ref="G14" location="T4RIF!E15" display="T4RIF"/>
    <hyperlink ref="G15" location="T4RSP!E16" display="T4RSP"/>
    <hyperlink ref="G10" location="'T4A(P)'!E17" display="T4A(P)"/>
    <hyperlink ref="B39" location="'BC(S2)'!J16" display="BC(S2)"/>
    <hyperlink ref="B40" location="'BC(S11)'!I15" display="BC(S11)"/>
    <hyperlink ref="B38" location="'BC479'!I14" display="BC479"/>
    <hyperlink ref="B37" location="'BC428'!B6" display="BC428"/>
    <hyperlink ref="B36" location="'BC WRK'!A8" display="BC WRK"/>
    <hyperlink ref="B54" location="'NS WRK'!A7" display="NS WRK"/>
    <hyperlink ref="B55" location="NS428!B8" display="NS428"/>
    <hyperlink ref="B56" location="NS479!A7" display="NS479"/>
    <hyperlink ref="B57" location="'NS(S2)'!B7" display="NS(S2)"/>
    <hyperlink ref="B58" location="'NS(S11)'!A8" display="NS(S11)"/>
    <hyperlink ref="B48" location="'AB WRK'!A1" display="AB WRK"/>
    <hyperlink ref="B49" location="'AB428'!A1" display="AB428"/>
    <hyperlink ref="B50" location="'AB479'!A1" display="AB479"/>
    <hyperlink ref="B51" location="'AB(S2)'!A1" display="AB(S2)"/>
    <hyperlink ref="B52" location="'AB(S11)'!A1" display="AB(S11)"/>
    <hyperlink ref="B42" location="'MB WRK'!A1" display="MB WRK"/>
    <hyperlink ref="B43" location="MB428!A1" display="MB428"/>
    <hyperlink ref="B44" location="MB479!A1" display="MB479"/>
    <hyperlink ref="B45" location="'MB(S2)'!A1" display="MB(S2)"/>
    <hyperlink ref="B46" location="'MB(S11)'!A1" display="MB(S11)"/>
    <hyperlink ref="B60" location="'PE WRK'!A1" display="PE WRK"/>
    <hyperlink ref="B61" location="PE428!A1" display="PE428"/>
    <hyperlink ref="B62" location="PE479!A1" display="PE479"/>
    <hyperlink ref="B63" location="'PE(S2)'!A1" display="PE(S2)"/>
    <hyperlink ref="B64" location="'PE(S11)'!A1" display="PE(S11)"/>
    <hyperlink ref="B33" location="'ON(S2)'!J16" display="ON(S2)"/>
    <hyperlink ref="B34" location="'ON(S11)'!I15" display="ON(S11)"/>
    <hyperlink ref="B31" location="ON428!F27" display="ON428"/>
    <hyperlink ref="B32" location="ON479!G15" display="ON479"/>
    <hyperlink ref="B30" location="'ON WRK'!I20" display="ON WRK"/>
    <hyperlink ref="M9" r:id="rId1" display="PDF"/>
    <hyperlink ref="M28" r:id="rId2" display="PDF"/>
    <hyperlink ref="M7" r:id="rId3" display="PDF"/>
    <hyperlink ref="M8" r:id="rId4" display="PDF"/>
    <hyperlink ref="M12" r:id="rId5" display="PDF"/>
    <hyperlink ref="M13" r:id="rId6" display="PDF"/>
    <hyperlink ref="M14" r:id="rId7" display="PDF"/>
    <hyperlink ref="M15" r:id="rId8" display="PDF"/>
    <hyperlink ref="M16" r:id="rId9" display="PDF"/>
    <hyperlink ref="M17" r:id="rId10" display="PDF"/>
    <hyperlink ref="M18" r:id="rId11" display="PDF"/>
    <hyperlink ref="M21" r:id="rId12" display="PDF"/>
    <hyperlink ref="M22" r:id="rId13" display="PDF"/>
    <hyperlink ref="M23" r:id="rId14" display="PDF"/>
    <hyperlink ref="M24" r:id="rId15" display="PDF"/>
    <hyperlink ref="G25" location="'What''s New'!A2" display="WHAT'S NEW"/>
    <hyperlink ref="M26" r:id="rId16" display="PDF"/>
    <hyperlink ref="M19" r:id="rId17" display="PDF"/>
    <hyperlink ref="G17" location="T1032E!A1" display="T1032 E"/>
    <hyperlink ref="B16" location="Sch6!A1" display="Sch6"/>
    <hyperlink ref="G20" location="'T2209'!A1" display="T2209"/>
  </hyperlinks>
  <printOptions horizontalCentered="1" verticalCentered="1"/>
  <pageMargins left="0.5" right="0.5" top="1" bottom="0.5" header="0.5" footer="0.5"/>
  <pageSetup fitToHeight="0" fitToWidth="1" horizontalDpi="600" verticalDpi="600" orientation="landscape" r:id="rId18"/>
</worksheet>
</file>

<file path=xl/worksheets/sheet40.xml><?xml version="1.0" encoding="utf-8"?>
<worksheet xmlns="http://schemas.openxmlformats.org/spreadsheetml/2006/main" xmlns:r="http://schemas.openxmlformats.org/officeDocument/2006/relationships">
  <sheetPr codeName="Sheet211111121">
    <pageSetUpPr fitToPage="1"/>
  </sheetPr>
  <dimension ref="B1:L50"/>
  <sheetViews>
    <sheetView showGridLines="0" zoomScale="65" zoomScaleNormal="65" workbookViewId="0" topLeftCell="A1">
      <selection activeCell="C2" sqref="C2"/>
    </sheetView>
  </sheetViews>
  <sheetFormatPr defaultColWidth="8.88671875" defaultRowHeight="15"/>
  <cols>
    <col min="1" max="1" width="1.77734375" style="669" customWidth="1"/>
    <col min="2" max="2" width="8.3359375" style="669" customWidth="1"/>
    <col min="3" max="3" width="38.88671875" style="669" customWidth="1"/>
    <col min="4" max="4" width="7.99609375" style="669" customWidth="1"/>
    <col min="5" max="10" width="12.21484375" style="669" customWidth="1"/>
    <col min="11" max="11" width="1.88671875" style="669" customWidth="1"/>
    <col min="12" max="16384" width="8.88671875" style="669" customWidth="1"/>
  </cols>
  <sheetData>
    <row r="1" spans="2:12" ht="18">
      <c r="B1" s="35"/>
      <c r="C1" s="33" t="str">
        <f>"T5007-"&amp;yeartext&amp;" SLIPS DATA ENTRY FORM"</f>
        <v>T5007-2007 SLIPS DATA ENTRY FORM</v>
      </c>
      <c r="D1" s="33"/>
      <c r="E1" s="339" t="s">
        <v>1428</v>
      </c>
      <c r="F1" s="35"/>
      <c r="G1" s="35"/>
      <c r="H1" s="36"/>
      <c r="I1" s="35"/>
      <c r="J1" s="36" t="str">
        <f>yeartext</f>
        <v>2007</v>
      </c>
      <c r="K1" s="668"/>
      <c r="L1" s="1671" t="s">
        <v>1659</v>
      </c>
    </row>
    <row r="2" spans="2:12" ht="15.75">
      <c r="B2" s="35"/>
      <c r="C2" s="35"/>
      <c r="D2" s="37"/>
      <c r="E2" s="668"/>
      <c r="F2" s="35"/>
      <c r="G2" s="35"/>
      <c r="H2" s="35"/>
      <c r="I2" s="35"/>
      <c r="J2" s="35"/>
      <c r="K2" s="668"/>
      <c r="L2" s="1671"/>
    </row>
    <row r="3" spans="2:12" ht="18">
      <c r="B3" s="38"/>
      <c r="C3" s="38" t="s">
        <v>175</v>
      </c>
      <c r="D3" s="35"/>
      <c r="E3" s="37"/>
      <c r="F3" s="35"/>
      <c r="G3" s="35"/>
      <c r="H3" s="35"/>
      <c r="I3" s="35"/>
      <c r="J3" s="35"/>
      <c r="K3" s="668"/>
      <c r="L3" s="1671"/>
    </row>
    <row r="4" spans="2:12" ht="18">
      <c r="B4" s="38"/>
      <c r="C4" s="38" t="s">
        <v>176</v>
      </c>
      <c r="D4" s="35"/>
      <c r="E4" s="37"/>
      <c r="F4" s="35"/>
      <c r="G4" s="35"/>
      <c r="H4" s="35"/>
      <c r="I4" s="35"/>
      <c r="J4" s="35"/>
      <c r="K4" s="668"/>
      <c r="L4" s="1671"/>
    </row>
    <row r="5" spans="2:12" ht="18">
      <c r="B5" s="38"/>
      <c r="C5" s="38" t="s">
        <v>2009</v>
      </c>
      <c r="D5" s="35"/>
      <c r="E5" s="37"/>
      <c r="F5" s="35"/>
      <c r="G5" s="35"/>
      <c r="H5" s="35"/>
      <c r="I5" s="35"/>
      <c r="J5" s="35"/>
      <c r="K5" s="668"/>
      <c r="L5" s="1671"/>
    </row>
    <row r="6" spans="2:12" ht="18">
      <c r="B6" s="38"/>
      <c r="C6" s="38" t="s">
        <v>2010</v>
      </c>
      <c r="D6" s="35"/>
      <c r="E6" s="37"/>
      <c r="F6" s="35"/>
      <c r="G6" s="35"/>
      <c r="H6" s="35"/>
      <c r="I6" s="35"/>
      <c r="J6" s="35"/>
      <c r="K6" s="668"/>
      <c r="L6" s="1671"/>
    </row>
    <row r="7" spans="2:12" ht="18">
      <c r="B7" s="38"/>
      <c r="C7" s="38" t="s">
        <v>972</v>
      </c>
      <c r="D7" s="35"/>
      <c r="E7" s="37"/>
      <c r="F7" s="35"/>
      <c r="G7" s="35"/>
      <c r="H7" s="35"/>
      <c r="I7" s="35"/>
      <c r="J7" s="35"/>
      <c r="K7" s="668"/>
      <c r="L7" s="1671"/>
    </row>
    <row r="8" spans="2:12" ht="18">
      <c r="B8" s="38"/>
      <c r="C8" s="38" t="s">
        <v>2354</v>
      </c>
      <c r="D8" s="35"/>
      <c r="E8" s="37"/>
      <c r="F8" s="35"/>
      <c r="G8" s="35"/>
      <c r="H8" s="35"/>
      <c r="I8" s="35"/>
      <c r="J8" s="35"/>
      <c r="K8" s="668"/>
      <c r="L8" s="1671"/>
    </row>
    <row r="9" spans="2:12" ht="18">
      <c r="B9" s="38"/>
      <c r="C9" s="38" t="s">
        <v>1429</v>
      </c>
      <c r="D9" s="35"/>
      <c r="E9" s="37"/>
      <c r="F9" s="35"/>
      <c r="G9" s="35"/>
      <c r="H9" s="35"/>
      <c r="I9" s="35"/>
      <c r="J9" s="35"/>
      <c r="K9" s="668"/>
      <c r="L9" s="1671"/>
    </row>
    <row r="10" spans="2:12" ht="18">
      <c r="B10" s="38"/>
      <c r="C10" s="38" t="s">
        <v>816</v>
      </c>
      <c r="D10" s="35"/>
      <c r="E10" s="37"/>
      <c r="F10" s="35"/>
      <c r="G10" s="35"/>
      <c r="H10" s="35"/>
      <c r="I10" s="35"/>
      <c r="J10" s="35"/>
      <c r="K10" s="668"/>
      <c r="L10" s="1671"/>
    </row>
    <row r="11" spans="2:12" ht="18">
      <c r="B11" s="38"/>
      <c r="C11" s="38" t="s">
        <v>1526</v>
      </c>
      <c r="D11" s="35"/>
      <c r="E11" s="37"/>
      <c r="F11" s="35"/>
      <c r="G11" s="35"/>
      <c r="H11" s="35"/>
      <c r="I11" s="35"/>
      <c r="J11" s="35"/>
      <c r="K11" s="668"/>
      <c r="L11" s="1671"/>
    </row>
    <row r="12" spans="2:12" ht="18">
      <c r="B12" s="38"/>
      <c r="C12" s="38" t="s">
        <v>2574</v>
      </c>
      <c r="D12" s="35"/>
      <c r="E12" s="37"/>
      <c r="F12" s="35"/>
      <c r="G12" s="35"/>
      <c r="H12" s="35"/>
      <c r="I12" s="35"/>
      <c r="J12" s="35"/>
      <c r="K12" s="668"/>
      <c r="L12" s="1671"/>
    </row>
    <row r="13" spans="2:12" ht="18">
      <c r="B13" s="38"/>
      <c r="C13" s="38"/>
      <c r="D13" s="35"/>
      <c r="E13" s="37"/>
      <c r="F13" s="35"/>
      <c r="G13" s="35"/>
      <c r="H13" s="35"/>
      <c r="I13" s="35"/>
      <c r="J13" s="35"/>
      <c r="K13" s="668"/>
      <c r="L13" s="1671"/>
    </row>
    <row r="14" spans="2:12" ht="18">
      <c r="B14" s="38"/>
      <c r="C14" s="38"/>
      <c r="D14" s="35"/>
      <c r="E14" s="37"/>
      <c r="F14" s="35"/>
      <c r="G14" s="35"/>
      <c r="H14" s="35"/>
      <c r="I14" s="35"/>
      <c r="J14" s="35"/>
      <c r="K14" s="668"/>
      <c r="L14" s="1671"/>
    </row>
    <row r="15" spans="2:12" ht="36">
      <c r="B15" s="41" t="s">
        <v>1529</v>
      </c>
      <c r="C15" s="41" t="s">
        <v>2180</v>
      </c>
      <c r="D15" s="41" t="s">
        <v>2587</v>
      </c>
      <c r="E15" s="41" t="s">
        <v>154</v>
      </c>
      <c r="F15" s="41" t="s">
        <v>155</v>
      </c>
      <c r="G15" s="41" t="s">
        <v>156</v>
      </c>
      <c r="H15" s="41" t="s">
        <v>1426</v>
      </c>
      <c r="I15" s="41" t="s">
        <v>1427</v>
      </c>
      <c r="J15" s="42" t="s">
        <v>2444</v>
      </c>
      <c r="K15" s="668"/>
      <c r="L15" s="1671"/>
    </row>
    <row r="16" spans="2:12" ht="18">
      <c r="B16" s="35"/>
      <c r="C16" s="38"/>
      <c r="D16" s="38"/>
      <c r="E16" s="37"/>
      <c r="F16" s="35"/>
      <c r="G16" s="35"/>
      <c r="H16" s="35"/>
      <c r="I16" s="35"/>
      <c r="J16" s="35"/>
      <c r="K16" s="668"/>
      <c r="L16" s="1671"/>
    </row>
    <row r="17" spans="2:12" ht="18">
      <c r="B17" s="46" t="s">
        <v>66</v>
      </c>
      <c r="C17" s="344" t="s">
        <v>967</v>
      </c>
      <c r="D17" s="330" t="s">
        <v>2445</v>
      </c>
      <c r="E17" s="345"/>
      <c r="F17" s="345"/>
      <c r="G17" s="345"/>
      <c r="H17" s="345"/>
      <c r="I17" s="345"/>
      <c r="J17" s="670">
        <f>SUM(E17:I17)</f>
        <v>0</v>
      </c>
      <c r="K17" s="668"/>
      <c r="L17" s="1671"/>
    </row>
    <row r="18" spans="2:12" ht="18">
      <c r="B18" s="35"/>
      <c r="C18" s="38"/>
      <c r="D18" s="330"/>
      <c r="E18" s="37"/>
      <c r="F18" s="35"/>
      <c r="G18" s="35"/>
      <c r="H18" s="37"/>
      <c r="I18" s="35"/>
      <c r="J18" s="35"/>
      <c r="K18" s="668"/>
      <c r="L18" s="1671"/>
    </row>
    <row r="19" spans="2:12" ht="18">
      <c r="B19" s="46" t="s">
        <v>67</v>
      </c>
      <c r="C19" s="344" t="s">
        <v>586</v>
      </c>
      <c r="D19" s="330" t="s">
        <v>884</v>
      </c>
      <c r="E19" s="345"/>
      <c r="F19" s="345"/>
      <c r="G19" s="345"/>
      <c r="H19" s="345"/>
      <c r="I19" s="345"/>
      <c r="J19" s="670">
        <f>SUM(E19:I19)</f>
        <v>0</v>
      </c>
      <c r="K19" s="668"/>
      <c r="L19" s="1671"/>
    </row>
    <row r="20" spans="2:12" ht="18">
      <c r="B20" s="35"/>
      <c r="C20" s="339" t="s">
        <v>2036</v>
      </c>
      <c r="D20" s="330"/>
      <c r="E20" s="33"/>
      <c r="F20" s="33"/>
      <c r="G20" s="33"/>
      <c r="H20" s="33"/>
      <c r="I20" s="33"/>
      <c r="J20" s="33"/>
      <c r="K20" s="668"/>
      <c r="L20" s="1671"/>
    </row>
    <row r="21" spans="2:12" ht="18">
      <c r="B21" s="35"/>
      <c r="C21" s="339"/>
      <c r="D21" s="330"/>
      <c r="E21" s="33"/>
      <c r="F21" s="33"/>
      <c r="G21" s="33"/>
      <c r="H21" s="33"/>
      <c r="I21" s="33"/>
      <c r="J21" s="33"/>
      <c r="K21" s="668"/>
      <c r="L21" s="1671"/>
    </row>
    <row r="22" spans="2:12" ht="18">
      <c r="B22" s="56"/>
      <c r="C22" s="344" t="s">
        <v>65</v>
      </c>
      <c r="D22" s="330" t="s">
        <v>888</v>
      </c>
      <c r="E22" s="363"/>
      <c r="F22" s="363"/>
      <c r="G22" s="363"/>
      <c r="H22" s="363"/>
      <c r="I22" s="363"/>
      <c r="J22" s="33"/>
      <c r="K22" s="668"/>
      <c r="L22" s="1671"/>
    </row>
    <row r="23" spans="2:12" ht="18">
      <c r="B23" s="46"/>
      <c r="C23" s="38"/>
      <c r="D23" s="35"/>
      <c r="E23" s="33"/>
      <c r="F23" s="35"/>
      <c r="G23" s="35"/>
      <c r="H23" s="35"/>
      <c r="I23" s="35"/>
      <c r="J23" s="35"/>
      <c r="K23" s="668"/>
      <c r="L23" s="1671"/>
    </row>
    <row r="24" spans="2:12" ht="18">
      <c r="B24" s="1228" t="s">
        <v>1725</v>
      </c>
      <c r="C24" s="344" t="s">
        <v>1722</v>
      </c>
      <c r="D24" s="330" t="s">
        <v>2447</v>
      </c>
      <c r="E24" s="361" t="s">
        <v>1724</v>
      </c>
      <c r="F24" s="35"/>
      <c r="G24" s="35"/>
      <c r="H24" s="35"/>
      <c r="I24" s="35"/>
      <c r="J24" s="35"/>
      <c r="K24" s="668"/>
      <c r="L24" s="1671"/>
    </row>
    <row r="25" spans="2:12" ht="18">
      <c r="B25" s="46"/>
      <c r="C25" s="38"/>
      <c r="D25" s="35"/>
      <c r="E25" s="361" t="s">
        <v>1723</v>
      </c>
      <c r="F25" s="35"/>
      <c r="G25" s="35"/>
      <c r="H25" s="35"/>
      <c r="I25" s="35"/>
      <c r="J25" s="35"/>
      <c r="K25" s="668"/>
      <c r="L25" s="1671"/>
    </row>
    <row r="26" spans="2:12" ht="18.75" thickBot="1">
      <c r="B26" s="311"/>
      <c r="C26" s="312"/>
      <c r="D26" s="311"/>
      <c r="E26" s="313"/>
      <c r="F26" s="314"/>
      <c r="G26" s="314"/>
      <c r="H26" s="671"/>
      <c r="I26" s="314"/>
      <c r="J26" s="672"/>
      <c r="K26" s="673"/>
      <c r="L26" s="1671"/>
    </row>
    <row r="27" spans="2:12" ht="18">
      <c r="B27" s="46"/>
      <c r="C27" s="33" t="str">
        <f>"T5007-"&amp;yeartext&amp;" GENERAL DATA SUMMARY"</f>
        <v>T5007-2007 GENERAL DATA SUMMARY</v>
      </c>
      <c r="D27" s="33"/>
      <c r="E27" s="339" t="s">
        <v>1428</v>
      </c>
      <c r="F27" s="35"/>
      <c r="G27" s="35"/>
      <c r="H27" s="36"/>
      <c r="I27" s="35"/>
      <c r="J27" s="36" t="str">
        <f>yeartext</f>
        <v>2007</v>
      </c>
      <c r="K27" s="668"/>
      <c r="L27" s="1671"/>
    </row>
    <row r="28" spans="2:12" ht="18">
      <c r="B28" s="46"/>
      <c r="C28" s="49"/>
      <c r="D28" s="46"/>
      <c r="E28" s="51"/>
      <c r="F28" s="48"/>
      <c r="G28" s="48"/>
      <c r="H28" s="674"/>
      <c r="I28" s="48"/>
      <c r="J28" s="675"/>
      <c r="K28" s="668"/>
      <c r="L28" s="1671"/>
    </row>
    <row r="29" spans="2:12" ht="18">
      <c r="B29" s="46"/>
      <c r="C29" s="41" t="s">
        <v>1903</v>
      </c>
      <c r="D29" s="41" t="s">
        <v>1529</v>
      </c>
      <c r="E29" s="42" t="s">
        <v>1904</v>
      </c>
      <c r="F29" s="346"/>
      <c r="G29" s="357" t="s">
        <v>70</v>
      </c>
      <c r="H29" s="346"/>
      <c r="I29" s="346"/>
      <c r="J29" s="346"/>
      <c r="K29" s="668"/>
      <c r="L29" s="1671"/>
    </row>
    <row r="30" spans="2:12" ht="18">
      <c r="B30" s="46"/>
      <c r="C30" s="309" t="s">
        <v>1902</v>
      </c>
      <c r="D30" s="310" t="s">
        <v>968</v>
      </c>
      <c r="E30" s="351">
        <f>J17</f>
        <v>0</v>
      </c>
      <c r="F30" s="346"/>
      <c r="G30" s="357" t="s">
        <v>71</v>
      </c>
      <c r="H30" s="346"/>
      <c r="I30" s="346"/>
      <c r="J30" s="346"/>
      <c r="K30" s="668"/>
      <c r="L30" s="1671"/>
    </row>
    <row r="31" spans="2:12" ht="18">
      <c r="B31" s="46"/>
      <c r="C31" s="309" t="s">
        <v>1902</v>
      </c>
      <c r="D31" s="310" t="s">
        <v>68</v>
      </c>
      <c r="E31" s="351">
        <f>J19</f>
        <v>0</v>
      </c>
      <c r="F31" s="346"/>
      <c r="G31" s="357"/>
      <c r="H31" s="346"/>
      <c r="I31" s="346"/>
      <c r="J31" s="346"/>
      <c r="K31" s="668"/>
      <c r="L31" s="1671"/>
    </row>
    <row r="32" spans="2:12" ht="18">
      <c r="B32" s="46"/>
      <c r="C32" s="309" t="s">
        <v>1906</v>
      </c>
      <c r="D32" s="310" t="s">
        <v>164</v>
      </c>
      <c r="E32" s="351">
        <f>J17+J19</f>
        <v>0</v>
      </c>
      <c r="F32" s="346"/>
      <c r="G32" s="347" t="s">
        <v>2584</v>
      </c>
      <c r="H32" s="346"/>
      <c r="I32" s="346"/>
      <c r="J32" s="346"/>
      <c r="K32" s="668"/>
      <c r="L32" s="1671"/>
    </row>
    <row r="33" spans="2:12" ht="18">
      <c r="B33" s="46"/>
      <c r="C33" s="328"/>
      <c r="D33" s="329"/>
      <c r="E33" s="343"/>
      <c r="F33" s="346"/>
      <c r="G33" s="347" t="s">
        <v>2585</v>
      </c>
      <c r="H33" s="346"/>
      <c r="I33" s="346"/>
      <c r="J33" s="346"/>
      <c r="K33" s="668"/>
      <c r="L33" s="1671"/>
    </row>
    <row r="34" spans="2:12" ht="18">
      <c r="B34" s="46"/>
      <c r="C34" s="330"/>
      <c r="D34" s="46"/>
      <c r="E34" s="347"/>
      <c r="F34" s="346"/>
      <c r="G34" s="347"/>
      <c r="H34" s="346"/>
      <c r="I34" s="346"/>
      <c r="J34" s="346"/>
      <c r="K34" s="668"/>
      <c r="L34" s="1671"/>
    </row>
    <row r="35" spans="2:12" ht="18">
      <c r="B35" s="46"/>
      <c r="C35" s="330"/>
      <c r="D35" s="46"/>
      <c r="E35" s="347"/>
      <c r="F35" s="347"/>
      <c r="G35" s="347" t="s">
        <v>94</v>
      </c>
      <c r="H35" s="347"/>
      <c r="I35" s="347"/>
      <c r="J35" s="347"/>
      <c r="K35" s="668"/>
      <c r="L35" s="1671"/>
    </row>
    <row r="36" spans="2:12" ht="18">
      <c r="B36" s="46"/>
      <c r="C36" s="330"/>
      <c r="D36" s="46"/>
      <c r="E36" s="347"/>
      <c r="F36" s="347"/>
      <c r="G36" s="347" t="s">
        <v>69</v>
      </c>
      <c r="H36" s="347"/>
      <c r="I36" s="347"/>
      <c r="J36" s="347"/>
      <c r="K36" s="668"/>
      <c r="L36" s="1671"/>
    </row>
    <row r="37" spans="2:12" ht="18">
      <c r="B37" s="46"/>
      <c r="C37" s="49"/>
      <c r="D37" s="46"/>
      <c r="E37" s="51"/>
      <c r="F37" s="48"/>
      <c r="G37" s="48"/>
      <c r="H37" s="674"/>
      <c r="I37" s="48"/>
      <c r="J37" s="675"/>
      <c r="K37" s="668"/>
      <c r="L37" s="1671"/>
    </row>
    <row r="38" spans="2:12" ht="18">
      <c r="B38" s="46"/>
      <c r="C38" s="49"/>
      <c r="D38" s="46"/>
      <c r="E38" s="51"/>
      <c r="F38" s="48"/>
      <c r="G38" s="48"/>
      <c r="H38" s="674"/>
      <c r="I38" s="48"/>
      <c r="J38" s="675"/>
      <c r="K38" s="668"/>
      <c r="L38" s="1671"/>
    </row>
    <row r="39" spans="2:4" ht="15">
      <c r="B39" s="676"/>
      <c r="D39" s="55"/>
    </row>
    <row r="40" spans="2:4" ht="15">
      <c r="B40" s="676"/>
      <c r="D40" s="55"/>
    </row>
    <row r="41" spans="2:4" ht="15">
      <c r="B41" s="676"/>
      <c r="D41" s="55"/>
    </row>
    <row r="42" spans="2:4" ht="15">
      <c r="B42" s="676"/>
      <c r="D42" s="55"/>
    </row>
    <row r="43" spans="2:4" ht="15">
      <c r="B43" s="676"/>
      <c r="D43" s="55"/>
    </row>
    <row r="44" spans="2:4" ht="15">
      <c r="B44" s="676"/>
      <c r="D44" s="55"/>
    </row>
    <row r="45" spans="2:4" ht="15">
      <c r="B45" s="676"/>
      <c r="D45" s="55"/>
    </row>
    <row r="46" spans="2:4" ht="15">
      <c r="B46" s="676"/>
      <c r="D46" s="55"/>
    </row>
    <row r="47" spans="2:4" ht="15">
      <c r="B47" s="676"/>
      <c r="D47" s="55"/>
    </row>
    <row r="48" spans="2:4" ht="15">
      <c r="B48" s="676"/>
      <c r="D48" s="55"/>
    </row>
    <row r="49" spans="2:4" ht="15">
      <c r="B49" s="676"/>
      <c r="D49" s="55"/>
    </row>
    <row r="50" spans="2:4" ht="15">
      <c r="B50" s="676"/>
      <c r="D50" s="55"/>
    </row>
  </sheetData>
  <sheetProtection password="EC35" sheet="1" objects="1" scenarios="1"/>
  <mergeCells count="1">
    <mergeCell ref="L1:L38"/>
  </mergeCells>
  <hyperlinks>
    <hyperlink ref="L1:L38" location="'GO TO'!G21" display=" "/>
  </hyperlinks>
  <printOptions horizontalCentered="1"/>
  <pageMargins left="0" right="0" top="0" bottom="0" header="0.5" footer="0.5"/>
  <pageSetup fitToHeight="0" fitToWidth="1" horizontalDpi="600" verticalDpi="600" orientation="portrait" scale="60" r:id="rId1"/>
</worksheet>
</file>

<file path=xl/worksheets/sheet41.xml><?xml version="1.0" encoding="utf-8"?>
<worksheet xmlns="http://schemas.openxmlformats.org/spreadsheetml/2006/main" xmlns:r="http://schemas.openxmlformats.org/officeDocument/2006/relationships">
  <sheetPr codeName="Sheet2111">
    <pageSetUpPr fitToPage="1"/>
  </sheetPr>
  <dimension ref="B1:N94"/>
  <sheetViews>
    <sheetView showGridLines="0" zoomScale="65" zoomScaleNormal="65" workbookViewId="0" topLeftCell="A1">
      <selection activeCell="C2" sqref="C2"/>
    </sheetView>
  </sheetViews>
  <sheetFormatPr defaultColWidth="8.88671875" defaultRowHeight="15"/>
  <cols>
    <col min="1" max="2" width="1.77734375" style="669" customWidth="1"/>
    <col min="3" max="3" width="34.77734375" style="669" customWidth="1"/>
    <col min="4" max="4" width="7.99609375" style="669" customWidth="1"/>
    <col min="5" max="12" width="12.21484375" style="669" customWidth="1"/>
    <col min="13" max="13" width="1.88671875" style="669" customWidth="1"/>
    <col min="14" max="16384" width="8.88671875" style="669" customWidth="1"/>
  </cols>
  <sheetData>
    <row r="1" spans="2:14" ht="18">
      <c r="B1" s="35"/>
      <c r="C1" s="33" t="str">
        <f>"MISC-"&amp;yeartext&amp;" SLIPS DATA ENTRY FORM"</f>
        <v>MISC-2007 SLIPS DATA ENTRY FORM</v>
      </c>
      <c r="D1" s="33"/>
      <c r="E1" s="34" t="s">
        <v>301</v>
      </c>
      <c r="F1" s="35"/>
      <c r="G1" s="35"/>
      <c r="H1" s="36"/>
      <c r="I1" s="36"/>
      <c r="J1" s="36"/>
      <c r="K1" s="35"/>
      <c r="L1" s="36" t="str">
        <f>yeartext</f>
        <v>2007</v>
      </c>
      <c r="M1" s="668"/>
      <c r="N1" s="1710" t="s">
        <v>1659</v>
      </c>
    </row>
    <row r="2" spans="2:14" ht="15.75">
      <c r="B2" s="35"/>
      <c r="C2" s="35"/>
      <c r="D2" s="37"/>
      <c r="E2" s="668"/>
      <c r="F2" s="35"/>
      <c r="G2" s="35"/>
      <c r="H2" s="35"/>
      <c r="I2" s="35"/>
      <c r="J2" s="35"/>
      <c r="K2" s="35"/>
      <c r="L2" s="35"/>
      <c r="M2" s="668"/>
      <c r="N2" s="1711"/>
    </row>
    <row r="3" spans="2:14" ht="15.75">
      <c r="B3" s="35"/>
      <c r="C3" s="35"/>
      <c r="D3" s="37"/>
      <c r="E3" s="668"/>
      <c r="F3" s="35"/>
      <c r="G3" s="35"/>
      <c r="H3" s="35"/>
      <c r="I3" s="35"/>
      <c r="J3" s="35"/>
      <c r="K3" s="35"/>
      <c r="L3" s="35"/>
      <c r="M3" s="668"/>
      <c r="N3" s="1711"/>
    </row>
    <row r="4" spans="2:14" ht="18">
      <c r="B4" s="38"/>
      <c r="C4" s="38" t="s">
        <v>537</v>
      </c>
      <c r="D4" s="35"/>
      <c r="E4" s="37"/>
      <c r="F4" s="35"/>
      <c r="G4" s="35"/>
      <c r="H4" s="35"/>
      <c r="I4" s="35"/>
      <c r="J4" s="35"/>
      <c r="K4" s="35"/>
      <c r="L4" s="35"/>
      <c r="M4" s="668"/>
      <c r="N4" s="1711"/>
    </row>
    <row r="5" spans="2:14" ht="18">
      <c r="B5" s="38"/>
      <c r="C5" s="38" t="s">
        <v>1055</v>
      </c>
      <c r="D5" s="35"/>
      <c r="E5" s="37"/>
      <c r="F5" s="35"/>
      <c r="G5" s="35"/>
      <c r="H5" s="35"/>
      <c r="I5" s="35"/>
      <c r="J5" s="35"/>
      <c r="K5" s="35"/>
      <c r="L5" s="35"/>
      <c r="M5" s="668"/>
      <c r="N5" s="1711"/>
    </row>
    <row r="6" spans="2:14" ht="18">
      <c r="B6" s="38"/>
      <c r="C6" s="38" t="s">
        <v>1056</v>
      </c>
      <c r="D6" s="35"/>
      <c r="E6" s="37"/>
      <c r="F6" s="35"/>
      <c r="G6" s="35"/>
      <c r="H6" s="35"/>
      <c r="I6" s="35"/>
      <c r="J6" s="35"/>
      <c r="K6" s="35"/>
      <c r="L6" s="35"/>
      <c r="M6" s="668"/>
      <c r="N6" s="1711"/>
    </row>
    <row r="7" spans="2:14" ht="18">
      <c r="B7" s="38"/>
      <c r="C7" s="38" t="s">
        <v>1273</v>
      </c>
      <c r="D7" s="35"/>
      <c r="E7" s="37"/>
      <c r="F7" s="35"/>
      <c r="G7" s="35"/>
      <c r="H7" s="35"/>
      <c r="I7" s="35"/>
      <c r="J7" s="35"/>
      <c r="K7" s="35"/>
      <c r="L7" s="35"/>
      <c r="M7" s="668"/>
      <c r="N7" s="1711"/>
    </row>
    <row r="8" spans="2:14" ht="18">
      <c r="B8" s="38"/>
      <c r="C8" s="38" t="s">
        <v>764</v>
      </c>
      <c r="D8" s="35"/>
      <c r="E8" s="37"/>
      <c r="F8" s="35"/>
      <c r="G8" s="35"/>
      <c r="H8" s="35"/>
      <c r="I8" s="35"/>
      <c r="J8" s="35"/>
      <c r="K8" s="35"/>
      <c r="L8" s="35"/>
      <c r="M8" s="668"/>
      <c r="N8" s="1711"/>
    </row>
    <row r="9" spans="2:14" ht="18">
      <c r="B9" s="38"/>
      <c r="C9" s="38" t="s">
        <v>692</v>
      </c>
      <c r="D9" s="35"/>
      <c r="E9" s="37"/>
      <c r="F9" s="35"/>
      <c r="G9" s="35"/>
      <c r="H9" s="35"/>
      <c r="I9" s="35"/>
      <c r="J9" s="35"/>
      <c r="K9" s="35"/>
      <c r="L9" s="35"/>
      <c r="M9" s="668"/>
      <c r="N9" s="1711"/>
    </row>
    <row r="10" spans="2:14" ht="18">
      <c r="B10" s="38"/>
      <c r="C10" s="38" t="s">
        <v>1078</v>
      </c>
      <c r="D10" s="35"/>
      <c r="E10" s="37"/>
      <c r="F10" s="35"/>
      <c r="G10" s="35"/>
      <c r="H10" s="35"/>
      <c r="I10" s="35"/>
      <c r="J10" s="35"/>
      <c r="K10" s="35"/>
      <c r="L10" s="35"/>
      <c r="M10" s="668"/>
      <c r="N10" s="1711"/>
    </row>
    <row r="11" spans="2:14" ht="18">
      <c r="B11" s="38"/>
      <c r="C11" s="38" t="s">
        <v>296</v>
      </c>
      <c r="D11" s="35"/>
      <c r="E11" s="37"/>
      <c r="F11" s="35"/>
      <c r="G11" s="35"/>
      <c r="H11" s="35"/>
      <c r="I11" s="35"/>
      <c r="J11" s="35"/>
      <c r="K11" s="35"/>
      <c r="L11" s="35"/>
      <c r="M11" s="668"/>
      <c r="N11" s="1711"/>
    </row>
    <row r="12" spans="2:14" ht="18">
      <c r="B12" s="38"/>
      <c r="C12" s="38" t="s">
        <v>2178</v>
      </c>
      <c r="D12" s="35"/>
      <c r="E12" s="37"/>
      <c r="F12" s="35"/>
      <c r="G12" s="35"/>
      <c r="H12" s="35"/>
      <c r="I12" s="35"/>
      <c r="J12" s="35"/>
      <c r="K12" s="35"/>
      <c r="L12" s="35"/>
      <c r="M12" s="668"/>
      <c r="N12" s="1711"/>
    </row>
    <row r="13" spans="2:14" ht="18">
      <c r="B13" s="38"/>
      <c r="C13" s="38" t="s">
        <v>1399</v>
      </c>
      <c r="D13" s="35"/>
      <c r="E13" s="37"/>
      <c r="F13" s="35"/>
      <c r="G13" s="35"/>
      <c r="H13" s="35"/>
      <c r="I13" s="35"/>
      <c r="J13" s="35"/>
      <c r="K13" s="35"/>
      <c r="L13" s="35"/>
      <c r="M13" s="668"/>
      <c r="N13" s="1711"/>
    </row>
    <row r="14" spans="2:14" ht="18">
      <c r="B14" s="38"/>
      <c r="C14" s="38" t="s">
        <v>157</v>
      </c>
      <c r="D14" s="35"/>
      <c r="E14" s="37"/>
      <c r="F14" s="35"/>
      <c r="G14" s="35"/>
      <c r="H14" s="35"/>
      <c r="I14" s="35"/>
      <c r="J14" s="35"/>
      <c r="K14" s="35"/>
      <c r="L14" s="35"/>
      <c r="M14" s="668"/>
      <c r="N14" s="1711"/>
    </row>
    <row r="15" spans="2:14" ht="18">
      <c r="B15" s="38"/>
      <c r="C15" s="38" t="s">
        <v>1526</v>
      </c>
      <c r="D15" s="35"/>
      <c r="E15" s="37"/>
      <c r="F15" s="35"/>
      <c r="G15" s="35"/>
      <c r="H15" s="35"/>
      <c r="I15" s="35"/>
      <c r="J15" s="35"/>
      <c r="K15" s="35"/>
      <c r="L15" s="35"/>
      <c r="M15" s="668"/>
      <c r="N15" s="1711"/>
    </row>
    <row r="16" spans="2:14" ht="18">
      <c r="B16" s="38"/>
      <c r="C16" s="38" t="s">
        <v>43</v>
      </c>
      <c r="D16" s="35"/>
      <c r="E16" s="37"/>
      <c r="F16" s="35"/>
      <c r="G16" s="35"/>
      <c r="H16" s="35"/>
      <c r="I16" s="35"/>
      <c r="J16" s="35"/>
      <c r="K16" s="35"/>
      <c r="L16" s="35"/>
      <c r="M16" s="668"/>
      <c r="N16" s="1711"/>
    </row>
    <row r="17" spans="2:14" ht="18.75" thickBot="1">
      <c r="B17" s="311"/>
      <c r="C17" s="312"/>
      <c r="D17" s="311"/>
      <c r="E17" s="313"/>
      <c r="F17" s="314"/>
      <c r="G17" s="314"/>
      <c r="H17" s="671"/>
      <c r="I17" s="671"/>
      <c r="J17" s="671"/>
      <c r="K17" s="314"/>
      <c r="L17" s="672"/>
      <c r="M17" s="673"/>
      <c r="N17" s="1711"/>
    </row>
    <row r="18" spans="2:14" ht="18">
      <c r="B18" s="46"/>
      <c r="C18" s="33" t="str">
        <f>"MISC-"&amp;yeartext&amp;" DATA SUMMARY"</f>
        <v>MISC-2007 DATA SUMMARY</v>
      </c>
      <c r="D18" s="33"/>
      <c r="E18" s="34" t="s">
        <v>301</v>
      </c>
      <c r="F18" s="35"/>
      <c r="G18" s="35"/>
      <c r="H18" s="36"/>
      <c r="I18" s="36"/>
      <c r="J18" s="36"/>
      <c r="K18" s="35"/>
      <c r="L18" s="36" t="str">
        <f>yeartext</f>
        <v>2007</v>
      </c>
      <c r="M18" s="668"/>
      <c r="N18" s="1711"/>
    </row>
    <row r="19" spans="2:14" ht="18">
      <c r="B19" s="46"/>
      <c r="C19" s="49"/>
      <c r="D19" s="46"/>
      <c r="E19" s="51"/>
      <c r="F19" s="48"/>
      <c r="G19" s="48"/>
      <c r="H19" s="674"/>
      <c r="I19" s="674"/>
      <c r="J19" s="674"/>
      <c r="K19" s="48"/>
      <c r="L19" s="675"/>
      <c r="M19" s="668"/>
      <c r="N19" s="1711"/>
    </row>
    <row r="20" spans="2:14" ht="54">
      <c r="B20" s="46"/>
      <c r="C20" s="334" t="s">
        <v>1903</v>
      </c>
      <c r="D20" s="334" t="s">
        <v>1529</v>
      </c>
      <c r="E20" s="334" t="s">
        <v>460</v>
      </c>
      <c r="F20" s="334" t="s">
        <v>460</v>
      </c>
      <c r="G20" s="334" t="s">
        <v>460</v>
      </c>
      <c r="H20" s="334" t="s">
        <v>460</v>
      </c>
      <c r="I20" s="334" t="s">
        <v>460</v>
      </c>
      <c r="J20" s="334" t="s">
        <v>460</v>
      </c>
      <c r="K20" s="334" t="s">
        <v>1304</v>
      </c>
      <c r="L20" s="334" t="s">
        <v>2179</v>
      </c>
      <c r="M20" s="668"/>
      <c r="N20" s="1711"/>
    </row>
    <row r="21" spans="2:14" ht="18">
      <c r="B21" s="46"/>
      <c r="C21" s="337" t="s">
        <v>1902</v>
      </c>
      <c r="D21" s="335" t="s">
        <v>2448</v>
      </c>
      <c r="E21" s="331"/>
      <c r="F21" s="331"/>
      <c r="G21" s="331"/>
      <c r="H21" s="331"/>
      <c r="I21" s="331"/>
      <c r="J21" s="721">
        <f>+'T4'!E106</f>
        <v>0</v>
      </c>
      <c r="K21" s="721">
        <f>SUM(E21:J21)</f>
        <v>0</v>
      </c>
      <c r="L21" s="721">
        <f>K21</f>
        <v>0</v>
      </c>
      <c r="M21" s="668"/>
      <c r="N21" s="1711"/>
    </row>
    <row r="22" spans="2:14" ht="18">
      <c r="B22" s="46"/>
      <c r="C22" s="337" t="s">
        <v>1902</v>
      </c>
      <c r="D22" s="335" t="s">
        <v>945</v>
      </c>
      <c r="E22" s="331"/>
      <c r="F22" s="331"/>
      <c r="G22" s="331"/>
      <c r="H22" s="331"/>
      <c r="I22" s="331"/>
      <c r="J22" s="721">
        <f>+'T4'!E107</f>
        <v>0</v>
      </c>
      <c r="K22" s="721">
        <f aca="true" t="shared" si="0" ref="K22:K91">SUM(E22:J22)</f>
        <v>0</v>
      </c>
      <c r="L22" s="721">
        <f aca="true" t="shared" si="1" ref="L22:L91">K22</f>
        <v>0</v>
      </c>
      <c r="M22" s="668"/>
      <c r="N22" s="1711"/>
    </row>
    <row r="23" spans="2:14" ht="18">
      <c r="B23" s="46"/>
      <c r="C23" s="337" t="s">
        <v>1902</v>
      </c>
      <c r="D23" s="335" t="s">
        <v>1905</v>
      </c>
      <c r="E23" s="331"/>
      <c r="F23" s="331"/>
      <c r="G23" s="331"/>
      <c r="H23" s="331"/>
      <c r="I23" s="721">
        <f>+'T4A'!E52</f>
        <v>0</v>
      </c>
      <c r="J23" s="721">
        <f>+'T4PS'!E52</f>
        <v>0</v>
      </c>
      <c r="K23" s="721">
        <f t="shared" si="0"/>
        <v>0</v>
      </c>
      <c r="L23" s="721">
        <f t="shared" si="1"/>
        <v>0</v>
      </c>
      <c r="M23" s="668"/>
      <c r="N23" s="1711"/>
    </row>
    <row r="24" spans="2:14" ht="18">
      <c r="B24" s="46"/>
      <c r="C24" s="337" t="s">
        <v>1902</v>
      </c>
      <c r="D24" s="335" t="s">
        <v>418</v>
      </c>
      <c r="E24" s="331"/>
      <c r="F24" s="331"/>
      <c r="G24" s="331"/>
      <c r="H24" s="331"/>
      <c r="I24" s="331"/>
      <c r="J24" s="721">
        <f>+'T4A(OAS)'!E33</f>
        <v>0</v>
      </c>
      <c r="K24" s="721">
        <f t="shared" si="0"/>
        <v>0</v>
      </c>
      <c r="L24" s="721">
        <f t="shared" si="1"/>
        <v>0</v>
      </c>
      <c r="M24" s="668"/>
      <c r="N24" s="1711"/>
    </row>
    <row r="25" spans="2:14" ht="18">
      <c r="B25" s="46"/>
      <c r="C25" s="337" t="s">
        <v>1902</v>
      </c>
      <c r="D25" s="335" t="s">
        <v>1537</v>
      </c>
      <c r="E25" s="331"/>
      <c r="F25" s="331"/>
      <c r="G25" s="331"/>
      <c r="H25" s="331"/>
      <c r="I25" s="331"/>
      <c r="J25" s="721">
        <f>'T4A(P)'!E28</f>
        <v>0</v>
      </c>
      <c r="K25" s="721">
        <f t="shared" si="0"/>
        <v>0</v>
      </c>
      <c r="L25" s="721">
        <f>K25</f>
        <v>0</v>
      </c>
      <c r="M25" s="668"/>
      <c r="N25" s="1711"/>
    </row>
    <row r="26" spans="2:14" ht="18">
      <c r="B26" s="46"/>
      <c r="C26" s="338" t="s">
        <v>1902</v>
      </c>
      <c r="D26" s="336" t="s">
        <v>621</v>
      </c>
      <c r="E26" s="331"/>
      <c r="F26" s="331"/>
      <c r="G26" s="331"/>
      <c r="H26" s="721">
        <f>'T4RIF'!J48</f>
        <v>0</v>
      </c>
      <c r="I26" s="721">
        <f>IF(year='T2205'!G4,IF(age&gt;=65,'T2205'!G51,0),0)</f>
        <v>0</v>
      </c>
      <c r="J26" s="721">
        <f>+'T4A'!E53</f>
        <v>0</v>
      </c>
      <c r="K26" s="721">
        <f t="shared" si="0"/>
        <v>0</v>
      </c>
      <c r="L26" s="721">
        <f t="shared" si="1"/>
        <v>0</v>
      </c>
      <c r="M26" s="668"/>
      <c r="N26" s="1711"/>
    </row>
    <row r="27" spans="2:14" ht="18">
      <c r="B27" s="46"/>
      <c r="C27" s="338" t="s">
        <v>1902</v>
      </c>
      <c r="D27" s="336" t="s">
        <v>419</v>
      </c>
      <c r="E27" s="331"/>
      <c r="F27" s="331"/>
      <c r="G27" s="331"/>
      <c r="H27" s="331"/>
      <c r="I27" s="331"/>
      <c r="J27" s="721">
        <f>+'T4E'!E50</f>
        <v>0</v>
      </c>
      <c r="K27" s="721">
        <f t="shared" si="0"/>
        <v>0</v>
      </c>
      <c r="L27" s="721">
        <f t="shared" si="1"/>
        <v>0</v>
      </c>
      <c r="M27" s="668"/>
      <c r="N27" s="1711"/>
    </row>
    <row r="28" spans="2:14" ht="18">
      <c r="B28" s="46"/>
      <c r="C28" s="338" t="s">
        <v>1902</v>
      </c>
      <c r="D28" s="336" t="s">
        <v>420</v>
      </c>
      <c r="E28" s="331"/>
      <c r="F28" s="331"/>
      <c r="G28" s="331"/>
      <c r="H28" s="331"/>
      <c r="I28" s="331"/>
      <c r="J28" s="721">
        <f>Sch4!E14</f>
        <v>0</v>
      </c>
      <c r="K28" s="721">
        <f t="shared" si="0"/>
        <v>0</v>
      </c>
      <c r="L28" s="721">
        <f t="shared" si="1"/>
        <v>0</v>
      </c>
      <c r="M28" s="668"/>
      <c r="N28" s="1711"/>
    </row>
    <row r="29" spans="2:14" ht="18">
      <c r="B29" s="46"/>
      <c r="C29" s="338" t="s">
        <v>1902</v>
      </c>
      <c r="D29" s="336" t="s">
        <v>421</v>
      </c>
      <c r="E29" s="331"/>
      <c r="F29" s="331"/>
      <c r="G29" s="331"/>
      <c r="H29" s="331"/>
      <c r="I29" s="331"/>
      <c r="J29" s="721">
        <f>Sch4!E17</f>
        <v>0</v>
      </c>
      <c r="K29" s="721">
        <f t="shared" si="0"/>
        <v>0</v>
      </c>
      <c r="L29" s="721">
        <f t="shared" si="1"/>
        <v>0</v>
      </c>
      <c r="M29" s="668"/>
      <c r="N29" s="1711"/>
    </row>
    <row r="30" spans="2:14" ht="18">
      <c r="B30" s="46"/>
      <c r="C30" s="338" t="s">
        <v>1902</v>
      </c>
      <c r="D30" s="336" t="s">
        <v>1352</v>
      </c>
      <c r="E30" s="331"/>
      <c r="F30" s="331"/>
      <c r="G30" s="331"/>
      <c r="H30" s="331"/>
      <c r="I30" s="331"/>
      <c r="J30" s="721">
        <f>Sch4!E22</f>
        <v>0</v>
      </c>
      <c r="K30" s="721">
        <f>SUM(E30:J30)</f>
        <v>0</v>
      </c>
      <c r="L30" s="721">
        <f t="shared" si="1"/>
        <v>0</v>
      </c>
      <c r="M30" s="668"/>
      <c r="N30" s="1711"/>
    </row>
    <row r="31" spans="2:14" ht="18">
      <c r="B31" s="46"/>
      <c r="C31" s="338" t="s">
        <v>1902</v>
      </c>
      <c r="D31" s="336" t="s">
        <v>422</v>
      </c>
      <c r="E31" s="331"/>
      <c r="F31" s="331"/>
      <c r="G31" s="331"/>
      <c r="H31" s="331"/>
      <c r="I31" s="721">
        <f>IF(year='T2205'!G4,'T2205'!G26,0)</f>
        <v>0</v>
      </c>
      <c r="J31" s="721">
        <f>'T4RSP'!J59</f>
        <v>0</v>
      </c>
      <c r="K31" s="721">
        <f t="shared" si="0"/>
        <v>0</v>
      </c>
      <c r="L31" s="721">
        <f t="shared" si="1"/>
        <v>0</v>
      </c>
      <c r="M31" s="668"/>
      <c r="N31" s="1711"/>
    </row>
    <row r="32" spans="2:14" ht="18">
      <c r="B32" s="46"/>
      <c r="C32" s="338" t="s">
        <v>1902</v>
      </c>
      <c r="D32" s="336" t="s">
        <v>976</v>
      </c>
      <c r="E32" s="332"/>
      <c r="F32" s="332"/>
      <c r="G32" s="332"/>
      <c r="H32" s="721">
        <f>'T4RIF'!J52</f>
        <v>0</v>
      </c>
      <c r="I32" s="721">
        <f>IF(year='T2205'!G4,IF(age&lt;65,'T2205'!G51,0),0)</f>
        <v>0</v>
      </c>
      <c r="J32" s="721">
        <f>+'T4A'!E54</f>
        <v>0</v>
      </c>
      <c r="K32" s="721">
        <f t="shared" si="0"/>
        <v>0</v>
      </c>
      <c r="L32" s="721">
        <f t="shared" si="1"/>
        <v>0</v>
      </c>
      <c r="M32" s="668"/>
      <c r="N32" s="1711"/>
    </row>
    <row r="33" spans="2:14" ht="18">
      <c r="B33" s="46"/>
      <c r="C33" s="338" t="s">
        <v>1902</v>
      </c>
      <c r="D33" s="336" t="s">
        <v>425</v>
      </c>
      <c r="E33" s="332"/>
      <c r="F33" s="332"/>
      <c r="G33" s="332"/>
      <c r="H33" s="332"/>
      <c r="I33" s="331"/>
      <c r="J33" s="721">
        <f>+'T4A'!E55</f>
        <v>0</v>
      </c>
      <c r="K33" s="721">
        <f t="shared" si="0"/>
        <v>0</v>
      </c>
      <c r="L33" s="721">
        <f t="shared" si="1"/>
        <v>0</v>
      </c>
      <c r="M33" s="668"/>
      <c r="N33" s="1711"/>
    </row>
    <row r="34" spans="2:14" ht="18">
      <c r="B34" s="46"/>
      <c r="C34" s="338" t="s">
        <v>1902</v>
      </c>
      <c r="D34" s="336" t="s">
        <v>968</v>
      </c>
      <c r="E34" s="332"/>
      <c r="F34" s="332"/>
      <c r="G34" s="332"/>
      <c r="H34" s="332"/>
      <c r="I34" s="332"/>
      <c r="J34" s="721">
        <f>'T5007'!E30</f>
        <v>0</v>
      </c>
      <c r="K34" s="721">
        <f t="shared" si="0"/>
        <v>0</v>
      </c>
      <c r="L34" s="721">
        <f t="shared" si="1"/>
        <v>0</v>
      </c>
      <c r="M34" s="668"/>
      <c r="N34" s="1711"/>
    </row>
    <row r="35" spans="2:14" ht="18">
      <c r="B35" s="46"/>
      <c r="C35" s="338" t="s">
        <v>1902</v>
      </c>
      <c r="D35" s="336" t="s">
        <v>68</v>
      </c>
      <c r="E35" s="332"/>
      <c r="F35" s="332"/>
      <c r="G35" s="332"/>
      <c r="H35" s="332"/>
      <c r="I35" s="332"/>
      <c r="J35" s="721">
        <f>'T5007'!E31</f>
        <v>0</v>
      </c>
      <c r="K35" s="721">
        <f t="shared" si="0"/>
        <v>0</v>
      </c>
      <c r="L35" s="721">
        <f t="shared" si="1"/>
        <v>0</v>
      </c>
      <c r="M35" s="668"/>
      <c r="N35" s="1711"/>
    </row>
    <row r="36" spans="2:14" ht="18">
      <c r="B36" s="46"/>
      <c r="C36" s="338" t="s">
        <v>1902</v>
      </c>
      <c r="D36" s="336" t="s">
        <v>159</v>
      </c>
      <c r="E36" s="332"/>
      <c r="F36" s="332"/>
      <c r="G36" s="332"/>
      <c r="H36" s="332"/>
      <c r="I36" s="331"/>
      <c r="J36" s="721">
        <f>+'T4A(OAS)'!E34</f>
        <v>0</v>
      </c>
      <c r="K36" s="721">
        <f t="shared" si="0"/>
        <v>0</v>
      </c>
      <c r="L36" s="721">
        <f t="shared" si="1"/>
        <v>0</v>
      </c>
      <c r="M36" s="668"/>
      <c r="N36" s="1711"/>
    </row>
    <row r="37" spans="2:14" ht="18">
      <c r="B37" s="46"/>
      <c r="C37" s="338" t="s">
        <v>1902</v>
      </c>
      <c r="D37" s="336" t="s">
        <v>1538</v>
      </c>
      <c r="E37" s="332"/>
      <c r="F37" s="332"/>
      <c r="G37" s="332"/>
      <c r="H37" s="332"/>
      <c r="I37" s="331"/>
      <c r="J37" s="721">
        <f>'T4A(P)'!E27</f>
        <v>0</v>
      </c>
      <c r="K37" s="721">
        <f t="shared" si="0"/>
        <v>0</v>
      </c>
      <c r="L37" s="721">
        <f t="shared" si="1"/>
        <v>0</v>
      </c>
      <c r="M37" s="668"/>
      <c r="N37" s="1711"/>
    </row>
    <row r="38" spans="2:14" ht="18">
      <c r="B38" s="46"/>
      <c r="C38" s="338" t="s">
        <v>1902</v>
      </c>
      <c r="D38" s="336" t="s">
        <v>977</v>
      </c>
      <c r="E38" s="332"/>
      <c r="F38" s="332"/>
      <c r="G38" s="332"/>
      <c r="H38" s="332"/>
      <c r="I38" s="331"/>
      <c r="J38" s="721">
        <f>+'T4A'!E56</f>
        <v>0</v>
      </c>
      <c r="K38" s="721">
        <f t="shared" si="0"/>
        <v>0</v>
      </c>
      <c r="L38" s="721">
        <f t="shared" si="1"/>
        <v>0</v>
      </c>
      <c r="M38" s="668"/>
      <c r="N38" s="1711"/>
    </row>
    <row r="39" spans="2:14" ht="18">
      <c r="B39" s="46"/>
      <c r="C39" s="338" t="s">
        <v>1902</v>
      </c>
      <c r="D39" s="336" t="s">
        <v>2146</v>
      </c>
      <c r="E39" s="332"/>
      <c r="F39" s="332"/>
      <c r="G39" s="332"/>
      <c r="H39" s="332"/>
      <c r="I39" s="331"/>
      <c r="J39" s="721">
        <f>Sch4!E10</f>
        <v>0</v>
      </c>
      <c r="K39" s="721">
        <f>SUM(E39:J39)</f>
        <v>0</v>
      </c>
      <c r="L39" s="721">
        <f t="shared" si="1"/>
        <v>0</v>
      </c>
      <c r="M39" s="668"/>
      <c r="N39" s="1711"/>
    </row>
    <row r="40" spans="2:14" ht="18">
      <c r="B40" s="46"/>
      <c r="C40" s="338" t="s">
        <v>1906</v>
      </c>
      <c r="D40" s="336" t="s">
        <v>950</v>
      </c>
      <c r="E40" s="332"/>
      <c r="F40" s="332"/>
      <c r="G40" s="332"/>
      <c r="H40" s="332"/>
      <c r="I40" s="721">
        <f>+'T4'!E108</f>
        <v>0</v>
      </c>
      <c r="J40" s="721">
        <f>+'T4A'!E57</f>
        <v>0</v>
      </c>
      <c r="K40" s="721">
        <f t="shared" si="0"/>
        <v>0</v>
      </c>
      <c r="L40" s="721">
        <f t="shared" si="1"/>
        <v>0</v>
      </c>
      <c r="M40" s="668"/>
      <c r="N40" s="1711"/>
    </row>
    <row r="41" spans="2:14" ht="18">
      <c r="B41" s="46"/>
      <c r="C41" s="338" t="s">
        <v>1906</v>
      </c>
      <c r="D41" s="336" t="s">
        <v>2455</v>
      </c>
      <c r="E41" s="332"/>
      <c r="F41" s="332"/>
      <c r="G41" s="332"/>
      <c r="H41" s="332"/>
      <c r="I41" s="721">
        <f>+'T4'!E109</f>
        <v>0</v>
      </c>
      <c r="J41" s="721">
        <f>+'T4A'!E58</f>
        <v>0</v>
      </c>
      <c r="K41" s="721">
        <f t="shared" si="0"/>
        <v>0</v>
      </c>
      <c r="L41" s="721">
        <f t="shared" si="1"/>
        <v>0</v>
      </c>
      <c r="M41" s="668"/>
      <c r="N41" s="1711"/>
    </row>
    <row r="42" spans="2:14" ht="18">
      <c r="B42" s="46"/>
      <c r="C42" s="338" t="s">
        <v>1906</v>
      </c>
      <c r="D42" s="336" t="s">
        <v>947</v>
      </c>
      <c r="E42" s="332"/>
      <c r="F42" s="332"/>
      <c r="G42" s="332"/>
      <c r="H42" s="332"/>
      <c r="I42" s="331"/>
      <c r="J42" s="721">
        <f>+'T4'!E110</f>
        <v>0</v>
      </c>
      <c r="K42" s="721">
        <f t="shared" si="0"/>
        <v>0</v>
      </c>
      <c r="L42" s="721">
        <f t="shared" si="1"/>
        <v>0</v>
      </c>
      <c r="M42" s="668"/>
      <c r="N42" s="1711"/>
    </row>
    <row r="43" spans="2:14" ht="18">
      <c r="B43" s="46"/>
      <c r="C43" s="338" t="s">
        <v>1906</v>
      </c>
      <c r="D43" s="336" t="s">
        <v>1351</v>
      </c>
      <c r="E43" s="332"/>
      <c r="F43" s="332"/>
      <c r="G43" s="332"/>
      <c r="H43" s="332"/>
      <c r="I43" s="331"/>
      <c r="J43" s="721">
        <f>Sch4!E28</f>
        <v>0</v>
      </c>
      <c r="K43" s="721">
        <f>SUM(E43:J43)</f>
        <v>0</v>
      </c>
      <c r="L43" s="721">
        <f t="shared" si="1"/>
        <v>0</v>
      </c>
      <c r="M43" s="668"/>
      <c r="N43" s="1711"/>
    </row>
    <row r="44" spans="2:14" ht="18">
      <c r="B44" s="46"/>
      <c r="C44" s="338" t="s">
        <v>1906</v>
      </c>
      <c r="D44" s="336" t="s">
        <v>1509</v>
      </c>
      <c r="E44" s="332"/>
      <c r="F44" s="332"/>
      <c r="G44" s="332"/>
      <c r="H44" s="332"/>
      <c r="I44" s="331"/>
      <c r="J44" s="727" t="s">
        <v>546</v>
      </c>
      <c r="K44" s="721">
        <f t="shared" si="0"/>
        <v>0</v>
      </c>
      <c r="L44" s="721">
        <f t="shared" si="1"/>
        <v>0</v>
      </c>
      <c r="M44" s="668"/>
      <c r="N44" s="1711"/>
    </row>
    <row r="45" spans="2:14" ht="18">
      <c r="B45" s="46"/>
      <c r="C45" s="338" t="s">
        <v>1906</v>
      </c>
      <c r="D45" s="336" t="s">
        <v>162</v>
      </c>
      <c r="E45" s="332"/>
      <c r="F45" s="332"/>
      <c r="G45" s="332"/>
      <c r="H45" s="332"/>
      <c r="I45" s="721">
        <f>'T4'!E111</f>
        <v>0</v>
      </c>
      <c r="J45" s="721">
        <f>+'T4PS'!E55</f>
        <v>0</v>
      </c>
      <c r="K45" s="721">
        <f t="shared" si="0"/>
        <v>0</v>
      </c>
      <c r="L45" s="721">
        <f t="shared" si="1"/>
        <v>0</v>
      </c>
      <c r="M45" s="668"/>
      <c r="N45" s="1711"/>
    </row>
    <row r="46" spans="2:14" ht="18">
      <c r="B46" s="46"/>
      <c r="C46" s="338" t="s">
        <v>1906</v>
      </c>
      <c r="D46" s="336" t="s">
        <v>163</v>
      </c>
      <c r="E46" s="332"/>
      <c r="F46" s="332"/>
      <c r="G46" s="721">
        <f>'T4RIF'!J56</f>
        <v>0</v>
      </c>
      <c r="H46" s="721">
        <f>'T4RSP'!J64</f>
        <v>0</v>
      </c>
      <c r="I46" s="721">
        <f>+'T4A(OAS)'!E35</f>
        <v>0</v>
      </c>
      <c r="J46" s="721">
        <f>'T4E'!E51</f>
        <v>0</v>
      </c>
      <c r="K46" s="721">
        <f t="shared" si="0"/>
        <v>0</v>
      </c>
      <c r="L46" s="721">
        <f t="shared" si="1"/>
        <v>0</v>
      </c>
      <c r="M46" s="668"/>
      <c r="N46" s="1711"/>
    </row>
    <row r="47" spans="2:14" ht="18">
      <c r="B47" s="46"/>
      <c r="C47" s="338" t="s">
        <v>1906</v>
      </c>
      <c r="D47" s="336" t="s">
        <v>1446</v>
      </c>
      <c r="E47" s="332"/>
      <c r="F47" s="332"/>
      <c r="G47" s="332"/>
      <c r="H47" s="332"/>
      <c r="I47" s="331"/>
      <c r="J47" s="721">
        <f>'T4'!E112</f>
        <v>0</v>
      </c>
      <c r="K47" s="721">
        <f t="shared" si="0"/>
        <v>0</v>
      </c>
      <c r="L47" s="721">
        <f t="shared" si="1"/>
        <v>0</v>
      </c>
      <c r="M47" s="668"/>
      <c r="N47" s="1711"/>
    </row>
    <row r="48" spans="2:14" ht="18">
      <c r="B48" s="46"/>
      <c r="C48" s="338" t="s">
        <v>1906</v>
      </c>
      <c r="D48" s="336" t="s">
        <v>2580</v>
      </c>
      <c r="E48" s="332"/>
      <c r="F48" s="332"/>
      <c r="G48" s="332"/>
      <c r="H48" s="332"/>
      <c r="I48" s="331"/>
      <c r="J48" s="721">
        <f>+'T4'!E113</f>
        <v>0</v>
      </c>
      <c r="K48" s="721">
        <f t="shared" si="0"/>
        <v>0</v>
      </c>
      <c r="L48" s="721">
        <f t="shared" si="1"/>
        <v>0</v>
      </c>
      <c r="M48" s="668"/>
      <c r="N48" s="1711"/>
    </row>
    <row r="49" spans="2:14" ht="18">
      <c r="B49" s="46"/>
      <c r="C49" s="338" t="s">
        <v>1906</v>
      </c>
      <c r="D49" s="336" t="s">
        <v>2582</v>
      </c>
      <c r="E49" s="332"/>
      <c r="F49" s="332"/>
      <c r="G49" s="332"/>
      <c r="H49" s="332"/>
      <c r="I49" s="331"/>
      <c r="J49" s="721">
        <f>+'T4'!E114</f>
        <v>0</v>
      </c>
      <c r="K49" s="721">
        <f t="shared" si="0"/>
        <v>0</v>
      </c>
      <c r="L49" s="721">
        <f t="shared" si="1"/>
        <v>0</v>
      </c>
      <c r="M49" s="668"/>
      <c r="N49" s="1711"/>
    </row>
    <row r="50" spans="2:14" ht="18">
      <c r="B50" s="46"/>
      <c r="C50" s="338" t="s">
        <v>1906</v>
      </c>
      <c r="D50" s="336" t="s">
        <v>164</v>
      </c>
      <c r="E50" s="371">
        <f>IF(AND('T1 GEN-2-3-4'!K85&gt;55309,L36&gt;0),"See guide re income &amp; allowable deduction","")</f>
      </c>
      <c r="F50" s="370"/>
      <c r="G50" s="332"/>
      <c r="H50" s="332"/>
      <c r="I50" s="721">
        <f>+'T4A(OAS)'!E36</f>
        <v>0</v>
      </c>
      <c r="J50" s="721">
        <f>+'T5007'!E32</f>
        <v>0</v>
      </c>
      <c r="K50" s="721">
        <f t="shared" si="0"/>
        <v>0</v>
      </c>
      <c r="L50" s="721">
        <f t="shared" si="1"/>
        <v>0</v>
      </c>
      <c r="M50" s="668"/>
      <c r="N50" s="1711"/>
    </row>
    <row r="51" spans="2:14" ht="18">
      <c r="B51" s="46"/>
      <c r="C51" s="338" t="s">
        <v>1906</v>
      </c>
      <c r="D51" s="336" t="s">
        <v>992</v>
      </c>
      <c r="E51" s="332"/>
      <c r="F51" s="332"/>
      <c r="G51" s="332"/>
      <c r="H51" s="332"/>
      <c r="I51" s="331"/>
      <c r="J51" s="721">
        <f>'T4E'!E53</f>
        <v>0</v>
      </c>
      <c r="K51" s="721">
        <f t="shared" si="0"/>
        <v>0</v>
      </c>
      <c r="L51" s="721">
        <f t="shared" si="1"/>
        <v>0</v>
      </c>
      <c r="M51" s="668"/>
      <c r="N51" s="1711"/>
    </row>
    <row r="52" spans="2:14" ht="18">
      <c r="B52" s="46"/>
      <c r="C52" s="338"/>
      <c r="D52" s="336"/>
      <c r="E52" s="332"/>
      <c r="F52" s="332"/>
      <c r="G52" s="332"/>
      <c r="H52" s="332"/>
      <c r="I52" s="331"/>
      <c r="J52" s="331"/>
      <c r="K52" s="721"/>
      <c r="L52" s="721"/>
      <c r="M52" s="668"/>
      <c r="N52" s="1711"/>
    </row>
    <row r="53" spans="2:14" ht="18">
      <c r="B53" s="46"/>
      <c r="C53" s="338" t="s">
        <v>1851</v>
      </c>
      <c r="D53" s="446" t="s">
        <v>201</v>
      </c>
      <c r="E53" s="333"/>
      <c r="F53" s="333"/>
      <c r="G53" s="333"/>
      <c r="H53" s="333"/>
      <c r="I53" s="487"/>
      <c r="J53" s="721">
        <f>+'T4RSP'!J54</f>
        <v>0</v>
      </c>
      <c r="K53" s="721">
        <f t="shared" si="0"/>
        <v>0</v>
      </c>
      <c r="L53" s="721">
        <f t="shared" si="1"/>
        <v>0</v>
      </c>
      <c r="M53" s="668"/>
      <c r="N53" s="1711"/>
    </row>
    <row r="54" spans="2:14" ht="18">
      <c r="B54" s="46"/>
      <c r="C54" s="338"/>
      <c r="D54" s="446"/>
      <c r="E54" s="333"/>
      <c r="F54" s="333"/>
      <c r="G54" s="333"/>
      <c r="H54" s="333"/>
      <c r="I54" s="487"/>
      <c r="J54" s="721"/>
      <c r="K54" s="721"/>
      <c r="L54" s="721"/>
      <c r="M54" s="668"/>
      <c r="N54" s="1711"/>
    </row>
    <row r="55" spans="2:14" ht="18">
      <c r="B55" s="46"/>
      <c r="C55" s="338" t="s">
        <v>416</v>
      </c>
      <c r="D55" s="336" t="s">
        <v>2453</v>
      </c>
      <c r="E55" s="364"/>
      <c r="F55" s="364"/>
      <c r="G55" s="364"/>
      <c r="H55" s="364"/>
      <c r="I55" s="368"/>
      <c r="J55" s="721">
        <f>MIN('T2204'!I50,'T2204'!I53,'T2204'!I55)</f>
        <v>0</v>
      </c>
      <c r="K55" s="721">
        <f>SUM(E55:J55)</f>
        <v>0</v>
      </c>
      <c r="L55" s="721">
        <f t="shared" si="1"/>
        <v>0</v>
      </c>
      <c r="M55" s="668"/>
      <c r="N55" s="1711"/>
    </row>
    <row r="56" spans="2:14" ht="18">
      <c r="B56" s="46"/>
      <c r="C56" s="338" t="s">
        <v>416</v>
      </c>
      <c r="D56" s="336" t="s">
        <v>2109</v>
      </c>
      <c r="E56" s="333"/>
      <c r="F56" s="333"/>
      <c r="G56" s="333"/>
      <c r="H56" s="333"/>
      <c r="I56" s="487"/>
      <c r="J56" s="721">
        <f>'T4'!E116</f>
        <v>0</v>
      </c>
      <c r="K56" s="721">
        <f>SUM(E56:J56)</f>
        <v>0</v>
      </c>
      <c r="L56" s="721">
        <f t="shared" si="1"/>
        <v>0</v>
      </c>
      <c r="M56" s="668"/>
      <c r="N56" s="1711"/>
    </row>
    <row r="57" spans="2:14" ht="18">
      <c r="B57" s="46"/>
      <c r="C57" s="338" t="s">
        <v>416</v>
      </c>
      <c r="D57" s="336" t="s">
        <v>2104</v>
      </c>
      <c r="E57" s="333"/>
      <c r="F57" s="333"/>
      <c r="G57" s="333"/>
      <c r="H57" s="333"/>
      <c r="I57" s="487"/>
      <c r="J57" s="721">
        <f>'T4'!E117</f>
        <v>0</v>
      </c>
      <c r="K57" s="721">
        <f>SUM(E57:J57)</f>
        <v>0</v>
      </c>
      <c r="L57" s="721">
        <f t="shared" si="1"/>
        <v>0</v>
      </c>
      <c r="M57" s="668"/>
      <c r="N57" s="1711"/>
    </row>
    <row r="58" spans="2:14" ht="18">
      <c r="B58" s="46"/>
      <c r="C58" s="338" t="s">
        <v>416</v>
      </c>
      <c r="D58" s="336" t="s">
        <v>166</v>
      </c>
      <c r="E58" s="333"/>
      <c r="F58" s="333"/>
      <c r="G58" s="333"/>
      <c r="H58" s="1216">
        <f>0.189655*SUM('Sch4-2'!E35:E49)</f>
        <v>0</v>
      </c>
      <c r="I58" s="1215">
        <f>0.133333*SUM('Sch4-2'!E13:E27)</f>
        <v>0</v>
      </c>
      <c r="J58" s="721">
        <f>'T4PS'!E56</f>
        <v>0</v>
      </c>
      <c r="K58" s="721">
        <f t="shared" si="0"/>
        <v>0</v>
      </c>
      <c r="L58" s="721">
        <f t="shared" si="1"/>
        <v>0</v>
      </c>
      <c r="M58" s="668"/>
      <c r="N58" s="1711"/>
    </row>
    <row r="59" spans="2:14" ht="18">
      <c r="B59" s="46"/>
      <c r="C59" s="338" t="s">
        <v>893</v>
      </c>
      <c r="D59" s="336" t="s">
        <v>167</v>
      </c>
      <c r="E59" s="333"/>
      <c r="F59" s="333"/>
      <c r="G59" s="333"/>
      <c r="H59" s="333"/>
      <c r="I59" s="487"/>
      <c r="J59" s="721">
        <f>'T4PS'!E57</f>
        <v>0</v>
      </c>
      <c r="K59" s="721">
        <f t="shared" si="0"/>
        <v>0</v>
      </c>
      <c r="L59" s="721">
        <f t="shared" si="1"/>
        <v>0</v>
      </c>
      <c r="M59" s="668"/>
      <c r="N59" s="1711"/>
    </row>
    <row r="60" spans="2:14" ht="18.75" thickBot="1">
      <c r="B60" s="46"/>
      <c r="C60" s="552" t="s">
        <v>893</v>
      </c>
      <c r="D60" s="553" t="s">
        <v>168</v>
      </c>
      <c r="E60" s="554"/>
      <c r="F60" s="554"/>
      <c r="G60" s="554"/>
      <c r="H60" s="554"/>
      <c r="I60" s="555"/>
      <c r="J60" s="721">
        <f>'T4PS'!E58</f>
        <v>0</v>
      </c>
      <c r="K60" s="722">
        <f t="shared" si="0"/>
        <v>0</v>
      </c>
      <c r="L60" s="722">
        <f t="shared" si="1"/>
        <v>0</v>
      </c>
      <c r="M60" s="668"/>
      <c r="N60" s="1711"/>
    </row>
    <row r="61" spans="2:14" ht="18">
      <c r="B61" s="46"/>
      <c r="C61" s="556" t="s">
        <v>1048</v>
      </c>
      <c r="D61" s="557" t="s">
        <v>2457</v>
      </c>
      <c r="E61" s="558"/>
      <c r="F61" s="559"/>
      <c r="G61" s="723">
        <f>IF('T1032E'!N99&gt;0,-'T1032E'!N99,'T1032E'!N138)</f>
        <v>0</v>
      </c>
      <c r="H61" s="723">
        <f>+'T4A(OAS)'!E37</f>
        <v>0</v>
      </c>
      <c r="I61" s="724">
        <f>+'T4E'!E55</f>
        <v>0</v>
      </c>
      <c r="J61" s="721">
        <f>'T4A'!E60</f>
        <v>0</v>
      </c>
      <c r="K61" s="724">
        <f>SUM(E61:J62)</f>
        <v>0</v>
      </c>
      <c r="L61" s="725">
        <f t="shared" si="1"/>
        <v>0</v>
      </c>
      <c r="M61" s="668"/>
      <c r="N61" s="1711"/>
    </row>
    <row r="62" spans="2:14" ht="18.75" thickBot="1">
      <c r="B62" s="46"/>
      <c r="C62" s="560" t="s">
        <v>1048</v>
      </c>
      <c r="D62" s="561" t="s">
        <v>2457</v>
      </c>
      <c r="E62" s="564"/>
      <c r="F62" s="564"/>
      <c r="G62" s="598">
        <f>'T4A(P)'!E29</f>
        <v>0</v>
      </c>
      <c r="H62" s="598">
        <f>'T4RIF'!J57</f>
        <v>0</v>
      </c>
      <c r="I62" s="726">
        <f>'T4RSP'!J67</f>
        <v>0</v>
      </c>
      <c r="J62" s="721">
        <f>'T4'!E115</f>
        <v>0</v>
      </c>
      <c r="K62" s="562"/>
      <c r="L62" s="563"/>
      <c r="M62" s="668"/>
      <c r="N62" s="1711"/>
    </row>
    <row r="63" spans="2:14" ht="18">
      <c r="B63" s="46"/>
      <c r="C63" s="337"/>
      <c r="D63" s="335"/>
      <c r="E63" s="368"/>
      <c r="F63" s="368"/>
      <c r="G63" s="368"/>
      <c r="H63" s="368"/>
      <c r="I63" s="368"/>
      <c r="J63" s="368"/>
      <c r="K63" s="368"/>
      <c r="L63" s="368"/>
      <c r="M63" s="668"/>
      <c r="N63" s="1711"/>
    </row>
    <row r="64" spans="2:14" ht="18">
      <c r="B64" s="46"/>
      <c r="C64" s="338" t="s">
        <v>1048</v>
      </c>
      <c r="D64" s="335" t="s">
        <v>768</v>
      </c>
      <c r="E64" s="332"/>
      <c r="F64" s="332"/>
      <c r="G64" s="332"/>
      <c r="H64" s="332"/>
      <c r="I64" s="331"/>
      <c r="J64" s="721">
        <f>IF('T2204'!I58&lt;1,0,'T2204'!I58)</f>
        <v>0</v>
      </c>
      <c r="K64" s="721">
        <f>SUM(E64:J64)</f>
        <v>0</v>
      </c>
      <c r="L64" s="721">
        <f t="shared" si="1"/>
        <v>0</v>
      </c>
      <c r="M64" s="668"/>
      <c r="N64" s="1711"/>
    </row>
    <row r="65" spans="2:14" ht="18">
      <c r="B65" s="46"/>
      <c r="C65" s="338" t="s">
        <v>1048</v>
      </c>
      <c r="D65" s="336" t="s">
        <v>169</v>
      </c>
      <c r="E65" s="332"/>
      <c r="F65" s="332"/>
      <c r="G65" s="332"/>
      <c r="H65" s="332"/>
      <c r="I65" s="331"/>
      <c r="J65" s="331"/>
      <c r="K65" s="721">
        <f t="shared" si="0"/>
        <v>0</v>
      </c>
      <c r="L65" s="721">
        <f t="shared" si="1"/>
        <v>0</v>
      </c>
      <c r="M65" s="668"/>
      <c r="N65" s="1711"/>
    </row>
    <row r="66" spans="2:14" ht="18">
      <c r="B66" s="46"/>
      <c r="C66" s="338" t="s">
        <v>165</v>
      </c>
      <c r="D66" s="336" t="s">
        <v>170</v>
      </c>
      <c r="E66" s="332"/>
      <c r="F66" s="332"/>
      <c r="G66" s="332"/>
      <c r="H66" s="332"/>
      <c r="I66" s="331"/>
      <c r="J66" s="331"/>
      <c r="K66" s="721">
        <f t="shared" si="0"/>
        <v>0</v>
      </c>
      <c r="L66" s="721">
        <f t="shared" si="1"/>
        <v>0</v>
      </c>
      <c r="M66" s="668"/>
      <c r="N66" s="1711"/>
    </row>
    <row r="67" spans="2:14" ht="18">
      <c r="B67" s="46"/>
      <c r="C67" s="338" t="s">
        <v>165</v>
      </c>
      <c r="D67" s="336" t="s">
        <v>1738</v>
      </c>
      <c r="E67" s="332"/>
      <c r="F67" s="332"/>
      <c r="G67" s="332"/>
      <c r="H67" s="332"/>
      <c r="I67" s="331"/>
      <c r="J67" s="331"/>
      <c r="K67" s="721">
        <f t="shared" si="0"/>
        <v>0</v>
      </c>
      <c r="L67" s="721">
        <f t="shared" si="1"/>
        <v>0</v>
      </c>
      <c r="M67" s="668"/>
      <c r="N67" s="1711"/>
    </row>
    <row r="68" spans="2:14" ht="18">
      <c r="B68" s="46"/>
      <c r="C68" s="338" t="s">
        <v>165</v>
      </c>
      <c r="D68" s="336" t="s">
        <v>160</v>
      </c>
      <c r="E68" s="332"/>
      <c r="F68" s="332"/>
      <c r="G68" s="332"/>
      <c r="H68" s="332"/>
      <c r="I68" s="331"/>
      <c r="J68" s="331"/>
      <c r="K68" s="721">
        <f t="shared" si="0"/>
        <v>0</v>
      </c>
      <c r="L68" s="721">
        <f t="shared" si="1"/>
        <v>0</v>
      </c>
      <c r="M68" s="668"/>
      <c r="N68" s="1711"/>
    </row>
    <row r="69" spans="2:14" ht="18">
      <c r="B69" s="46"/>
      <c r="C69" s="338" t="s">
        <v>165</v>
      </c>
      <c r="D69" s="336" t="s">
        <v>1739</v>
      </c>
      <c r="E69" s="332"/>
      <c r="F69" s="332"/>
      <c r="G69" s="332"/>
      <c r="H69" s="332"/>
      <c r="I69" s="331"/>
      <c r="J69" s="721">
        <f>+'T4PS'!E59</f>
        <v>0</v>
      </c>
      <c r="K69" s="721">
        <f t="shared" si="0"/>
        <v>0</v>
      </c>
      <c r="L69" s="721">
        <f t="shared" si="1"/>
        <v>0</v>
      </c>
      <c r="M69" s="668"/>
      <c r="N69" s="1711"/>
    </row>
    <row r="70" spans="2:14" ht="18">
      <c r="B70" s="46"/>
      <c r="C70" s="338" t="s">
        <v>165</v>
      </c>
      <c r="D70" s="336" t="s">
        <v>161</v>
      </c>
      <c r="E70" s="332"/>
      <c r="F70" s="332"/>
      <c r="G70" s="332"/>
      <c r="H70" s="332"/>
      <c r="I70" s="331"/>
      <c r="J70" s="331"/>
      <c r="K70" s="721">
        <f t="shared" si="0"/>
        <v>0</v>
      </c>
      <c r="L70" s="721">
        <f t="shared" si="1"/>
        <v>0</v>
      </c>
      <c r="M70" s="668"/>
      <c r="N70" s="1711"/>
    </row>
    <row r="71" spans="2:14" ht="18">
      <c r="B71" s="46"/>
      <c r="C71" s="338" t="s">
        <v>1740</v>
      </c>
      <c r="D71" s="336" t="s">
        <v>1850</v>
      </c>
      <c r="E71" s="332"/>
      <c r="F71" s="332"/>
      <c r="G71" s="332"/>
      <c r="H71" s="332"/>
      <c r="I71" s="331"/>
      <c r="J71" s="331"/>
      <c r="K71" s="721">
        <f t="shared" si="0"/>
        <v>0</v>
      </c>
      <c r="L71" s="721">
        <f t="shared" si="1"/>
        <v>0</v>
      </c>
      <c r="M71" s="668"/>
      <c r="N71" s="1711"/>
    </row>
    <row r="72" spans="2:14" ht="18">
      <c r="B72" s="46"/>
      <c r="C72" s="338" t="s">
        <v>1741</v>
      </c>
      <c r="D72" s="336" t="s">
        <v>1915</v>
      </c>
      <c r="E72" s="332"/>
      <c r="F72" s="332"/>
      <c r="G72" s="332"/>
      <c r="H72" s="332"/>
      <c r="I72" s="331"/>
      <c r="J72" s="721">
        <f>'T4RSP'!J69</f>
        <v>0</v>
      </c>
      <c r="K72" s="721">
        <f t="shared" si="0"/>
        <v>0</v>
      </c>
      <c r="L72" s="721">
        <f t="shared" si="1"/>
        <v>0</v>
      </c>
      <c r="M72" s="668"/>
      <c r="N72" s="1711"/>
    </row>
    <row r="73" spans="2:14" ht="18">
      <c r="B73" s="46"/>
      <c r="C73" s="338" t="s">
        <v>1741</v>
      </c>
      <c r="D73" s="336" t="s">
        <v>2451</v>
      </c>
      <c r="E73" s="332"/>
      <c r="F73" s="332"/>
      <c r="G73" s="332"/>
      <c r="H73" s="332"/>
      <c r="I73" s="331"/>
      <c r="J73" s="721">
        <f>'T4RSP'!J70</f>
        <v>0</v>
      </c>
      <c r="K73" s="721">
        <f>SUM(E73:J73)</f>
        <v>0</v>
      </c>
      <c r="L73" s="721">
        <f t="shared" si="1"/>
        <v>0</v>
      </c>
      <c r="M73" s="668"/>
      <c r="N73" s="1711"/>
    </row>
    <row r="74" spans="2:14" ht="18">
      <c r="B74" s="46"/>
      <c r="C74" s="338" t="s">
        <v>417</v>
      </c>
      <c r="D74" s="336" t="s">
        <v>700</v>
      </c>
      <c r="E74" s="332"/>
      <c r="F74" s="332"/>
      <c r="G74" s="332"/>
      <c r="H74" s="332"/>
      <c r="I74" s="331"/>
      <c r="J74" s="721">
        <f>+'T4'!E118</f>
        <v>0</v>
      </c>
      <c r="K74" s="721">
        <f t="shared" si="0"/>
        <v>0</v>
      </c>
      <c r="L74" s="721">
        <f t="shared" si="1"/>
        <v>0</v>
      </c>
      <c r="M74" s="668"/>
      <c r="N74" s="1711"/>
    </row>
    <row r="75" spans="2:14" ht="18">
      <c r="B75" s="46"/>
      <c r="C75" s="338" t="s">
        <v>417</v>
      </c>
      <c r="D75" s="336" t="s">
        <v>2288</v>
      </c>
      <c r="E75" s="332"/>
      <c r="F75" s="332"/>
      <c r="G75" s="332"/>
      <c r="H75" s="332"/>
      <c r="I75" s="331"/>
      <c r="J75" s="721">
        <f>+'T4'!E119</f>
        <v>0</v>
      </c>
      <c r="K75" s="721">
        <f t="shared" si="0"/>
        <v>0</v>
      </c>
      <c r="L75" s="721">
        <f t="shared" si="1"/>
        <v>0</v>
      </c>
      <c r="M75" s="668"/>
      <c r="N75" s="1711"/>
    </row>
    <row r="76" spans="2:14" ht="18">
      <c r="B76" s="46"/>
      <c r="C76" s="338" t="s">
        <v>1049</v>
      </c>
      <c r="D76" s="336" t="s">
        <v>661</v>
      </c>
      <c r="E76" s="332"/>
      <c r="F76" s="332"/>
      <c r="G76" s="332"/>
      <c r="H76" s="332"/>
      <c r="I76" s="721">
        <f>+'T4'!E120</f>
        <v>0</v>
      </c>
      <c r="J76" s="721">
        <f>+'T4A'!E61</f>
        <v>0</v>
      </c>
      <c r="K76" s="721">
        <f t="shared" si="0"/>
        <v>0</v>
      </c>
      <c r="L76" s="721">
        <f t="shared" si="1"/>
        <v>0</v>
      </c>
      <c r="M76" s="668"/>
      <c r="N76" s="1711"/>
    </row>
    <row r="77" spans="2:14" ht="18">
      <c r="B77" s="46"/>
      <c r="C77" s="338" t="s">
        <v>1049</v>
      </c>
      <c r="D77" s="336" t="s">
        <v>1742</v>
      </c>
      <c r="E77" s="332"/>
      <c r="F77" s="332"/>
      <c r="G77" s="332"/>
      <c r="H77" s="332"/>
      <c r="I77" s="331"/>
      <c r="J77" s="331"/>
      <c r="K77" s="721">
        <f t="shared" si="0"/>
        <v>0</v>
      </c>
      <c r="L77" s="721">
        <f t="shared" si="1"/>
        <v>0</v>
      </c>
      <c r="M77" s="668"/>
      <c r="N77" s="1711"/>
    </row>
    <row r="78" spans="2:14" ht="18">
      <c r="B78" s="46"/>
      <c r="C78" s="338" t="s">
        <v>1049</v>
      </c>
      <c r="D78" s="336" t="s">
        <v>1743</v>
      </c>
      <c r="E78" s="332"/>
      <c r="F78" s="332"/>
      <c r="G78" s="332"/>
      <c r="H78" s="332"/>
      <c r="I78" s="331"/>
      <c r="J78" s="331"/>
      <c r="K78" s="721">
        <f t="shared" si="0"/>
        <v>0</v>
      </c>
      <c r="L78" s="721">
        <f t="shared" si="1"/>
        <v>0</v>
      </c>
      <c r="M78" s="668"/>
      <c r="N78" s="1711"/>
    </row>
    <row r="79" spans="2:14" ht="18">
      <c r="B79" s="46"/>
      <c r="C79" s="338" t="s">
        <v>1049</v>
      </c>
      <c r="D79" s="336" t="s">
        <v>1744</v>
      </c>
      <c r="E79" s="332"/>
      <c r="F79" s="332"/>
      <c r="G79" s="332"/>
      <c r="H79" s="332"/>
      <c r="I79" s="331"/>
      <c r="J79" s="331"/>
      <c r="K79" s="721">
        <f t="shared" si="0"/>
        <v>0</v>
      </c>
      <c r="L79" s="721">
        <f t="shared" si="1"/>
        <v>0</v>
      </c>
      <c r="M79" s="668"/>
      <c r="N79" s="1711"/>
    </row>
    <row r="80" spans="2:14" ht="18">
      <c r="B80" s="46"/>
      <c r="C80" s="338" t="s">
        <v>1745</v>
      </c>
      <c r="D80" s="336"/>
      <c r="E80" s="332"/>
      <c r="F80" s="332"/>
      <c r="G80" s="332"/>
      <c r="H80" s="332"/>
      <c r="I80" s="331"/>
      <c r="J80" s="331"/>
      <c r="K80" s="721">
        <f t="shared" si="0"/>
        <v>0</v>
      </c>
      <c r="L80" s="721">
        <f t="shared" si="1"/>
        <v>0</v>
      </c>
      <c r="M80" s="668"/>
      <c r="N80" s="1711"/>
    </row>
    <row r="81" spans="2:14" ht="18">
      <c r="B81" s="46"/>
      <c r="C81" s="338" t="s">
        <v>1853</v>
      </c>
      <c r="D81" s="336"/>
      <c r="E81" s="332"/>
      <c r="F81" s="332"/>
      <c r="G81" s="332"/>
      <c r="H81" s="332"/>
      <c r="I81" s="331"/>
      <c r="J81" s="721">
        <f>+'T4A'!E62</f>
        <v>0</v>
      </c>
      <c r="K81" s="721">
        <f t="shared" si="0"/>
        <v>0</v>
      </c>
      <c r="L81" s="721">
        <f t="shared" si="1"/>
        <v>0</v>
      </c>
      <c r="M81" s="668"/>
      <c r="N81" s="1711"/>
    </row>
    <row r="82" spans="2:14" ht="18">
      <c r="B82" s="46"/>
      <c r="C82" s="338" t="s">
        <v>892</v>
      </c>
      <c r="D82" s="336" t="s">
        <v>953</v>
      </c>
      <c r="E82" s="332"/>
      <c r="F82" s="332"/>
      <c r="G82" s="332"/>
      <c r="H82" s="332"/>
      <c r="I82" s="331"/>
      <c r="J82" s="721">
        <f>+'T4'!E121</f>
        <v>0</v>
      </c>
      <c r="K82" s="721">
        <f t="shared" si="0"/>
        <v>0</v>
      </c>
      <c r="L82" s="721">
        <f t="shared" si="1"/>
        <v>0</v>
      </c>
      <c r="M82" s="668"/>
      <c r="N82" s="1711"/>
    </row>
    <row r="83" spans="2:14" ht="18">
      <c r="B83" s="46"/>
      <c r="C83" s="338" t="s">
        <v>1852</v>
      </c>
      <c r="D83" s="336"/>
      <c r="E83" s="332"/>
      <c r="F83" s="332"/>
      <c r="G83" s="332"/>
      <c r="H83" s="332"/>
      <c r="I83" s="331"/>
      <c r="J83" s="331"/>
      <c r="K83" s="721">
        <f t="shared" si="0"/>
        <v>0</v>
      </c>
      <c r="L83" s="721">
        <f t="shared" si="1"/>
        <v>0</v>
      </c>
      <c r="M83" s="668"/>
      <c r="N83" s="1711"/>
    </row>
    <row r="84" spans="2:14" ht="18">
      <c r="B84" s="46"/>
      <c r="C84" s="338" t="s">
        <v>204</v>
      </c>
      <c r="D84" s="336" t="s">
        <v>1687</v>
      </c>
      <c r="E84" s="364"/>
      <c r="F84" s="364"/>
      <c r="G84" s="364"/>
      <c r="H84" s="364"/>
      <c r="I84" s="368"/>
      <c r="J84" s="721">
        <f>+'T4'!E122</f>
        <v>0</v>
      </c>
      <c r="K84" s="721">
        <f t="shared" si="0"/>
        <v>0</v>
      </c>
      <c r="L84" s="721">
        <f t="shared" si="1"/>
        <v>0</v>
      </c>
      <c r="M84" s="668"/>
      <c r="N84" s="1711"/>
    </row>
    <row r="85" spans="2:14" ht="18">
      <c r="B85" s="46"/>
      <c r="C85" s="338" t="s">
        <v>204</v>
      </c>
      <c r="D85" s="336" t="s">
        <v>281</v>
      </c>
      <c r="E85" s="364"/>
      <c r="F85" s="364"/>
      <c r="G85" s="364"/>
      <c r="H85" s="364"/>
      <c r="I85" s="368"/>
      <c r="J85" s="721">
        <f>'T4'!E123</f>
        <v>0</v>
      </c>
      <c r="K85" s="721">
        <f t="shared" si="0"/>
        <v>0</v>
      </c>
      <c r="L85" s="721">
        <f t="shared" si="1"/>
        <v>0</v>
      </c>
      <c r="M85" s="668"/>
      <c r="N85" s="1711"/>
    </row>
    <row r="86" spans="2:14" ht="18">
      <c r="B86" s="46"/>
      <c r="C86" s="338" t="s">
        <v>204</v>
      </c>
      <c r="D86" s="336" t="s">
        <v>538</v>
      </c>
      <c r="E86" s="364"/>
      <c r="F86" s="364"/>
      <c r="G86" s="364"/>
      <c r="H86" s="364"/>
      <c r="I86" s="364"/>
      <c r="J86" s="721">
        <f>+'T4'!E124</f>
        <v>0</v>
      </c>
      <c r="K86" s="721">
        <f>SUM(E86:J86)</f>
        <v>0</v>
      </c>
      <c r="L86" s="721">
        <f t="shared" si="1"/>
        <v>0</v>
      </c>
      <c r="M86" s="668"/>
      <c r="N86" s="1711"/>
    </row>
    <row r="87" spans="2:14" ht="18">
      <c r="B87" s="46"/>
      <c r="C87" s="338" t="s">
        <v>204</v>
      </c>
      <c r="D87" s="336" t="s">
        <v>427</v>
      </c>
      <c r="E87" s="364"/>
      <c r="F87" s="364"/>
      <c r="G87" s="364"/>
      <c r="H87" s="364"/>
      <c r="I87" s="364"/>
      <c r="J87" s="721">
        <f>'T4'!E125</f>
        <v>0</v>
      </c>
      <c r="K87" s="721">
        <f>SUM(E87:J87)</f>
        <v>0</v>
      </c>
      <c r="L87" s="721">
        <f t="shared" si="1"/>
        <v>0</v>
      </c>
      <c r="M87" s="668"/>
      <c r="N87" s="1711"/>
    </row>
    <row r="88" spans="2:14" ht="18">
      <c r="B88" s="46"/>
      <c r="C88" s="338"/>
      <c r="D88" s="336"/>
      <c r="E88" s="332"/>
      <c r="F88" s="332"/>
      <c r="G88" s="332"/>
      <c r="H88" s="332"/>
      <c r="I88" s="331"/>
      <c r="J88" s="331"/>
      <c r="K88" s="721"/>
      <c r="L88" s="721"/>
      <c r="M88" s="668"/>
      <c r="N88" s="1711"/>
    </row>
    <row r="89" spans="2:14" ht="18">
      <c r="B89" s="46"/>
      <c r="C89" s="338" t="s">
        <v>893</v>
      </c>
      <c r="D89" s="336"/>
      <c r="E89" s="332"/>
      <c r="F89" s="332"/>
      <c r="G89" s="332"/>
      <c r="H89" s="332"/>
      <c r="I89" s="331"/>
      <c r="J89" s="331"/>
      <c r="K89" s="721">
        <f t="shared" si="0"/>
        <v>0</v>
      </c>
      <c r="L89" s="721">
        <f t="shared" si="1"/>
        <v>0</v>
      </c>
      <c r="M89" s="668"/>
      <c r="N89" s="1711"/>
    </row>
    <row r="90" spans="2:14" ht="18">
      <c r="B90" s="46"/>
      <c r="C90" s="338" t="s">
        <v>90</v>
      </c>
      <c r="D90" s="336"/>
      <c r="E90" s="332"/>
      <c r="F90" s="332"/>
      <c r="G90" s="332"/>
      <c r="H90" s="332"/>
      <c r="I90" s="331"/>
      <c r="J90" s="331"/>
      <c r="K90" s="721">
        <f t="shared" si="0"/>
        <v>0</v>
      </c>
      <c r="L90" s="721">
        <f t="shared" si="1"/>
        <v>0</v>
      </c>
      <c r="M90" s="668"/>
      <c r="N90" s="1711"/>
    </row>
    <row r="91" spans="2:14" ht="18">
      <c r="B91" s="46"/>
      <c r="C91" s="338" t="s">
        <v>203</v>
      </c>
      <c r="D91" s="336" t="s">
        <v>1102</v>
      </c>
      <c r="E91" s="332"/>
      <c r="F91" s="332"/>
      <c r="G91" s="332"/>
      <c r="H91" s="332"/>
      <c r="I91" s="331"/>
      <c r="J91" s="331"/>
      <c r="K91" s="721">
        <f t="shared" si="0"/>
        <v>0</v>
      </c>
      <c r="L91" s="721">
        <f t="shared" si="1"/>
        <v>0</v>
      </c>
      <c r="M91" s="668"/>
      <c r="N91" s="1711"/>
    </row>
    <row r="92" spans="2:14" ht="18">
      <c r="B92" s="46"/>
      <c r="C92" s="338"/>
      <c r="D92" s="336"/>
      <c r="E92" s="332"/>
      <c r="F92" s="332"/>
      <c r="G92" s="332"/>
      <c r="H92" s="332"/>
      <c r="I92" s="331"/>
      <c r="J92" s="331"/>
      <c r="K92" s="721"/>
      <c r="L92" s="721"/>
      <c r="M92" s="668"/>
      <c r="N92" s="1711"/>
    </row>
    <row r="93" spans="2:14" ht="18">
      <c r="B93" s="46"/>
      <c r="C93" s="49"/>
      <c r="D93" s="46"/>
      <c r="E93" s="51"/>
      <c r="F93" s="48"/>
      <c r="G93" s="48"/>
      <c r="H93" s="674"/>
      <c r="I93" s="674"/>
      <c r="J93" s="674"/>
      <c r="K93" s="48"/>
      <c r="L93" s="675"/>
      <c r="M93" s="668"/>
      <c r="N93" s="1711"/>
    </row>
    <row r="94" spans="2:14" ht="18">
      <c r="B94" s="46"/>
      <c r="C94" s="365" t="s">
        <v>1566</v>
      </c>
      <c r="D94" s="46"/>
      <c r="E94" s="51"/>
      <c r="F94" s="48"/>
      <c r="G94" s="48"/>
      <c r="H94" s="674"/>
      <c r="I94" s="674"/>
      <c r="J94" s="674"/>
      <c r="K94" s="48"/>
      <c r="L94" s="675"/>
      <c r="M94" s="668"/>
      <c r="N94" s="1711"/>
    </row>
  </sheetData>
  <sheetProtection password="EC35" sheet="1" objects="1" scenarios="1"/>
  <mergeCells count="1">
    <mergeCell ref="N1:N94"/>
  </mergeCells>
  <hyperlinks>
    <hyperlink ref="N1:N94" location="'GO TO'!G22" display=" "/>
  </hyperlinks>
  <printOptions horizontalCentered="1"/>
  <pageMargins left="0" right="0" top="0.5" bottom="0.25" header="0.5" footer="0.5"/>
  <pageSetup fitToHeight="0" fitToWidth="1" horizontalDpi="600" verticalDpi="600" orientation="landscape" scale="69" r:id="rId3"/>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H30"/>
  <sheetViews>
    <sheetView showGridLines="0" zoomScale="85" zoomScaleNormal="85" workbookViewId="0" topLeftCell="A1">
      <selection activeCell="A2" sqref="A2"/>
    </sheetView>
  </sheetViews>
  <sheetFormatPr defaultColWidth="7.10546875" defaultRowHeight="15"/>
  <cols>
    <col min="1" max="1" width="7.10546875" style="488" customWidth="1"/>
    <col min="2" max="2" width="11.5546875" style="488" customWidth="1"/>
    <col min="3" max="3" width="12.3359375" style="488" customWidth="1"/>
    <col min="4" max="4" width="35.3359375" style="488" customWidth="1"/>
    <col min="5" max="5" width="7.10546875" style="488" customWidth="1"/>
    <col min="6" max="6" width="3.77734375" style="488" customWidth="1"/>
    <col min="7" max="7" width="3.88671875" style="488" customWidth="1"/>
    <col min="8" max="16384" width="7.10546875" style="488" customWidth="1"/>
  </cols>
  <sheetData>
    <row r="1" spans="1:8" ht="18">
      <c r="A1" s="495"/>
      <c r="B1" s="495"/>
      <c r="C1" s="495"/>
      <c r="D1" s="504" t="s">
        <v>435</v>
      </c>
      <c r="E1" s="495"/>
      <c r="F1" s="495"/>
      <c r="G1" s="1325"/>
      <c r="H1" s="1495" t="s">
        <v>1659</v>
      </c>
    </row>
    <row r="2" spans="1:8" ht="12.75">
      <c r="A2" s="495"/>
      <c r="B2" s="495"/>
      <c r="C2" s="495"/>
      <c r="D2" s="495"/>
      <c r="E2" s="495"/>
      <c r="F2" s="495"/>
      <c r="G2" s="495"/>
      <c r="H2" s="1495"/>
    </row>
    <row r="3" spans="1:8" ht="13.5" customHeight="1">
      <c r="A3" s="783" t="s">
        <v>1592</v>
      </c>
      <c r="B3" s="495"/>
      <c r="C3" s="495"/>
      <c r="D3" s="495"/>
      <c r="E3" s="495"/>
      <c r="F3" s="495"/>
      <c r="G3" s="495"/>
      <c r="H3" s="1495"/>
    </row>
    <row r="4" spans="1:8" ht="13.5" customHeight="1">
      <c r="A4" s="783" t="str">
        <f>"Consult the General Income Tax and Benefit Guide "&amp;yeartext&amp;" for the qualification rules."</f>
        <v>Consult the General Income Tax and Benefit Guide 2007 for the qualification rules.</v>
      </c>
      <c r="B4" s="495"/>
      <c r="C4" s="495"/>
      <c r="D4" s="495"/>
      <c r="E4" s="495"/>
      <c r="F4" s="495"/>
      <c r="G4" s="495"/>
      <c r="H4" s="1495"/>
    </row>
    <row r="5" spans="1:8" ht="13.5" customHeight="1">
      <c r="A5" s="783" t="s">
        <v>1953</v>
      </c>
      <c r="B5" s="495"/>
      <c r="C5" s="495"/>
      <c r="D5" s="495"/>
      <c r="E5" s="495"/>
      <c r="F5" s="495"/>
      <c r="G5" s="495"/>
      <c r="H5" s="1495"/>
    </row>
    <row r="6" spans="1:8" ht="12.75">
      <c r="A6" s="784"/>
      <c r="B6" s="495"/>
      <c r="C6" s="495"/>
      <c r="D6" s="495"/>
      <c r="E6" s="495"/>
      <c r="F6" s="495"/>
      <c r="G6" s="495"/>
      <c r="H6" s="1495"/>
    </row>
    <row r="7" spans="1:8" ht="12.75">
      <c r="A7" s="785"/>
      <c r="B7" s="497" t="s">
        <v>1516</v>
      </c>
      <c r="C7" s="498"/>
      <c r="D7" s="499" t="s">
        <v>1517</v>
      </c>
      <c r="E7" s="499" t="s">
        <v>666</v>
      </c>
      <c r="F7" s="1487" t="s">
        <v>2011</v>
      </c>
      <c r="G7" s="495"/>
      <c r="H7" s="1495"/>
    </row>
    <row r="8" spans="1:8" ht="12.75">
      <c r="A8" s="786" t="s">
        <v>1520</v>
      </c>
      <c r="B8" s="500" t="s">
        <v>1518</v>
      </c>
      <c r="C8" s="500" t="s">
        <v>1519</v>
      </c>
      <c r="D8" s="501"/>
      <c r="E8" s="927" t="s">
        <v>667</v>
      </c>
      <c r="F8" s="1488"/>
      <c r="G8" s="495"/>
      <c r="H8" s="1495"/>
    </row>
    <row r="9" spans="1:8" ht="12.75">
      <c r="A9" s="803"/>
      <c r="B9" s="804"/>
      <c r="C9" s="804"/>
      <c r="D9" s="805"/>
      <c r="E9" s="805"/>
      <c r="F9" s="805"/>
      <c r="G9" s="495"/>
      <c r="H9" s="1495"/>
    </row>
    <row r="10" spans="1:8" ht="12.75">
      <c r="A10" s="787">
        <v>303</v>
      </c>
      <c r="B10" s="496" t="s">
        <v>1851</v>
      </c>
      <c r="C10" s="496" t="s">
        <v>1521</v>
      </c>
      <c r="D10" s="806" t="s">
        <v>880</v>
      </c>
      <c r="E10" s="1496" t="s">
        <v>667</v>
      </c>
      <c r="F10" s="805"/>
      <c r="G10" s="1324" t="b">
        <f>IF(E10="NO",FALSE,TRUE)</f>
        <v>0</v>
      </c>
      <c r="H10" s="1495"/>
    </row>
    <row r="11" spans="1:8" ht="12.75">
      <c r="A11" s="787">
        <v>5812</v>
      </c>
      <c r="B11" s="496" t="s">
        <v>432</v>
      </c>
      <c r="C11" s="496" t="s">
        <v>434</v>
      </c>
      <c r="D11" s="805"/>
      <c r="E11" s="1496"/>
      <c r="F11" s="805"/>
      <c r="G11" s="495"/>
      <c r="H11" s="1495"/>
    </row>
    <row r="12" spans="1:8" ht="12.75">
      <c r="A12" s="784"/>
      <c r="B12" s="495"/>
      <c r="C12" s="495"/>
      <c r="D12" s="495"/>
      <c r="E12" s="495"/>
      <c r="F12" s="495"/>
      <c r="G12" s="495"/>
      <c r="H12" s="1495"/>
    </row>
    <row r="13" spans="1:8" ht="12.75">
      <c r="A13" s="787">
        <v>305</v>
      </c>
      <c r="B13" s="496" t="s">
        <v>1851</v>
      </c>
      <c r="C13" s="496" t="s">
        <v>1521</v>
      </c>
      <c r="D13" s="496" t="s">
        <v>1810</v>
      </c>
      <c r="E13" s="1484" t="s">
        <v>667</v>
      </c>
      <c r="F13" s="495"/>
      <c r="G13" s="1324" t="b">
        <f>IF(E13="NO",FALSE,TRUE)</f>
        <v>0</v>
      </c>
      <c r="H13" s="1495"/>
    </row>
    <row r="14" spans="1:8" ht="12.75">
      <c r="A14" s="787">
        <v>5816</v>
      </c>
      <c r="B14" s="496" t="s">
        <v>432</v>
      </c>
      <c r="C14" s="496" t="s">
        <v>434</v>
      </c>
      <c r="D14" s="496"/>
      <c r="E14" s="1485"/>
      <c r="F14" s="495"/>
      <c r="G14" s="1327"/>
      <c r="H14" s="1495"/>
    </row>
    <row r="15" spans="1:8" ht="12.75">
      <c r="A15" s="787"/>
      <c r="B15" s="496"/>
      <c r="C15" s="496"/>
      <c r="D15" s="496"/>
      <c r="E15" s="502"/>
      <c r="F15" s="495"/>
      <c r="G15" s="1327"/>
      <c r="H15" s="1495"/>
    </row>
    <row r="16" spans="1:8" ht="12.75">
      <c r="A16" s="787">
        <v>306</v>
      </c>
      <c r="B16" s="496" t="s">
        <v>1851</v>
      </c>
      <c r="C16" s="496" t="s">
        <v>1521</v>
      </c>
      <c r="D16" s="496" t="s">
        <v>433</v>
      </c>
      <c r="E16" s="1484" t="s">
        <v>667</v>
      </c>
      <c r="F16" s="495"/>
      <c r="G16" s="1324" t="b">
        <f>IF(E16="NO",FALSE,TRUE)</f>
        <v>0</v>
      </c>
      <c r="H16" s="1495"/>
    </row>
    <row r="17" spans="1:8" ht="12.75" customHeight="1">
      <c r="A17" s="787">
        <v>5820</v>
      </c>
      <c r="B17" s="496" t="s">
        <v>432</v>
      </c>
      <c r="C17" s="496" t="s">
        <v>434</v>
      </c>
      <c r="D17" s="496"/>
      <c r="E17" s="1485"/>
      <c r="F17" s="495"/>
      <c r="G17" s="1327"/>
      <c r="H17" s="1495"/>
    </row>
    <row r="18" spans="1:8" ht="12.75">
      <c r="A18" s="784"/>
      <c r="B18" s="495"/>
      <c r="C18" s="495"/>
      <c r="D18" s="495"/>
      <c r="E18" s="502"/>
      <c r="F18" s="495"/>
      <c r="G18" s="1327"/>
      <c r="H18" s="1495"/>
    </row>
    <row r="19" spans="1:8" ht="12.75">
      <c r="A19" s="787">
        <v>315</v>
      </c>
      <c r="B19" s="496" t="s">
        <v>1851</v>
      </c>
      <c r="C19" s="496" t="s">
        <v>1521</v>
      </c>
      <c r="D19" s="496" t="s">
        <v>1224</v>
      </c>
      <c r="E19" s="1484" t="s">
        <v>667</v>
      </c>
      <c r="F19" s="495"/>
      <c r="G19" s="1324" t="b">
        <f>IF(E19="NO",FALSE,TRUE)</f>
        <v>0</v>
      </c>
      <c r="H19" s="1495"/>
    </row>
    <row r="20" spans="1:8" ht="12.75" customHeight="1">
      <c r="A20" s="787">
        <v>5840</v>
      </c>
      <c r="B20" s="496" t="s">
        <v>432</v>
      </c>
      <c r="C20" s="496" t="s">
        <v>434</v>
      </c>
      <c r="D20" s="496"/>
      <c r="E20" s="1485"/>
      <c r="F20" s="495"/>
      <c r="G20" s="1326"/>
      <c r="H20" s="1495"/>
    </row>
    <row r="21" spans="1:8" ht="12.75">
      <c r="A21" s="784"/>
      <c r="B21" s="495"/>
      <c r="C21" s="495"/>
      <c r="D21" s="495"/>
      <c r="E21" s="502"/>
      <c r="F21" s="495"/>
      <c r="G21" s="1326"/>
      <c r="H21" s="1495"/>
    </row>
    <row r="22" spans="1:8" ht="12.75">
      <c r="A22" s="787">
        <v>316</v>
      </c>
      <c r="B22" s="496" t="s">
        <v>1851</v>
      </c>
      <c r="C22" s="496" t="s">
        <v>1521</v>
      </c>
      <c r="D22" s="496" t="s">
        <v>1225</v>
      </c>
      <c r="E22" s="1484" t="s">
        <v>667</v>
      </c>
      <c r="F22" s="495"/>
      <c r="G22" s="1324" t="b">
        <f>IF(E22="NO",FALSE,TRUE)</f>
        <v>0</v>
      </c>
      <c r="H22" s="1495"/>
    </row>
    <row r="23" spans="1:8" ht="12.75" customHeight="1">
      <c r="A23" s="787">
        <v>5844</v>
      </c>
      <c r="B23" s="496" t="s">
        <v>432</v>
      </c>
      <c r="C23" s="496" t="s">
        <v>434</v>
      </c>
      <c r="D23" s="495"/>
      <c r="E23" s="1485"/>
      <c r="F23" s="495"/>
      <c r="G23" s="1326"/>
      <c r="H23" s="1495"/>
    </row>
    <row r="24" spans="1:8" ht="12.75">
      <c r="A24" s="784"/>
      <c r="B24" s="495"/>
      <c r="C24" s="495"/>
      <c r="D24" s="495"/>
      <c r="E24" s="495"/>
      <c r="F24" s="495"/>
      <c r="G24" s="1326"/>
      <c r="H24" s="1495"/>
    </row>
    <row r="25" spans="1:8" ht="12.75">
      <c r="A25" s="787">
        <v>318</v>
      </c>
      <c r="B25" s="496" t="s">
        <v>1851</v>
      </c>
      <c r="C25" s="496" t="s">
        <v>1521</v>
      </c>
      <c r="D25" s="496" t="s">
        <v>1666</v>
      </c>
      <c r="E25" s="1484" t="s">
        <v>667</v>
      </c>
      <c r="F25" s="495"/>
      <c r="G25" s="1324" t="b">
        <f>IF(E25="NO",FALSE,TRUE)</f>
        <v>0</v>
      </c>
      <c r="H25" s="1495"/>
    </row>
    <row r="26" spans="1:8" ht="12.75" customHeight="1">
      <c r="A26" s="787">
        <v>5848</v>
      </c>
      <c r="B26" s="496" t="s">
        <v>432</v>
      </c>
      <c r="C26" s="496" t="s">
        <v>434</v>
      </c>
      <c r="D26" s="495"/>
      <c r="E26" s="1485"/>
      <c r="F26" s="495"/>
      <c r="G26" s="1326"/>
      <c r="H26" s="1495"/>
    </row>
    <row r="27" spans="1:8" ht="12.75">
      <c r="A27" s="784"/>
      <c r="B27" s="495"/>
      <c r="C27" s="495"/>
      <c r="D27" s="495"/>
      <c r="E27" s="495"/>
      <c r="F27" s="495"/>
      <c r="G27" s="1326"/>
      <c r="H27" s="1495"/>
    </row>
    <row r="28" spans="1:8" ht="12.75" customHeight="1">
      <c r="A28" s="787">
        <v>452</v>
      </c>
      <c r="B28" s="496" t="s">
        <v>1851</v>
      </c>
      <c r="C28" s="496" t="s">
        <v>1576</v>
      </c>
      <c r="D28" s="496" t="str">
        <f>"Resident in Canada throughout "&amp;yeartext</f>
        <v>Resident in Canada throughout 2007</v>
      </c>
      <c r="E28" s="1484" t="s">
        <v>666</v>
      </c>
      <c r="F28" s="784"/>
      <c r="G28" s="1324" t="b">
        <f>IF(E28="NO",FALSE,TRUE)</f>
        <v>1</v>
      </c>
      <c r="H28" s="1495"/>
    </row>
    <row r="29" spans="1:8" ht="12.75" customHeight="1">
      <c r="A29" s="784"/>
      <c r="B29" s="784"/>
      <c r="C29" s="784"/>
      <c r="D29" s="784"/>
      <c r="E29" s="1485"/>
      <c r="F29" s="784"/>
      <c r="G29" s="1328"/>
      <c r="H29" s="1495"/>
    </row>
    <row r="30" spans="1:8" ht="12.75">
      <c r="A30" s="495"/>
      <c r="B30" s="495"/>
      <c r="C30" s="495"/>
      <c r="D30" s="495"/>
      <c r="E30" s="495"/>
      <c r="F30" s="495"/>
      <c r="G30" s="1328"/>
      <c r="H30" s="1495"/>
    </row>
  </sheetData>
  <sheetProtection password="EC35" sheet="1" objects="1" scenarios="1"/>
  <mergeCells count="9">
    <mergeCell ref="H1:H30"/>
    <mergeCell ref="E10:E11"/>
    <mergeCell ref="F7:F8"/>
    <mergeCell ref="E13:E14"/>
    <mergeCell ref="E16:E17"/>
    <mergeCell ref="E19:E20"/>
    <mergeCell ref="E22:E23"/>
    <mergeCell ref="E25:E26"/>
    <mergeCell ref="E28:E29"/>
  </mergeCells>
  <dataValidations count="1">
    <dataValidation type="list" allowBlank="1" showInputMessage="1" showErrorMessage="1" sqref="E10:E11 E13:E14 E16:E17 E19:E20 E22:E23 E25:E26 E28:E29">
      <formula1>$E$7:$E$8</formula1>
    </dataValidation>
  </dataValidations>
  <hyperlinks>
    <hyperlink ref="H1:H30" location="'GO TO'!G23" display=" "/>
  </hyperlinks>
  <printOptions/>
  <pageMargins left="0.75" right="0.75" top="1" bottom="1" header="0.5" footer="0.5"/>
  <pageSetup fitToHeight="0" fitToWidth="1" horizontalDpi="600" verticalDpi="600" orientation="portrait" scale="92" r:id="rId1"/>
</worksheet>
</file>

<file path=xl/worksheets/sheet6.xml><?xml version="1.0" encoding="utf-8"?>
<worksheet xmlns="http://schemas.openxmlformats.org/spreadsheetml/2006/main" xmlns:r="http://schemas.openxmlformats.org/officeDocument/2006/relationships">
  <sheetPr codeName="Sheet2">
    <pageSetUpPr fitToPage="1"/>
  </sheetPr>
  <dimension ref="A2:AC62"/>
  <sheetViews>
    <sheetView showGridLines="0" zoomScale="75" zoomScaleNormal="75" workbookViewId="0" topLeftCell="A1">
      <selection activeCell="A5" sqref="A5"/>
    </sheetView>
  </sheetViews>
  <sheetFormatPr defaultColWidth="8.88671875" defaultRowHeight="15"/>
  <cols>
    <col min="1" max="1" width="1.77734375" style="9" customWidth="1"/>
    <col min="2" max="2" width="1.33203125" style="9" customWidth="1"/>
    <col min="3" max="3" width="10.10546875" style="9" customWidth="1"/>
    <col min="4" max="4" width="3.88671875" style="9" customWidth="1"/>
    <col min="5" max="6" width="5.10546875" style="9" customWidth="1"/>
    <col min="7" max="7" width="9.21484375" style="9" customWidth="1"/>
    <col min="8" max="9" width="5.21484375" style="9" customWidth="1"/>
    <col min="10" max="10" width="8.77734375" style="9" customWidth="1"/>
    <col min="11" max="12" width="1.33203125" style="9" customWidth="1"/>
    <col min="13" max="13" width="1.4375" style="9" customWidth="1"/>
    <col min="14" max="14" width="1.88671875" style="9" customWidth="1"/>
    <col min="15" max="15" width="4.4453125" style="9" customWidth="1"/>
    <col min="16" max="16" width="10.77734375" style="9" customWidth="1"/>
    <col min="17" max="17" width="1.99609375" style="9" customWidth="1"/>
    <col min="18" max="18" width="4.4453125" style="9" customWidth="1"/>
    <col min="19" max="20" width="7.10546875" style="9" customWidth="1"/>
    <col min="21" max="21" width="1.99609375" style="9" customWidth="1"/>
    <col min="22" max="22" width="4.99609375" style="9" customWidth="1"/>
    <col min="23" max="23" width="1.88671875" style="9" customWidth="1"/>
    <col min="24" max="24" width="7.10546875" style="9" customWidth="1"/>
    <col min="25" max="25" width="1.33203125" style="9" customWidth="1"/>
    <col min="26" max="26" width="1.77734375" style="9" customWidth="1"/>
    <col min="27" max="16384" width="7.10546875" style="9" customWidth="1"/>
  </cols>
  <sheetData>
    <row r="2" spans="1:26" ht="12.75" hidden="1">
      <c r="A2" s="8"/>
      <c r="B2" s="8"/>
      <c r="C2" s="8"/>
      <c r="D2" s="8"/>
      <c r="E2" s="8"/>
      <c r="F2" s="8"/>
      <c r="G2" s="8"/>
      <c r="H2" s="8"/>
      <c r="I2" s="8"/>
      <c r="J2" s="8"/>
      <c r="K2" s="8"/>
      <c r="L2" s="8"/>
      <c r="M2" s="8"/>
      <c r="N2" s="8"/>
      <c r="O2" s="8"/>
      <c r="P2" s="8"/>
      <c r="Q2" s="8"/>
      <c r="R2" s="8"/>
      <c r="S2" s="8"/>
      <c r="T2" s="8"/>
      <c r="U2" s="8"/>
      <c r="V2" s="8"/>
      <c r="W2" s="8"/>
      <c r="X2" s="8"/>
      <c r="Y2" s="8"/>
      <c r="Z2" s="8"/>
    </row>
    <row r="3" spans="1:26" ht="12.75">
      <c r="A3" s="10"/>
      <c r="B3" s="8"/>
      <c r="C3" s="8"/>
      <c r="D3" s="802" t="s">
        <v>181</v>
      </c>
      <c r="E3" s="8"/>
      <c r="F3" s="8"/>
      <c r="G3" s="8"/>
      <c r="H3" s="802" t="s">
        <v>183</v>
      </c>
      <c r="I3" s="8"/>
      <c r="J3" s="8"/>
      <c r="K3" s="8"/>
      <c r="L3" s="8"/>
      <c r="M3" s="8"/>
      <c r="N3" s="8"/>
      <c r="O3" s="8"/>
      <c r="P3" s="8"/>
      <c r="Q3" s="8"/>
      <c r="R3" s="8"/>
      <c r="S3" s="8"/>
      <c r="T3" s="8"/>
      <c r="U3" s="8"/>
      <c r="V3" s="8"/>
      <c r="W3" s="8"/>
      <c r="X3" s="8"/>
      <c r="Y3" s="8"/>
      <c r="Z3" s="8"/>
    </row>
    <row r="4" spans="1:27" ht="31.5" customHeight="1">
      <c r="A4" s="8"/>
      <c r="B4" s="8"/>
      <c r="C4" s="8"/>
      <c r="D4" s="1058" t="s">
        <v>182</v>
      </c>
      <c r="E4" s="8"/>
      <c r="F4" s="8"/>
      <c r="G4" s="8"/>
      <c r="H4" s="1058" t="s">
        <v>184</v>
      </c>
      <c r="I4" s="8"/>
      <c r="J4" s="8"/>
      <c r="K4" s="8"/>
      <c r="L4" s="8"/>
      <c r="M4" s="8"/>
      <c r="N4" s="8"/>
      <c r="O4" s="8"/>
      <c r="P4" s="8"/>
      <c r="Q4" s="8"/>
      <c r="R4" s="8"/>
      <c r="S4" s="8"/>
      <c r="T4" s="8"/>
      <c r="U4" s="840" t="s">
        <v>939</v>
      </c>
      <c r="V4" s="1486">
        <v>2007</v>
      </c>
      <c r="W4" s="1486"/>
      <c r="X4" s="1486"/>
      <c r="Y4" s="12"/>
      <c r="Z4" s="8"/>
      <c r="AA4" s="1545" t="s">
        <v>1659</v>
      </c>
    </row>
    <row r="5" spans="1:27" ht="21.75" customHeight="1">
      <c r="A5" s="8"/>
      <c r="B5" s="8"/>
      <c r="C5" s="8"/>
      <c r="D5" s="1058"/>
      <c r="E5" s="8"/>
      <c r="F5" s="8"/>
      <c r="G5" s="8"/>
      <c r="H5" s="1058"/>
      <c r="I5" s="8"/>
      <c r="J5" s="8"/>
      <c r="K5" s="1232" t="s">
        <v>2242</v>
      </c>
      <c r="L5" s="8"/>
      <c r="M5" s="8"/>
      <c r="N5" s="8"/>
      <c r="O5" s="8"/>
      <c r="P5" s="8"/>
      <c r="Q5" s="8"/>
      <c r="R5" s="8"/>
      <c r="S5" s="8"/>
      <c r="T5" s="8"/>
      <c r="U5" s="840"/>
      <c r="V5" s="1009"/>
      <c r="W5" s="1009"/>
      <c r="X5" s="1009"/>
      <c r="Y5" s="12"/>
      <c r="Z5" s="8"/>
      <c r="AA5" s="1545"/>
    </row>
    <row r="6" spans="1:28" ht="14.25">
      <c r="A6" s="8"/>
      <c r="B6" s="8"/>
      <c r="C6" s="8"/>
      <c r="D6" s="8"/>
      <c r="E6" s="8"/>
      <c r="F6" s="8"/>
      <c r="G6" s="8"/>
      <c r="H6" s="8"/>
      <c r="I6" s="8"/>
      <c r="J6" s="11"/>
      <c r="K6" s="1061" t="s">
        <v>185</v>
      </c>
      <c r="L6" s="8"/>
      <c r="M6" s="1060"/>
      <c r="N6" s="8"/>
      <c r="O6" s="8"/>
      <c r="P6" s="8"/>
      <c r="Q6" s="8"/>
      <c r="R6" s="8"/>
      <c r="S6" s="8"/>
      <c r="T6" s="8"/>
      <c r="U6" s="8"/>
      <c r="V6" s="8"/>
      <c r="W6" s="8"/>
      <c r="X6" s="8"/>
      <c r="Y6" s="8"/>
      <c r="Z6" s="8"/>
      <c r="AA6" s="1508"/>
      <c r="AB6" s="998"/>
    </row>
    <row r="7" spans="1:28" ht="16.5" customHeight="1">
      <c r="A7" s="8"/>
      <c r="B7" s="1233" t="s">
        <v>2243</v>
      </c>
      <c r="C7" s="8"/>
      <c r="D7" s="8"/>
      <c r="E7" s="8"/>
      <c r="F7" s="8"/>
      <c r="G7" s="8"/>
      <c r="H7" s="8"/>
      <c r="I7" s="8"/>
      <c r="J7" s="8"/>
      <c r="K7" s="8"/>
      <c r="L7" s="8"/>
      <c r="M7" s="8"/>
      <c r="N7" s="8"/>
      <c r="O7" s="8"/>
      <c r="P7" s="8"/>
      <c r="Q7" s="8"/>
      <c r="R7" s="8"/>
      <c r="S7" s="961"/>
      <c r="T7" s="961"/>
      <c r="U7" s="8"/>
      <c r="V7" s="1550" t="s">
        <v>1924</v>
      </c>
      <c r="W7" s="1551"/>
      <c r="X7" s="1546">
        <v>1</v>
      </c>
      <c r="Y7" s="1547"/>
      <c r="Z7" s="8"/>
      <c r="AA7" s="1508"/>
      <c r="AB7" s="1004">
        <f>year-2</f>
        <v>2005</v>
      </c>
    </row>
    <row r="8" spans="1:28" ht="8.25" customHeight="1">
      <c r="A8" s="8"/>
      <c r="B8" s="8"/>
      <c r="C8" s="8"/>
      <c r="D8" s="8"/>
      <c r="E8" s="8"/>
      <c r="F8" s="8"/>
      <c r="G8" s="8"/>
      <c r="H8" s="8"/>
      <c r="I8" s="8"/>
      <c r="J8" s="8"/>
      <c r="K8" s="8"/>
      <c r="L8" s="8"/>
      <c r="M8" s="8"/>
      <c r="N8" s="8"/>
      <c r="O8" s="8"/>
      <c r="P8" s="8"/>
      <c r="Q8" s="8"/>
      <c r="R8" s="8"/>
      <c r="S8" s="8"/>
      <c r="T8" s="8"/>
      <c r="U8" s="8"/>
      <c r="V8" s="1552"/>
      <c r="W8" s="1553"/>
      <c r="X8" s="1548"/>
      <c r="Y8" s="1549"/>
      <c r="Z8" s="8"/>
      <c r="AA8" s="1508"/>
      <c r="AB8" s="998"/>
    </row>
    <row r="9" spans="1:28" ht="16.5">
      <c r="A9" s="8"/>
      <c r="B9" s="13"/>
      <c r="C9" s="1064" t="s">
        <v>197</v>
      </c>
      <c r="D9" s="14"/>
      <c r="E9" s="14"/>
      <c r="F9" s="14"/>
      <c r="G9" s="14"/>
      <c r="H9" s="14"/>
      <c r="I9" s="14"/>
      <c r="J9" s="14"/>
      <c r="K9" s="15"/>
      <c r="L9" s="8"/>
      <c r="M9" s="1021"/>
      <c r="N9" s="1022"/>
      <c r="O9" s="1022"/>
      <c r="P9" s="1022"/>
      <c r="Q9" s="1022"/>
      <c r="R9" s="1025" t="s">
        <v>304</v>
      </c>
      <c r="S9" s="1022"/>
      <c r="T9" s="1022"/>
      <c r="U9" s="1022"/>
      <c r="V9" s="1022"/>
      <c r="W9" s="1022"/>
      <c r="X9" s="1022"/>
      <c r="Y9" s="1024"/>
      <c r="Z9" s="8"/>
      <c r="AA9" s="1508"/>
      <c r="AB9" s="1004" t="str">
        <f>TEXT(yearminus2,"0000")</f>
        <v>2005</v>
      </c>
    </row>
    <row r="10" spans="1:28" ht="12.75">
      <c r="A10" s="8"/>
      <c r="B10" s="16"/>
      <c r="C10" s="818" t="s">
        <v>875</v>
      </c>
      <c r="D10" s="17"/>
      <c r="E10" s="17"/>
      <c r="F10" s="17"/>
      <c r="G10" s="17"/>
      <c r="H10" s="17"/>
      <c r="I10" s="17"/>
      <c r="J10" s="17"/>
      <c r="K10" s="18"/>
      <c r="L10" s="8"/>
      <c r="M10" s="16"/>
      <c r="N10" s="68"/>
      <c r="O10" s="17"/>
      <c r="P10" s="17"/>
      <c r="Q10" s="17"/>
      <c r="R10" s="17"/>
      <c r="S10" s="17"/>
      <c r="T10" s="17"/>
      <c r="U10" s="17"/>
      <c r="V10" s="17"/>
      <c r="W10" s="17"/>
      <c r="X10" s="17"/>
      <c r="Y10" s="18"/>
      <c r="Z10" s="8"/>
      <c r="AA10" s="1508"/>
      <c r="AB10" s="1004">
        <f>year-3</f>
        <v>2004</v>
      </c>
    </row>
    <row r="11" spans="1:28" ht="14.25" customHeight="1">
      <c r="A11" s="8"/>
      <c r="B11" s="16"/>
      <c r="C11" s="17" t="s">
        <v>1321</v>
      </c>
      <c r="D11" s="17"/>
      <c r="E11" s="17"/>
      <c r="F11" s="17"/>
      <c r="G11" s="17"/>
      <c r="H11" s="17"/>
      <c r="I11" s="17"/>
      <c r="J11" s="17"/>
      <c r="K11" s="18"/>
      <c r="L11" s="8"/>
      <c r="M11" s="16"/>
      <c r="N11" s="68"/>
      <c r="O11" s="17"/>
      <c r="P11" s="17"/>
      <c r="Q11" s="17"/>
      <c r="R11" s="17"/>
      <c r="S11" s="838" t="str">
        <f>IF(T11&gt;0,"","SIN # Required")</f>
        <v>SIN # Required</v>
      </c>
      <c r="T11" s="1557"/>
      <c r="U11" s="1558"/>
      <c r="V11" s="1558"/>
      <c r="W11" s="1558"/>
      <c r="X11" s="1558"/>
      <c r="Y11" s="18"/>
      <c r="Z11" s="8"/>
      <c r="AA11" s="1508"/>
      <c r="AB11" s="1004" t="str">
        <f>TEXT(yearminus3,"0000")</f>
        <v>2004</v>
      </c>
    </row>
    <row r="12" spans="1:28" ht="22.5" customHeight="1">
      <c r="A12" s="8"/>
      <c r="B12" s="16"/>
      <c r="C12" s="19"/>
      <c r="D12" s="1554"/>
      <c r="E12" s="1554"/>
      <c r="F12" s="1554"/>
      <c r="G12" s="1554"/>
      <c r="H12" s="1554"/>
      <c r="I12" s="1554"/>
      <c r="J12" s="1554"/>
      <c r="K12" s="18"/>
      <c r="L12" s="8"/>
      <c r="M12" s="16"/>
      <c r="N12" s="67" t="s">
        <v>1206</v>
      </c>
      <c r="O12" s="17"/>
      <c r="P12" s="17"/>
      <c r="Q12" s="17"/>
      <c r="R12" s="23"/>
      <c r="S12" s="17"/>
      <c r="T12" s="1558"/>
      <c r="U12" s="1558"/>
      <c r="V12" s="1558"/>
      <c r="W12" s="1558"/>
      <c r="X12" s="1558"/>
      <c r="Y12" s="18"/>
      <c r="Z12" s="8"/>
      <c r="AA12" s="1508"/>
      <c r="AB12" s="1005" t="str">
        <f>TEXT(year,"0000")</f>
        <v>2007</v>
      </c>
    </row>
    <row r="13" spans="1:28" ht="12.75">
      <c r="A13" s="8"/>
      <c r="B13" s="16"/>
      <c r="C13" s="17" t="s">
        <v>1337</v>
      </c>
      <c r="D13" s="17"/>
      <c r="E13" s="17"/>
      <c r="F13" s="17"/>
      <c r="G13" s="17"/>
      <c r="H13" s="17"/>
      <c r="I13" s="17"/>
      <c r="J13" s="17"/>
      <c r="K13" s="18"/>
      <c r="L13" s="8"/>
      <c r="M13" s="16"/>
      <c r="N13" s="17"/>
      <c r="O13" s="17"/>
      <c r="P13" s="17"/>
      <c r="Q13" s="17"/>
      <c r="R13" s="17"/>
      <c r="S13" s="17"/>
      <c r="T13" s="20" t="s">
        <v>1322</v>
      </c>
      <c r="U13" s="1556" t="s">
        <v>1323</v>
      </c>
      <c r="V13" s="1556"/>
      <c r="W13" s="1555" t="s">
        <v>1324</v>
      </c>
      <c r="X13" s="1555"/>
      <c r="Y13" s="18"/>
      <c r="Z13" s="8"/>
      <c r="AA13" s="1508"/>
      <c r="AB13" s="998"/>
    </row>
    <row r="14" spans="1:28" ht="21" customHeight="1">
      <c r="A14" s="8"/>
      <c r="B14" s="16"/>
      <c r="C14" s="21"/>
      <c r="D14" s="1524"/>
      <c r="E14" s="1524"/>
      <c r="F14" s="1524"/>
      <c r="G14" s="1524"/>
      <c r="H14" s="1524"/>
      <c r="I14" s="1524"/>
      <c r="J14" s="1524"/>
      <c r="K14" s="18"/>
      <c r="L14" s="8"/>
      <c r="M14" s="16"/>
      <c r="N14" s="22" t="s">
        <v>404</v>
      </c>
      <c r="O14" s="17"/>
      <c r="P14" s="17"/>
      <c r="Q14" s="17"/>
      <c r="R14" s="23"/>
      <c r="S14" s="57">
        <f>IF(OR(T14&lt;1880,U14&lt;1,U14&gt;12,W14&lt;1,W14&gt;31),"Error in month or day","")</f>
      </c>
      <c r="T14" s="58">
        <v>1945</v>
      </c>
      <c r="U14" s="1537">
        <v>4</v>
      </c>
      <c r="V14" s="1538"/>
      <c r="W14" s="1537">
        <v>4</v>
      </c>
      <c r="X14" s="1538"/>
      <c r="Y14" s="18"/>
      <c r="Z14" s="8"/>
      <c r="AA14" s="1508"/>
      <c r="AB14" s="1006">
        <f>year-T14</f>
        <v>62</v>
      </c>
    </row>
    <row r="15" spans="1:28" ht="12.75">
      <c r="A15" s="8"/>
      <c r="B15" s="16"/>
      <c r="C15" s="68" t="s">
        <v>1276</v>
      </c>
      <c r="D15" s="17"/>
      <c r="E15" s="17"/>
      <c r="F15" s="17"/>
      <c r="G15" s="17"/>
      <c r="H15" s="17"/>
      <c r="I15" s="17"/>
      <c r="J15" s="17"/>
      <c r="K15" s="18"/>
      <c r="L15" s="8"/>
      <c r="M15" s="16"/>
      <c r="N15" s="17" t="s">
        <v>899</v>
      </c>
      <c r="O15" s="17"/>
      <c r="P15" s="17"/>
      <c r="Q15" s="17"/>
      <c r="R15" s="17"/>
      <c r="S15" s="17"/>
      <c r="T15" s="17" t="s">
        <v>843</v>
      </c>
      <c r="U15" s="17"/>
      <c r="V15" s="8"/>
      <c r="W15" s="8"/>
      <c r="X15" s="17" t="s">
        <v>844</v>
      </c>
      <c r="Y15" s="18"/>
      <c r="Z15" s="8"/>
      <c r="AA15" s="1508"/>
      <c r="AB15" s="998"/>
    </row>
    <row r="16" spans="1:28" ht="20.25" customHeight="1">
      <c r="A16" s="8"/>
      <c r="B16" s="16"/>
      <c r="C16" s="21"/>
      <c r="D16" s="1524"/>
      <c r="E16" s="1524"/>
      <c r="F16" s="1524"/>
      <c r="G16" s="1524"/>
      <c r="H16" s="1524"/>
      <c r="I16" s="1524"/>
      <c r="J16" s="1524"/>
      <c r="K16" s="18"/>
      <c r="L16" s="8"/>
      <c r="M16" s="16"/>
      <c r="N16" s="23" t="s">
        <v>845</v>
      </c>
      <c r="O16" s="17"/>
      <c r="P16" s="17"/>
      <c r="Q16" s="17"/>
      <c r="R16" s="17"/>
      <c r="S16" s="17"/>
      <c r="T16" s="277" t="s">
        <v>2131</v>
      </c>
      <c r="U16" s="17"/>
      <c r="V16" s="17"/>
      <c r="W16" s="24"/>
      <c r="X16" s="586" t="s">
        <v>458</v>
      </c>
      <c r="Y16" s="18"/>
      <c r="Z16" s="8"/>
      <c r="AA16" s="1508"/>
      <c r="AB16" s="1005">
        <f>year-1</f>
        <v>2006</v>
      </c>
    </row>
    <row r="17" spans="1:28" ht="12.75">
      <c r="A17" s="8"/>
      <c r="B17" s="16"/>
      <c r="C17" s="68" t="s">
        <v>1278</v>
      </c>
      <c r="D17" s="17"/>
      <c r="E17" s="17"/>
      <c r="F17" s="17"/>
      <c r="G17" s="68"/>
      <c r="H17" s="1065" t="s">
        <v>1277</v>
      </c>
      <c r="I17" s="17"/>
      <c r="J17" s="17"/>
      <c r="K17" s="18"/>
      <c r="L17" s="8"/>
      <c r="M17" s="16"/>
      <c r="N17" s="17"/>
      <c r="O17" s="17"/>
      <c r="P17" s="17"/>
      <c r="Q17" s="17"/>
      <c r="R17" s="17"/>
      <c r="S17" s="17"/>
      <c r="T17" s="17"/>
      <c r="U17" s="17"/>
      <c r="V17" s="17"/>
      <c r="W17" s="17"/>
      <c r="X17" s="17"/>
      <c r="Y17" s="18"/>
      <c r="Z17" s="8"/>
      <c r="AA17" s="1508"/>
      <c r="AB17" s="1005" t="str">
        <f>TEXT(lastyear,"0000")</f>
        <v>2006</v>
      </c>
    </row>
    <row r="18" spans="1:28" ht="21" customHeight="1">
      <c r="A18" s="8"/>
      <c r="B18" s="16"/>
      <c r="C18" s="21"/>
      <c r="D18" s="1524"/>
      <c r="E18" s="1524"/>
      <c r="F18" s="1524"/>
      <c r="G18" s="1544"/>
      <c r="H18" s="1543"/>
      <c r="I18" s="1524"/>
      <c r="J18" s="1524"/>
      <c r="K18" s="18"/>
      <c r="L18" s="8"/>
      <c r="M18" s="1026"/>
      <c r="N18" s="1240" t="str">
        <f>"Check the box that applies to your marital status on December 31, "&amp;yeartext&amp;":"</f>
        <v>Check the box that applies to your marital status on December 31, 2007:</v>
      </c>
      <c r="O18" s="1027"/>
      <c r="P18" s="1027"/>
      <c r="Q18" s="1027"/>
      <c r="R18" s="1027"/>
      <c r="S18" s="1027"/>
      <c r="T18" s="1027"/>
      <c r="U18" s="1027"/>
      <c r="V18" s="1027"/>
      <c r="W18" s="1027"/>
      <c r="X18" s="1027"/>
      <c r="Y18" s="1028"/>
      <c r="Z18" s="8"/>
      <c r="AA18" s="1508"/>
      <c r="AB18" s="1005">
        <f>year+1</f>
        <v>2008</v>
      </c>
    </row>
    <row r="19" spans="1:28" ht="12.75">
      <c r="A19" s="8"/>
      <c r="B19" s="16"/>
      <c r="C19" s="17" t="s">
        <v>2120</v>
      </c>
      <c r="D19" s="17"/>
      <c r="E19" s="17"/>
      <c r="F19" s="17"/>
      <c r="G19" s="17" t="s">
        <v>2121</v>
      </c>
      <c r="H19" s="17"/>
      <c r="I19" s="17" t="s">
        <v>2122</v>
      </c>
      <c r="J19" s="17"/>
      <c r="K19" s="18"/>
      <c r="L19" s="8"/>
      <c r="M19" s="16"/>
      <c r="N19" s="23" t="s">
        <v>639</v>
      </c>
      <c r="O19" s="17"/>
      <c r="P19" s="17"/>
      <c r="Q19" s="17"/>
      <c r="R19" s="17"/>
      <c r="S19" s="17"/>
      <c r="T19" s="17"/>
      <c r="U19" s="17"/>
      <c r="V19" s="17"/>
      <c r="W19" s="17"/>
      <c r="X19" s="17"/>
      <c r="Y19" s="18"/>
      <c r="Z19" s="8"/>
      <c r="AA19" s="1508"/>
      <c r="AB19" s="1005" t="str">
        <f>TEXT(nextyear,"0000")</f>
        <v>2008</v>
      </c>
    </row>
    <row r="20" spans="1:28" ht="20.25" customHeight="1">
      <c r="A20" s="8"/>
      <c r="B20" s="16"/>
      <c r="C20" s="1540"/>
      <c r="D20" s="1541"/>
      <c r="E20" s="280"/>
      <c r="F20" s="1524" t="s">
        <v>1924</v>
      </c>
      <c r="G20" s="1542"/>
      <c r="H20" s="25"/>
      <c r="I20" s="1524"/>
      <c r="J20" s="1524"/>
      <c r="K20" s="18"/>
      <c r="L20" s="8"/>
      <c r="M20" s="16"/>
      <c r="N20" s="1241">
        <v>1</v>
      </c>
      <c r="O20" s="586" t="s">
        <v>458</v>
      </c>
      <c r="P20" s="22" t="s">
        <v>640</v>
      </c>
      <c r="Q20" s="1241">
        <v>2</v>
      </c>
      <c r="R20" s="586" t="s">
        <v>458</v>
      </c>
      <c r="S20" s="67" t="s">
        <v>1135</v>
      </c>
      <c r="T20" s="22"/>
      <c r="U20" s="1241">
        <v>3</v>
      </c>
      <c r="V20" s="586" t="s">
        <v>458</v>
      </c>
      <c r="W20" s="22" t="s">
        <v>641</v>
      </c>
      <c r="X20" s="17"/>
      <c r="Y20" s="18"/>
      <c r="Z20" s="8"/>
      <c r="AA20" s="1508"/>
      <c r="AB20" s="1005">
        <f>year-65</f>
        <v>1942</v>
      </c>
    </row>
    <row r="21" spans="1:28" ht="20.25" customHeight="1">
      <c r="A21" s="8"/>
      <c r="B21" s="26"/>
      <c r="C21" s="19"/>
      <c r="D21" s="19"/>
      <c r="E21" s="19"/>
      <c r="F21" s="21"/>
      <c r="G21" s="19"/>
      <c r="H21" s="21"/>
      <c r="I21" s="19"/>
      <c r="J21" s="21"/>
      <c r="K21" s="27"/>
      <c r="L21" s="8"/>
      <c r="M21" s="26"/>
      <c r="N21" s="1242">
        <v>4</v>
      </c>
      <c r="O21" s="586" t="s">
        <v>458</v>
      </c>
      <c r="P21" s="28" t="s">
        <v>642</v>
      </c>
      <c r="Q21" s="1242">
        <v>5</v>
      </c>
      <c r="R21" s="586" t="s">
        <v>458</v>
      </c>
      <c r="S21" s="28" t="s">
        <v>643</v>
      </c>
      <c r="T21" s="28"/>
      <c r="U21" s="1242">
        <v>6</v>
      </c>
      <c r="V21" s="277" t="s">
        <v>2131</v>
      </c>
      <c r="W21" s="28" t="s">
        <v>644</v>
      </c>
      <c r="X21" s="21"/>
      <c r="Y21" s="27"/>
      <c r="Z21" s="8"/>
      <c r="AA21" s="1508"/>
      <c r="AB21" s="1005" t="str">
        <f>TEXT(year65,"0000")</f>
        <v>1942</v>
      </c>
    </row>
    <row r="22" spans="1:28" ht="9" customHeight="1">
      <c r="A22" s="8"/>
      <c r="B22" s="8"/>
      <c r="C22" s="8"/>
      <c r="D22" s="8"/>
      <c r="E22" s="8"/>
      <c r="F22" s="8"/>
      <c r="G22" s="8"/>
      <c r="H22" s="8"/>
      <c r="I22" s="8"/>
      <c r="J22" s="8"/>
      <c r="K22" s="8"/>
      <c r="L22" s="8"/>
      <c r="M22" s="14"/>
      <c r="N22" s="14"/>
      <c r="O22" s="14"/>
      <c r="P22" s="14"/>
      <c r="Q22" s="14"/>
      <c r="R22" s="14"/>
      <c r="S22" s="14"/>
      <c r="T22" s="14"/>
      <c r="U22" s="14"/>
      <c r="V22" s="14"/>
      <c r="W22" s="14"/>
      <c r="X22" s="14"/>
      <c r="Y22" s="14"/>
      <c r="Z22" s="8"/>
      <c r="AA22" s="1508"/>
      <c r="AB22" s="998"/>
    </row>
    <row r="23" spans="1:28" ht="16.5">
      <c r="A23" s="8"/>
      <c r="B23" s="17"/>
      <c r="C23" s="17"/>
      <c r="D23" s="68"/>
      <c r="E23" s="17"/>
      <c r="F23" s="17"/>
      <c r="G23" s="17"/>
      <c r="H23" s="17"/>
      <c r="I23" s="17"/>
      <c r="J23" s="17"/>
      <c r="K23" s="17"/>
      <c r="L23" s="17"/>
      <c r="M23" s="1026"/>
      <c r="N23" s="1027"/>
      <c r="O23" s="1027"/>
      <c r="P23" s="1027"/>
      <c r="Q23" s="1027"/>
      <c r="R23" s="1027"/>
      <c r="S23" s="1029" t="s">
        <v>646</v>
      </c>
      <c r="T23" s="1027"/>
      <c r="U23" s="1027"/>
      <c r="V23" s="1027"/>
      <c r="W23" s="1027"/>
      <c r="X23" s="1027"/>
      <c r="Y23" s="1028"/>
      <c r="Z23" s="8"/>
      <c r="AA23" s="1508"/>
      <c r="AB23" s="998"/>
    </row>
    <row r="24" spans="1:27" ht="16.5">
      <c r="A24" s="8"/>
      <c r="B24" s="17"/>
      <c r="C24" s="17"/>
      <c r="D24" s="17"/>
      <c r="E24" s="17"/>
      <c r="F24" s="17"/>
      <c r="G24" s="17"/>
      <c r="H24" s="17"/>
      <c r="I24" s="17"/>
      <c r="J24" s="17"/>
      <c r="K24" s="17"/>
      <c r="L24" s="8"/>
      <c r="M24" s="1026"/>
      <c r="N24" s="1030" t="s">
        <v>292</v>
      </c>
      <c r="O24" s="1027"/>
      <c r="P24" s="1027"/>
      <c r="Q24" s="1027"/>
      <c r="R24" s="1027"/>
      <c r="S24" s="1031" t="s">
        <v>293</v>
      </c>
      <c r="T24" s="1027"/>
      <c r="U24" s="1027"/>
      <c r="V24" s="1027"/>
      <c r="W24" s="1027"/>
      <c r="X24" s="1027"/>
      <c r="Y24" s="1028"/>
      <c r="Z24" s="8"/>
      <c r="AA24" s="1508"/>
    </row>
    <row r="25" spans="1:27" ht="6" customHeight="1">
      <c r="A25" s="8"/>
      <c r="B25" s="17"/>
      <c r="C25" s="68"/>
      <c r="D25" s="17"/>
      <c r="E25" s="17"/>
      <c r="F25" s="17"/>
      <c r="G25" s="17"/>
      <c r="H25" s="17"/>
      <c r="I25" s="17"/>
      <c r="J25" s="17"/>
      <c r="K25" s="17"/>
      <c r="L25" s="8"/>
      <c r="M25" s="16"/>
      <c r="N25" s="839"/>
      <c r="O25" s="17"/>
      <c r="P25" s="17"/>
      <c r="Q25" s="17"/>
      <c r="R25" s="17"/>
      <c r="S25" s="17"/>
      <c r="T25" s="17"/>
      <c r="U25" s="17"/>
      <c r="V25" s="17"/>
      <c r="W25" s="17"/>
      <c r="X25" s="17"/>
      <c r="Y25" s="18"/>
      <c r="Z25" s="8"/>
      <c r="AA25" s="1508"/>
    </row>
    <row r="26" spans="1:27" ht="18" customHeight="1">
      <c r="A26" s="8"/>
      <c r="B26" s="21"/>
      <c r="C26" s="68"/>
      <c r="D26" s="818"/>
      <c r="E26" s="17"/>
      <c r="F26" s="17"/>
      <c r="G26" s="17"/>
      <c r="H26" s="17"/>
      <c r="I26" s="17"/>
      <c r="J26" s="17"/>
      <c r="K26" s="17"/>
      <c r="L26" s="8"/>
      <c r="M26" s="16"/>
      <c r="N26" s="839" t="s">
        <v>2134</v>
      </c>
      <c r="O26" s="22"/>
      <c r="P26" s="17"/>
      <c r="Q26" s="17"/>
      <c r="R26" s="17"/>
      <c r="S26" s="17"/>
      <c r="T26" s="1539"/>
      <c r="U26" s="1539"/>
      <c r="V26" s="1539"/>
      <c r="W26" s="1539"/>
      <c r="X26" s="1539"/>
      <c r="Y26" s="18"/>
      <c r="Z26" s="8"/>
      <c r="AA26" s="1508"/>
    </row>
    <row r="27" spans="1:27" ht="16.5">
      <c r="A27" s="8"/>
      <c r="B27" s="1021"/>
      <c r="C27" s="1022"/>
      <c r="D27" s="1023" t="s">
        <v>645</v>
      </c>
      <c r="E27" s="1022"/>
      <c r="F27" s="1022"/>
      <c r="G27" s="1022"/>
      <c r="H27" s="1022"/>
      <c r="I27" s="1022"/>
      <c r="J27" s="1022"/>
      <c r="K27" s="1024"/>
      <c r="L27" s="8"/>
      <c r="M27" s="16"/>
      <c r="N27" s="819"/>
      <c r="O27" s="23"/>
      <c r="P27" s="17"/>
      <c r="Q27" s="17"/>
      <c r="R27" s="17"/>
      <c r="S27" s="17"/>
      <c r="T27" s="17"/>
      <c r="U27" s="17"/>
      <c r="V27" s="17"/>
      <c r="W27" s="17"/>
      <c r="X27" s="17"/>
      <c r="Y27" s="18"/>
      <c r="Z27" s="8"/>
      <c r="AA27" s="1508"/>
    </row>
    <row r="28" spans="1:27" ht="18">
      <c r="A28" s="8"/>
      <c r="B28" s="16"/>
      <c r="C28" s="8"/>
      <c r="D28" s="8"/>
      <c r="E28" s="8"/>
      <c r="F28" s="8"/>
      <c r="G28" s="8"/>
      <c r="H28" s="8"/>
      <c r="I28" s="8"/>
      <c r="J28" s="8"/>
      <c r="K28" s="18"/>
      <c r="L28" s="8"/>
      <c r="M28" s="16"/>
      <c r="N28" s="17" t="s">
        <v>2522</v>
      </c>
      <c r="O28" s="17"/>
      <c r="P28" s="17"/>
      <c r="Q28" s="17"/>
      <c r="R28" s="17"/>
      <c r="S28" s="1481"/>
      <c r="T28" s="1482"/>
      <c r="U28" s="1482"/>
      <c r="V28" s="1482"/>
      <c r="W28" s="1482"/>
      <c r="X28" s="1482"/>
      <c r="Y28" s="18"/>
      <c r="Z28" s="8"/>
      <c r="AA28" s="1508"/>
    </row>
    <row r="29" spans="1:27" ht="12.75">
      <c r="A29" s="8"/>
      <c r="B29" s="16"/>
      <c r="C29" s="68" t="s">
        <v>217</v>
      </c>
      <c r="D29" s="17"/>
      <c r="E29" s="17"/>
      <c r="F29" s="17"/>
      <c r="G29" s="17"/>
      <c r="H29" s="17"/>
      <c r="I29" s="17"/>
      <c r="J29" s="17"/>
      <c r="K29" s="18"/>
      <c r="L29" s="8"/>
      <c r="M29" s="16"/>
      <c r="N29" s="1522" t="str">
        <f>"Enter his or her net income for "&amp;yeartext&amp;" to claim certain credits:
(see the guide for details)"</f>
        <v>Enter his or her net income for 2007 to claim certain credits:
(see the guide for details)</v>
      </c>
      <c r="O29" s="1523"/>
      <c r="P29" s="1523"/>
      <c r="Q29" s="1523"/>
      <c r="R29" s="1523"/>
      <c r="S29" s="1523"/>
      <c r="T29" s="1523"/>
      <c r="U29" s="17"/>
      <c r="V29" s="17"/>
      <c r="W29" s="17"/>
      <c r="X29" s="17"/>
      <c r="Y29" s="18"/>
      <c r="Z29" s="8"/>
      <c r="AA29" s="1508"/>
    </row>
    <row r="30" spans="1:28" ht="20.25">
      <c r="A30" s="8"/>
      <c r="B30" s="16"/>
      <c r="C30" s="68" t="str">
        <f>"residence on"</f>
        <v>residence on</v>
      </c>
      <c r="D30" s="818" t="str">
        <f>"December 31, "&amp;yeartext&amp;":"</f>
        <v>December 31, 2007:</v>
      </c>
      <c r="E30" s="17"/>
      <c r="F30" s="17"/>
      <c r="G30" s="17"/>
      <c r="H30" s="1524" t="s">
        <v>278</v>
      </c>
      <c r="I30" s="1524"/>
      <c r="J30" s="1524"/>
      <c r="K30" s="18"/>
      <c r="L30" s="8"/>
      <c r="M30" s="16"/>
      <c r="N30" s="1523"/>
      <c r="O30" s="1523"/>
      <c r="P30" s="1523"/>
      <c r="Q30" s="1523"/>
      <c r="R30" s="1523"/>
      <c r="S30" s="1523"/>
      <c r="T30" s="1523"/>
      <c r="U30" s="1559">
        <v>0</v>
      </c>
      <c r="V30" s="1560"/>
      <c r="W30" s="1560"/>
      <c r="X30" s="1560"/>
      <c r="Y30" s="18"/>
      <c r="Z30" s="8"/>
      <c r="AA30" s="1508"/>
      <c r="AB30" s="1249"/>
    </row>
    <row r="31" spans="1:27" ht="20.25">
      <c r="A31" s="8"/>
      <c r="B31" s="16"/>
      <c r="C31" s="22"/>
      <c r="D31" s="17"/>
      <c r="E31" s="17"/>
      <c r="F31" s="17"/>
      <c r="G31" s="17"/>
      <c r="H31" s="8"/>
      <c r="I31" s="8"/>
      <c r="J31" s="8"/>
      <c r="K31" s="18"/>
      <c r="L31" s="8"/>
      <c r="M31" s="16"/>
      <c r="N31" s="68" t="s">
        <v>186</v>
      </c>
      <c r="O31" s="17"/>
      <c r="P31" s="17"/>
      <c r="Q31" s="17"/>
      <c r="R31" s="17"/>
      <c r="S31" s="17"/>
      <c r="T31" s="17"/>
      <c r="U31" s="1070"/>
      <c r="V31" s="1070"/>
      <c r="W31" s="1070"/>
      <c r="X31" s="1070"/>
      <c r="Y31" s="18"/>
      <c r="Z31" s="8"/>
      <c r="AA31" s="1508"/>
    </row>
    <row r="32" spans="1:28" ht="18" customHeight="1">
      <c r="A32" s="8"/>
      <c r="B32" s="16"/>
      <c r="C32" s="1522" t="s">
        <v>1867</v>
      </c>
      <c r="D32" s="1523"/>
      <c r="E32" s="1523"/>
      <c r="F32" s="1523"/>
      <c r="G32" s="1523"/>
      <c r="H32" s="8"/>
      <c r="I32" s="8"/>
      <c r="J32" s="17"/>
      <c r="K32" s="18"/>
      <c r="L32" s="8"/>
      <c r="M32" s="16"/>
      <c r="N32" s="819" t="s">
        <v>187</v>
      </c>
      <c r="O32" s="17"/>
      <c r="P32" s="17"/>
      <c r="Q32" s="17"/>
      <c r="R32" s="17"/>
      <c r="S32" s="17"/>
      <c r="T32" s="17"/>
      <c r="U32" s="1478">
        <v>0</v>
      </c>
      <c r="V32" s="1478"/>
      <c r="W32" s="1478"/>
      <c r="X32" s="1478"/>
      <c r="Y32" s="18"/>
      <c r="Z32" s="8"/>
      <c r="AA32" s="1508"/>
      <c r="AB32" s="1249"/>
    </row>
    <row r="33" spans="1:28" ht="24.75" customHeight="1">
      <c r="A33" s="8"/>
      <c r="B33" s="16"/>
      <c r="C33" s="1523"/>
      <c r="D33" s="1523"/>
      <c r="E33" s="1523"/>
      <c r="F33" s="1523"/>
      <c r="G33" s="1523"/>
      <c r="H33" s="1524"/>
      <c r="I33" s="1524"/>
      <c r="J33" s="1524"/>
      <c r="K33" s="18"/>
      <c r="L33" s="8"/>
      <c r="M33" s="16"/>
      <c r="N33" s="1561" t="s">
        <v>679</v>
      </c>
      <c r="O33" s="1562"/>
      <c r="P33" s="1562"/>
      <c r="Q33" s="1562"/>
      <c r="R33" s="1562"/>
      <c r="S33" s="1562"/>
      <c r="T33" s="1562"/>
      <c r="U33" s="1070"/>
      <c r="V33" s="1070"/>
      <c r="W33" s="1070"/>
      <c r="X33" s="1070"/>
      <c r="Y33" s="18"/>
      <c r="Z33" s="8"/>
      <c r="AA33" s="1508"/>
      <c r="AB33" s="1249"/>
    </row>
    <row r="34" spans="1:28" ht="18" customHeight="1">
      <c r="A34" s="8"/>
      <c r="B34" s="16"/>
      <c r="C34" s="1522" t="str">
        <f>"If your were self-employed in "&amp;yeartext&amp;",
enter the province or territory of
self-employment:"</f>
        <v>If your were self-employed in 2007,
enter the province or territory of
self-employment:</v>
      </c>
      <c r="D34" s="1523"/>
      <c r="E34" s="1523"/>
      <c r="F34" s="1523"/>
      <c r="G34" s="1523"/>
      <c r="H34" s="17"/>
      <c r="I34" s="17"/>
      <c r="J34" s="17"/>
      <c r="K34" s="18"/>
      <c r="L34" s="8"/>
      <c r="M34" s="16"/>
      <c r="N34" s="1562"/>
      <c r="O34" s="1562"/>
      <c r="P34" s="1562"/>
      <c r="Q34" s="1562"/>
      <c r="R34" s="1562"/>
      <c r="S34" s="1562"/>
      <c r="T34" s="1562"/>
      <c r="U34" s="1478">
        <v>0</v>
      </c>
      <c r="V34" s="1478"/>
      <c r="W34" s="1478"/>
      <c r="X34" s="1478"/>
      <c r="Y34" s="18"/>
      <c r="Z34" s="8"/>
      <c r="AA34" s="1508"/>
      <c r="AB34" s="1249"/>
    </row>
    <row r="35" spans="1:27" ht="9.75" customHeight="1">
      <c r="A35" s="8"/>
      <c r="B35" s="16"/>
      <c r="C35" s="1523"/>
      <c r="D35" s="1523"/>
      <c r="E35" s="1523"/>
      <c r="F35" s="1523"/>
      <c r="G35" s="1523"/>
      <c r="H35" s="17"/>
      <c r="I35" s="17"/>
      <c r="J35" s="17"/>
      <c r="K35" s="18"/>
      <c r="L35" s="8"/>
      <c r="M35" s="16"/>
      <c r="N35" s="1562"/>
      <c r="O35" s="1562"/>
      <c r="P35" s="1562"/>
      <c r="Q35" s="1562"/>
      <c r="R35" s="1562"/>
      <c r="S35" s="1562"/>
      <c r="T35" s="1562"/>
      <c r="U35" s="1070"/>
      <c r="V35" s="1070"/>
      <c r="W35" s="1070"/>
      <c r="X35" s="1070"/>
      <c r="Y35" s="18"/>
      <c r="Z35" s="8"/>
      <c r="AA35" s="1508"/>
    </row>
    <row r="36" spans="1:27" ht="20.25">
      <c r="A36" s="8"/>
      <c r="B36" s="16"/>
      <c r="C36" s="1523"/>
      <c r="D36" s="1523"/>
      <c r="E36" s="1523"/>
      <c r="F36" s="1523"/>
      <c r="G36" s="1523"/>
      <c r="H36" s="1524"/>
      <c r="I36" s="1524"/>
      <c r="J36" s="1524"/>
      <c r="K36" s="18"/>
      <c r="L36" s="8"/>
      <c r="M36" s="26"/>
      <c r="N36" s="21" t="str">
        <f>"Check this box if he or she was self-employed in "&amp;yeartext&amp;":"</f>
        <v>Check this box if he or she was self-employed in 2007:</v>
      </c>
      <c r="O36" s="21"/>
      <c r="P36" s="21"/>
      <c r="Q36" s="21"/>
      <c r="R36" s="21"/>
      <c r="S36" s="21"/>
      <c r="T36" s="21"/>
      <c r="U36" s="21"/>
      <c r="V36" s="21"/>
      <c r="W36" s="29" t="s">
        <v>661</v>
      </c>
      <c r="X36" s="586" t="s">
        <v>458</v>
      </c>
      <c r="Y36" s="27"/>
      <c r="Z36" s="8"/>
      <c r="AA36" s="1508"/>
    </row>
    <row r="37" spans="1:27" ht="9" customHeight="1">
      <c r="A37" s="8"/>
      <c r="B37" s="16"/>
      <c r="C37" s="819"/>
      <c r="D37" s="17"/>
      <c r="E37" s="17"/>
      <c r="F37" s="17"/>
      <c r="G37" s="17"/>
      <c r="H37" s="1071"/>
      <c r="I37" s="1071"/>
      <c r="J37" s="1071"/>
      <c r="K37" s="18"/>
      <c r="L37" s="8"/>
      <c r="M37" s="17"/>
      <c r="N37" s="17"/>
      <c r="O37" s="17"/>
      <c r="P37" s="17"/>
      <c r="Q37" s="17"/>
      <c r="R37" s="17"/>
      <c r="S37" s="17"/>
      <c r="T37" s="17"/>
      <c r="U37" s="17"/>
      <c r="V37" s="17"/>
      <c r="W37" s="1032"/>
      <c r="X37" s="17"/>
      <c r="Y37" s="17"/>
      <c r="Z37" s="8"/>
      <c r="AA37" s="1508"/>
    </row>
    <row r="38" spans="1:28" ht="18" customHeight="1" thickBot="1">
      <c r="A38" s="8"/>
      <c r="B38" s="16"/>
      <c r="C38" s="602" t="str">
        <f>"If you became or ceased to be a resident of Canada in "&amp;yeartext&amp;", give the date of:"</f>
        <v>If you became or ceased to be a resident of Canada in 2007, give the date of:</v>
      </c>
      <c r="D38" s="17"/>
      <c r="E38" s="17"/>
      <c r="F38" s="17"/>
      <c r="G38" s="17"/>
      <c r="H38" s="1304"/>
      <c r="I38" s="68"/>
      <c r="J38" s="17"/>
      <c r="K38" s="18"/>
      <c r="L38" s="1036"/>
      <c r="M38" s="1033"/>
      <c r="N38" s="1033"/>
      <c r="O38" s="1033"/>
      <c r="P38" s="1033"/>
      <c r="Q38" s="1033"/>
      <c r="R38" s="1033"/>
      <c r="S38" s="1256" t="str">
        <f>"Person deceased in "&amp;yeartext</f>
        <v>Person deceased in 2007</v>
      </c>
      <c r="T38" s="1033"/>
      <c r="U38" s="1033"/>
      <c r="V38" s="1033"/>
      <c r="W38" s="1033"/>
      <c r="X38" s="1033"/>
      <c r="Y38" s="1035"/>
      <c r="Z38" s="1034"/>
      <c r="AA38" s="1508"/>
      <c r="AB38" s="998"/>
    </row>
    <row r="39" spans="1:28" ht="12.75">
      <c r="A39" s="8"/>
      <c r="B39" s="16"/>
      <c r="C39" s="17"/>
      <c r="D39" s="17"/>
      <c r="E39" s="31" t="s">
        <v>1323</v>
      </c>
      <c r="F39" s="20" t="s">
        <v>1324</v>
      </c>
      <c r="G39" s="17"/>
      <c r="H39" s="17"/>
      <c r="I39" s="31" t="s">
        <v>1323</v>
      </c>
      <c r="J39" s="20" t="s">
        <v>1324</v>
      </c>
      <c r="K39" s="18"/>
      <c r="L39" s="8"/>
      <c r="M39" s="603"/>
      <c r="N39" s="1244" t="s">
        <v>674</v>
      </c>
      <c r="O39" s="604"/>
      <c r="P39" s="604"/>
      <c r="Q39" s="604"/>
      <c r="R39" s="604"/>
      <c r="S39" s="1534" t="s">
        <v>1322</v>
      </c>
      <c r="T39" s="1535"/>
      <c r="U39" s="1483" t="s">
        <v>1323</v>
      </c>
      <c r="V39" s="1483"/>
      <c r="W39" s="1483" t="s">
        <v>1324</v>
      </c>
      <c r="X39" s="1483"/>
      <c r="Y39" s="605"/>
      <c r="Z39" s="8"/>
      <c r="AA39" s="1508"/>
      <c r="AB39" s="998"/>
    </row>
    <row r="40" spans="1:28" ht="21" customHeight="1">
      <c r="A40" s="8"/>
      <c r="B40" s="16"/>
      <c r="C40" s="17"/>
      <c r="D40" s="1243" t="s">
        <v>1111</v>
      </c>
      <c r="E40" s="30"/>
      <c r="F40" s="30"/>
      <c r="G40" s="16"/>
      <c r="H40" s="1037" t="s">
        <v>672</v>
      </c>
      <c r="I40" s="30"/>
      <c r="J40" s="30"/>
      <c r="K40" s="18"/>
      <c r="L40" s="8"/>
      <c r="M40" s="1039"/>
      <c r="N40" s="1245" t="s">
        <v>673</v>
      </c>
      <c r="O40" s="21"/>
      <c r="P40" s="21"/>
      <c r="Q40" s="21"/>
      <c r="R40" s="21"/>
      <c r="S40" s="1532"/>
      <c r="T40" s="1533"/>
      <c r="U40" s="1537"/>
      <c r="V40" s="1538"/>
      <c r="W40" s="1537"/>
      <c r="X40" s="1538"/>
      <c r="Y40" s="1040"/>
      <c r="Z40" s="8"/>
      <c r="AA40" s="1508"/>
      <c r="AB40" s="1004">
        <f>DATE(year,12,31)-DATE(year,1,1)+1</f>
        <v>365</v>
      </c>
    </row>
    <row r="41" spans="1:28" ht="12.75">
      <c r="A41" s="8"/>
      <c r="B41" s="26"/>
      <c r="C41" s="21"/>
      <c r="D41" s="21"/>
      <c r="E41" s="21"/>
      <c r="F41" s="21"/>
      <c r="G41" s="21"/>
      <c r="H41" s="21"/>
      <c r="I41" s="21"/>
      <c r="J41" s="21"/>
      <c r="K41" s="27"/>
      <c r="L41" s="8"/>
      <c r="M41" s="1254" t="s">
        <v>678</v>
      </c>
      <c r="N41" s="1038"/>
      <c r="O41" s="21"/>
      <c r="P41" s="21"/>
      <c r="Q41" s="1530"/>
      <c r="R41" s="1531"/>
      <c r="S41" s="1062"/>
      <c r="T41" s="1063"/>
      <c r="U41" s="1530"/>
      <c r="V41" s="1531"/>
      <c r="W41" s="1530"/>
      <c r="X41" s="1536"/>
      <c r="Y41" s="1531"/>
      <c r="Z41" s="8"/>
      <c r="AA41" s="1508"/>
      <c r="AB41" s="998"/>
    </row>
    <row r="42" spans="1:29" ht="7.5" customHeight="1">
      <c r="A42" s="8"/>
      <c r="B42" s="8"/>
      <c r="C42" s="8"/>
      <c r="D42" s="8"/>
      <c r="E42" s="8"/>
      <c r="F42" s="8"/>
      <c r="G42" s="8"/>
      <c r="H42" s="8"/>
      <c r="I42" s="8"/>
      <c r="J42" s="8"/>
      <c r="K42" s="8"/>
      <c r="L42" s="8"/>
      <c r="M42" s="8"/>
      <c r="N42" s="8"/>
      <c r="O42" s="8"/>
      <c r="P42" s="8"/>
      <c r="Q42" s="8"/>
      <c r="R42" s="8"/>
      <c r="S42" s="8"/>
      <c r="T42" s="8"/>
      <c r="U42" s="8"/>
      <c r="V42" s="8"/>
      <c r="W42" s="8"/>
      <c r="X42" s="8"/>
      <c r="Y42" s="8"/>
      <c r="Z42" s="8"/>
      <c r="AA42" s="1508"/>
      <c r="AB42" s="1007">
        <f>MIN(fract1,fract2)</f>
        <v>1</v>
      </c>
      <c r="AC42" s="998"/>
    </row>
    <row r="43" spans="1:29" ht="7.5" customHeight="1" thickBot="1">
      <c r="A43" s="8"/>
      <c r="B43" s="8"/>
      <c r="C43" s="8"/>
      <c r="D43" s="8"/>
      <c r="E43" s="802"/>
      <c r="F43" s="8"/>
      <c r="G43" s="8"/>
      <c r="H43" s="8"/>
      <c r="I43" s="8"/>
      <c r="J43" s="8"/>
      <c r="K43" s="8"/>
      <c r="L43" s="8"/>
      <c r="M43" s="8"/>
      <c r="N43" s="8"/>
      <c r="O43" s="8"/>
      <c r="P43" s="802"/>
      <c r="Q43" s="8"/>
      <c r="R43" s="8"/>
      <c r="S43" s="8"/>
      <c r="T43" s="8"/>
      <c r="U43" s="8"/>
      <c r="V43" s="8"/>
      <c r="W43" s="8"/>
      <c r="X43" s="8"/>
      <c r="Y43" s="8"/>
      <c r="Z43" s="8"/>
      <c r="AA43" s="1508"/>
      <c r="AB43" s="999">
        <f>IF((E40+F40)=0,1,(DATE(year,12,31)-DATE(year,E40,F40)+1)/daysinyear)</f>
        <v>1</v>
      </c>
      <c r="AC43" s="999"/>
    </row>
    <row r="44" spans="1:29" ht="12.75">
      <c r="A44" s="8"/>
      <c r="B44" s="1041"/>
      <c r="C44" s="1042"/>
      <c r="D44" s="1042"/>
      <c r="E44" s="1042"/>
      <c r="F44" s="1042"/>
      <c r="G44" s="1042"/>
      <c r="H44" s="1042"/>
      <c r="I44" s="1042"/>
      <c r="J44" s="1042"/>
      <c r="K44" s="1042"/>
      <c r="L44" s="1042"/>
      <c r="M44" s="1042"/>
      <c r="N44" s="1042"/>
      <c r="O44" s="1042"/>
      <c r="P44" s="1042"/>
      <c r="Q44" s="1042"/>
      <c r="R44" s="1042"/>
      <c r="S44" s="1042"/>
      <c r="T44" s="1042"/>
      <c r="U44" s="1042"/>
      <c r="V44" s="1042"/>
      <c r="W44" s="1042"/>
      <c r="X44" s="1042"/>
      <c r="Y44" s="1043"/>
      <c r="Z44" s="8"/>
      <c r="AA44" s="1508"/>
      <c r="AB44" s="999">
        <f>IF((I40+J40)=0,1,(DATE(year,I40,J40)-DATE(year,1,1)+1)/daysinyear)</f>
        <v>1</v>
      </c>
      <c r="AC44" s="999"/>
    </row>
    <row r="45" spans="1:28" ht="20.25" customHeight="1">
      <c r="A45" s="8"/>
      <c r="B45" s="1044"/>
      <c r="C45" s="998"/>
      <c r="D45" s="1045"/>
      <c r="E45" s="1246" t="s">
        <v>2468</v>
      </c>
      <c r="F45" s="1057"/>
      <c r="G45" s="998"/>
      <c r="H45" s="1046"/>
      <c r="I45" s="998"/>
      <c r="J45" s="998"/>
      <c r="K45" s="998"/>
      <c r="L45" s="998"/>
      <c r="M45" s="998"/>
      <c r="N45" s="998"/>
      <c r="O45" s="998"/>
      <c r="P45" s="998"/>
      <c r="Q45" s="998"/>
      <c r="R45" s="998"/>
      <c r="S45" s="998"/>
      <c r="T45" s="998"/>
      <c r="U45" s="998"/>
      <c r="V45" s="998"/>
      <c r="W45" s="998"/>
      <c r="X45" s="998"/>
      <c r="Y45" s="1047"/>
      <c r="Z45" s="8"/>
      <c r="AA45" s="1508"/>
      <c r="AB45" s="998"/>
    </row>
    <row r="46" spans="1:28" ht="18" customHeight="1">
      <c r="A46" s="8"/>
      <c r="B46" s="1248"/>
      <c r="C46" s="1250" t="s">
        <v>676</v>
      </c>
      <c r="D46" s="1045"/>
      <c r="E46" s="1246"/>
      <c r="F46" s="1057"/>
      <c r="G46" s="1049"/>
      <c r="H46" s="1255"/>
      <c r="I46" s="1049"/>
      <c r="J46" s="1049"/>
      <c r="K46" s="1049"/>
      <c r="L46" s="1049"/>
      <c r="M46" s="1049"/>
      <c r="N46" s="1049"/>
      <c r="O46" s="1049"/>
      <c r="P46" s="1049"/>
      <c r="Q46" s="1049"/>
      <c r="R46" s="1049"/>
      <c r="S46" s="1049"/>
      <c r="T46" s="1050" t="s">
        <v>2050</v>
      </c>
      <c r="U46" s="277" t="s">
        <v>2131</v>
      </c>
      <c r="V46" s="1050" t="s">
        <v>677</v>
      </c>
      <c r="W46" s="586" t="s">
        <v>458</v>
      </c>
      <c r="X46" s="1051" t="s">
        <v>2051</v>
      </c>
      <c r="Y46" s="1047"/>
      <c r="Z46" s="8"/>
      <c r="AA46" s="1508"/>
      <c r="AB46" s="998"/>
    </row>
    <row r="47" spans="1:27" ht="26.25" customHeight="1">
      <c r="A47" s="8"/>
      <c r="B47" s="1044"/>
      <c r="C47" s="1059" t="s">
        <v>2653</v>
      </c>
      <c r="D47" s="1045"/>
      <c r="E47" s="998"/>
      <c r="F47" s="998"/>
      <c r="G47" s="998"/>
      <c r="H47" s="1046"/>
      <c r="I47" s="998"/>
      <c r="J47" s="998"/>
      <c r="K47" s="998"/>
      <c r="L47" s="998"/>
      <c r="M47" s="998"/>
      <c r="N47" s="998"/>
      <c r="O47" s="998"/>
      <c r="P47" s="998"/>
      <c r="Q47" s="998"/>
      <c r="R47" s="998"/>
      <c r="S47" s="998"/>
      <c r="T47" s="998"/>
      <c r="U47" s="998"/>
      <c r="V47" s="998"/>
      <c r="W47" s="998"/>
      <c r="X47" s="998"/>
      <c r="Y47" s="1047"/>
      <c r="Z47" s="8"/>
      <c r="AA47" s="1508"/>
    </row>
    <row r="48" spans="1:27" ht="24" customHeight="1">
      <c r="A48" s="8"/>
      <c r="B48" s="1247"/>
      <c r="C48" s="1048" t="s">
        <v>718</v>
      </c>
      <c r="D48" s="998"/>
      <c r="E48" s="998"/>
      <c r="F48" s="998"/>
      <c r="G48" s="998"/>
      <c r="H48" s="998"/>
      <c r="I48" s="998"/>
      <c r="J48" s="998"/>
      <c r="K48" s="998"/>
      <c r="L48" s="998"/>
      <c r="M48" s="998"/>
      <c r="N48" s="998"/>
      <c r="O48" s="998"/>
      <c r="P48" s="998"/>
      <c r="Q48" s="998"/>
      <c r="R48" s="998"/>
      <c r="S48" s="998"/>
      <c r="T48" s="998"/>
      <c r="U48" s="998"/>
      <c r="V48" s="998"/>
      <c r="W48" s="998"/>
      <c r="X48" s="998"/>
      <c r="Y48" s="1047"/>
      <c r="Z48" s="8"/>
      <c r="AA48" s="1508"/>
    </row>
    <row r="49" spans="1:27" ht="20.25">
      <c r="A49" s="8"/>
      <c r="B49" s="1044"/>
      <c r="C49" s="1048" t="s">
        <v>719</v>
      </c>
      <c r="D49" s="998"/>
      <c r="E49" s="998"/>
      <c r="F49" s="998"/>
      <c r="G49" s="998"/>
      <c r="H49" s="998"/>
      <c r="I49" s="998"/>
      <c r="J49" s="998"/>
      <c r="K49" s="998"/>
      <c r="L49" s="998"/>
      <c r="M49" s="998"/>
      <c r="N49" s="998"/>
      <c r="O49" s="998"/>
      <c r="P49" s="998"/>
      <c r="Q49" s="998"/>
      <c r="R49" s="998"/>
      <c r="S49" s="1049"/>
      <c r="T49" s="1050" t="s">
        <v>2050</v>
      </c>
      <c r="U49" s="586" t="s">
        <v>458</v>
      </c>
      <c r="V49" s="1050" t="s">
        <v>677</v>
      </c>
      <c r="W49" s="586" t="s">
        <v>458</v>
      </c>
      <c r="X49" s="1051" t="s">
        <v>2051</v>
      </c>
      <c r="Y49" s="1047"/>
      <c r="Z49" s="8"/>
      <c r="AA49" s="1508"/>
    </row>
    <row r="50" spans="1:27" ht="18">
      <c r="A50" s="8"/>
      <c r="B50" s="1044"/>
      <c r="C50" s="1048" t="s">
        <v>720</v>
      </c>
      <c r="D50" s="998"/>
      <c r="E50" s="998"/>
      <c r="F50" s="998"/>
      <c r="G50" s="998"/>
      <c r="H50" s="998"/>
      <c r="I50" s="998"/>
      <c r="J50" s="998"/>
      <c r="K50" s="998"/>
      <c r="L50" s="998"/>
      <c r="M50" s="998"/>
      <c r="N50" s="998"/>
      <c r="O50" s="998"/>
      <c r="P50" s="998"/>
      <c r="Q50" s="998"/>
      <c r="R50" s="998"/>
      <c r="S50" s="998"/>
      <c r="T50" s="1050"/>
      <c r="U50" s="1072"/>
      <c r="V50" s="1050"/>
      <c r="W50" s="1072"/>
      <c r="X50" s="1051"/>
      <c r="Y50" s="1047"/>
      <c r="Z50" s="8"/>
      <c r="AA50" s="1508"/>
    </row>
    <row r="51" spans="1:27" ht="27.75" customHeight="1" thickBot="1">
      <c r="A51" s="8"/>
      <c r="B51" s="1052"/>
      <c r="C51" s="1251" t="s">
        <v>675</v>
      </c>
      <c r="D51" s="1054"/>
      <c r="E51" s="1054"/>
      <c r="F51" s="1054"/>
      <c r="G51" s="1054"/>
      <c r="H51" s="1054"/>
      <c r="I51" s="1054"/>
      <c r="J51" s="1054"/>
      <c r="K51" s="1054"/>
      <c r="L51" s="1054"/>
      <c r="M51" s="1054"/>
      <c r="N51" s="1054"/>
      <c r="O51" s="1054"/>
      <c r="P51" s="1054"/>
      <c r="Q51" s="1054"/>
      <c r="R51" s="1054"/>
      <c r="S51" s="1054"/>
      <c r="T51" s="1054"/>
      <c r="U51" s="1054"/>
      <c r="V51" s="1054"/>
      <c r="W51" s="1054"/>
      <c r="X51" s="1054"/>
      <c r="Y51" s="1055"/>
      <c r="Z51" s="8"/>
      <c r="AA51" s="1508"/>
    </row>
    <row r="52" spans="1:27" ht="13.5" thickBot="1">
      <c r="A52" s="8"/>
      <c r="B52" s="8"/>
      <c r="C52" s="8"/>
      <c r="D52" s="8"/>
      <c r="E52" s="8"/>
      <c r="F52" s="8"/>
      <c r="G52" s="8"/>
      <c r="H52" s="8"/>
      <c r="I52" s="8"/>
      <c r="J52" s="8"/>
      <c r="K52" s="8"/>
      <c r="L52" s="8"/>
      <c r="M52" s="8"/>
      <c r="N52" s="8"/>
      <c r="O52" s="8"/>
      <c r="P52" s="8"/>
      <c r="Q52" s="8"/>
      <c r="R52" s="8"/>
      <c r="S52" s="8"/>
      <c r="T52" s="8"/>
      <c r="U52" s="8"/>
      <c r="V52" s="8"/>
      <c r="W52" s="8"/>
      <c r="X52" s="8"/>
      <c r="Y52" s="8"/>
      <c r="Z52" s="8"/>
      <c r="AA52" s="1508"/>
    </row>
    <row r="53" spans="1:27" ht="7.5" customHeight="1">
      <c r="A53" s="8"/>
      <c r="B53" s="1041"/>
      <c r="C53" s="1042"/>
      <c r="D53" s="1042"/>
      <c r="E53" s="1042"/>
      <c r="F53" s="1042"/>
      <c r="G53" s="1042"/>
      <c r="H53" s="1042"/>
      <c r="I53" s="1042"/>
      <c r="J53" s="1042"/>
      <c r="K53" s="1042"/>
      <c r="L53" s="1042"/>
      <c r="M53" s="1042"/>
      <c r="N53" s="1042"/>
      <c r="O53" s="1042"/>
      <c r="P53" s="1042"/>
      <c r="Q53" s="1042"/>
      <c r="R53" s="1042"/>
      <c r="S53" s="1042"/>
      <c r="T53" s="1042"/>
      <c r="U53" s="1042"/>
      <c r="V53" s="1042"/>
      <c r="W53" s="1042"/>
      <c r="X53" s="1042"/>
      <c r="Y53" s="1043"/>
      <c r="Z53" s="8"/>
      <c r="AA53" s="1508"/>
    </row>
    <row r="54" spans="1:27" ht="20.25">
      <c r="A54" s="8"/>
      <c r="B54" s="1044"/>
      <c r="C54" s="1234" t="s">
        <v>1038</v>
      </c>
      <c r="D54" s="998"/>
      <c r="E54" s="998"/>
      <c r="F54" s="998"/>
      <c r="G54" s="998"/>
      <c r="H54" s="998"/>
      <c r="I54" s="998"/>
      <c r="J54" s="998"/>
      <c r="K54" s="998"/>
      <c r="L54" s="998"/>
      <c r="M54" s="998"/>
      <c r="N54" s="998"/>
      <c r="O54" s="998"/>
      <c r="P54" s="998"/>
      <c r="Q54" s="998"/>
      <c r="R54" s="998"/>
      <c r="S54" s="998"/>
      <c r="T54" s="998"/>
      <c r="U54" s="998"/>
      <c r="V54" s="998"/>
      <c r="W54" s="998"/>
      <c r="X54" s="998"/>
      <c r="Y54" s="1047"/>
      <c r="Z54" s="8"/>
      <c r="AA54" s="1508"/>
    </row>
    <row r="55" spans="1:27" ht="16.5" customHeight="1">
      <c r="A55" s="8"/>
      <c r="B55" s="1044"/>
      <c r="C55" s="1059" t="s">
        <v>1825</v>
      </c>
      <c r="D55" s="998"/>
      <c r="E55" s="998"/>
      <c r="F55" s="998"/>
      <c r="G55" s="998"/>
      <c r="H55" s="998"/>
      <c r="I55" s="998"/>
      <c r="J55" s="998"/>
      <c r="K55" s="998"/>
      <c r="L55" s="998"/>
      <c r="M55" s="998"/>
      <c r="N55" s="998"/>
      <c r="O55" s="998"/>
      <c r="P55" s="998"/>
      <c r="Q55" s="998"/>
      <c r="R55" s="998"/>
      <c r="S55" s="998"/>
      <c r="T55" s="998"/>
      <c r="U55" s="998"/>
      <c r="V55" s="998"/>
      <c r="W55" s="998"/>
      <c r="X55" s="1056"/>
      <c r="Y55" s="1047"/>
      <c r="Z55" s="8"/>
      <c r="AA55" s="1508"/>
    </row>
    <row r="56" spans="1:27" ht="20.25">
      <c r="A56" s="8"/>
      <c r="B56" s="1044"/>
      <c r="C56" s="1048" t="s">
        <v>685</v>
      </c>
      <c r="D56" s="998"/>
      <c r="E56" s="998"/>
      <c r="F56" s="998"/>
      <c r="G56" s="998"/>
      <c r="H56" s="1049"/>
      <c r="I56" s="1049"/>
      <c r="J56" s="1049"/>
      <c r="K56" s="1049"/>
      <c r="L56" s="1049"/>
      <c r="M56" s="1049"/>
      <c r="N56" s="1049"/>
      <c r="O56" s="1049"/>
      <c r="P56" s="1049"/>
      <c r="Q56" s="1049"/>
      <c r="R56" s="1049"/>
      <c r="S56" s="1049"/>
      <c r="T56" s="1050" t="s">
        <v>2050</v>
      </c>
      <c r="U56" s="277" t="s">
        <v>2131</v>
      </c>
      <c r="V56" s="1050" t="s">
        <v>2309</v>
      </c>
      <c r="W56" s="586" t="s">
        <v>458</v>
      </c>
      <c r="X56" s="1051" t="s">
        <v>2051</v>
      </c>
      <c r="Y56" s="1047"/>
      <c r="Z56" s="8"/>
      <c r="AA56" s="1508"/>
    </row>
    <row r="57" spans="1:27" ht="15.75" thickBot="1">
      <c r="A57" s="8"/>
      <c r="B57" s="1052"/>
      <c r="C57" s="1053"/>
      <c r="D57" s="1054"/>
      <c r="E57" s="1054"/>
      <c r="F57" s="1054"/>
      <c r="G57" s="1054"/>
      <c r="H57" s="1054"/>
      <c r="I57" s="1054"/>
      <c r="J57" s="1054"/>
      <c r="K57" s="1054"/>
      <c r="L57" s="1054"/>
      <c r="M57" s="1054"/>
      <c r="N57" s="1054"/>
      <c r="O57" s="1054"/>
      <c r="P57" s="1054"/>
      <c r="Q57" s="1054"/>
      <c r="R57" s="1054"/>
      <c r="S57" s="1054"/>
      <c r="T57" s="1054"/>
      <c r="U57" s="1054"/>
      <c r="V57" s="1054"/>
      <c r="W57" s="1054"/>
      <c r="X57" s="1054"/>
      <c r="Y57" s="1055"/>
      <c r="Z57" s="8"/>
      <c r="AA57" s="1508"/>
    </row>
    <row r="58" spans="1:27" ht="15.75">
      <c r="A58" s="8"/>
      <c r="B58" s="8"/>
      <c r="C58" s="8"/>
      <c r="D58" s="8"/>
      <c r="E58" s="8"/>
      <c r="F58" s="8"/>
      <c r="G58" s="8"/>
      <c r="H58" s="8"/>
      <c r="I58" s="8"/>
      <c r="J58" s="8"/>
      <c r="K58" s="8"/>
      <c r="L58" s="8"/>
      <c r="M58" s="8"/>
      <c r="N58" s="8"/>
      <c r="O58" s="8"/>
      <c r="P58" s="8"/>
      <c r="Q58" s="8"/>
      <c r="R58" s="8"/>
      <c r="S58" s="8"/>
      <c r="T58" s="8"/>
      <c r="U58" s="8"/>
      <c r="V58" s="8"/>
      <c r="W58" s="8"/>
      <c r="X58" s="788"/>
      <c r="Y58" s="8"/>
      <c r="Z58" s="8"/>
      <c r="AA58" s="1508"/>
    </row>
    <row r="59" spans="1:27" ht="12.75" customHeight="1">
      <c r="A59" s="8"/>
      <c r="B59" s="8"/>
      <c r="C59" s="8"/>
      <c r="D59" s="8"/>
      <c r="E59" s="8"/>
      <c r="F59" s="8"/>
      <c r="G59" s="8"/>
      <c r="H59" s="8"/>
      <c r="I59" s="8"/>
      <c r="J59" s="8"/>
      <c r="K59" s="8"/>
      <c r="L59" s="8"/>
      <c r="M59" s="8"/>
      <c r="N59" s="8"/>
      <c r="O59" s="8"/>
      <c r="P59" s="21"/>
      <c r="Q59" s="21"/>
      <c r="R59" s="21"/>
      <c r="S59" s="21"/>
      <c r="T59" s="21"/>
      <c r="U59" s="21"/>
      <c r="V59" s="21"/>
      <c r="W59" s="21"/>
      <c r="X59" s="21"/>
      <c r="Y59" s="21"/>
      <c r="Z59" s="8"/>
      <c r="AA59" s="1508"/>
    </row>
    <row r="60" spans="1:27" ht="15" customHeight="1">
      <c r="A60" s="8"/>
      <c r="B60" s="1518" t="s">
        <v>62</v>
      </c>
      <c r="C60" s="1519"/>
      <c r="D60" s="1526">
        <v>172</v>
      </c>
      <c r="E60" s="1528"/>
      <c r="F60" s="1529"/>
      <c r="G60" s="32"/>
      <c r="H60" s="1525"/>
      <c r="I60" s="1525"/>
      <c r="J60" s="1252"/>
      <c r="K60" s="1253">
        <v>171</v>
      </c>
      <c r="L60" s="1479">
        <v>171</v>
      </c>
      <c r="M60" s="1480"/>
      <c r="N60" s="1480"/>
      <c r="O60" s="1476"/>
      <c r="P60" s="1229"/>
      <c r="Q60" s="1230"/>
      <c r="R60" s="1229"/>
      <c r="S60" s="1230"/>
      <c r="T60" s="1229"/>
      <c r="U60" s="1231"/>
      <c r="V60" s="1230"/>
      <c r="W60" s="1229"/>
      <c r="X60" s="1231"/>
      <c r="Y60" s="1230"/>
      <c r="Z60" s="8"/>
      <c r="AA60" s="1508"/>
    </row>
    <row r="61" spans="1:27" ht="15" customHeight="1">
      <c r="A61" s="8"/>
      <c r="B61" s="1520" t="s">
        <v>63</v>
      </c>
      <c r="C61" s="1521"/>
      <c r="D61" s="1527"/>
      <c r="E61" s="1528"/>
      <c r="F61" s="1529"/>
      <c r="G61" s="32"/>
      <c r="H61" s="1525"/>
      <c r="I61" s="1525"/>
      <c r="J61" s="1252"/>
      <c r="K61" s="1253"/>
      <c r="L61" s="1477"/>
      <c r="M61" s="1516"/>
      <c r="N61" s="1516"/>
      <c r="O61" s="1517"/>
      <c r="P61" s="1229"/>
      <c r="Q61" s="1230"/>
      <c r="R61" s="1229"/>
      <c r="S61" s="1230"/>
      <c r="T61" s="1229"/>
      <c r="U61" s="1231"/>
      <c r="V61" s="1230"/>
      <c r="W61" s="1229"/>
      <c r="X61" s="1231"/>
      <c r="Y61" s="1230"/>
      <c r="Z61" s="8"/>
      <c r="AA61" s="1508"/>
    </row>
    <row r="62" spans="1:27" ht="18.75" customHeight="1">
      <c r="A62" s="8"/>
      <c r="B62" s="59" t="s">
        <v>1808</v>
      </c>
      <c r="C62" s="8"/>
      <c r="D62" s="8"/>
      <c r="E62" s="8"/>
      <c r="F62" s="8"/>
      <c r="G62" s="8"/>
      <c r="H62" s="8"/>
      <c r="I62" s="8"/>
      <c r="J62" s="8"/>
      <c r="K62" s="8"/>
      <c r="L62" s="8"/>
      <c r="M62" s="8"/>
      <c r="N62" s="8"/>
      <c r="O62" s="8"/>
      <c r="P62" s="8"/>
      <c r="Q62" s="8"/>
      <c r="R62" s="8"/>
      <c r="S62" s="8"/>
      <c r="T62" s="8"/>
      <c r="U62" s="8"/>
      <c r="V62" s="8"/>
      <c r="W62" s="8"/>
      <c r="X62" s="8"/>
      <c r="Y62" s="8"/>
      <c r="Z62" s="8"/>
      <c r="AA62" s="1508"/>
    </row>
  </sheetData>
  <sheetProtection password="EC35" sheet="1" objects="1" scenarios="1"/>
  <mergeCells count="46">
    <mergeCell ref="C32:G33"/>
    <mergeCell ref="H30:J30"/>
    <mergeCell ref="U30:X30"/>
    <mergeCell ref="N33:T35"/>
    <mergeCell ref="N29:T30"/>
    <mergeCell ref="H33:J33"/>
    <mergeCell ref="AA4:AA62"/>
    <mergeCell ref="X7:Y8"/>
    <mergeCell ref="V7:W8"/>
    <mergeCell ref="D12:J12"/>
    <mergeCell ref="D14:J14"/>
    <mergeCell ref="W13:X13"/>
    <mergeCell ref="W14:X14"/>
    <mergeCell ref="U13:V13"/>
    <mergeCell ref="U14:V14"/>
    <mergeCell ref="T11:X12"/>
    <mergeCell ref="D16:J16"/>
    <mergeCell ref="T26:X26"/>
    <mergeCell ref="I20:J20"/>
    <mergeCell ref="C20:D20"/>
    <mergeCell ref="F20:G20"/>
    <mergeCell ref="H18:J18"/>
    <mergeCell ref="D18:G18"/>
    <mergeCell ref="Q41:R41"/>
    <mergeCell ref="S40:T40"/>
    <mergeCell ref="S39:T39"/>
    <mergeCell ref="U32:X32"/>
    <mergeCell ref="U41:V41"/>
    <mergeCell ref="W41:Y41"/>
    <mergeCell ref="U40:V40"/>
    <mergeCell ref="W40:X40"/>
    <mergeCell ref="L60:O61"/>
    <mergeCell ref="B60:C60"/>
    <mergeCell ref="B61:C61"/>
    <mergeCell ref="C34:G36"/>
    <mergeCell ref="H36:J36"/>
    <mergeCell ref="H60:I60"/>
    <mergeCell ref="H61:I61"/>
    <mergeCell ref="D60:D61"/>
    <mergeCell ref="E60:F60"/>
    <mergeCell ref="E61:F61"/>
    <mergeCell ref="V4:X4"/>
    <mergeCell ref="S28:X28"/>
    <mergeCell ref="U39:V39"/>
    <mergeCell ref="W39:X39"/>
    <mergeCell ref="U34:X34"/>
  </mergeCells>
  <dataValidations count="13">
    <dataValidation allowBlank="1" showErrorMessage="1" prompt="&#10;" sqref="F20:G20"/>
    <dataValidation allowBlank="1" showErrorMessage="1" sqref="C20:D20"/>
    <dataValidation allowBlank="1" showInputMessage="1" showErrorMessage="1" promptTitle="$ DONATION REQUEST:" prompt="Please support this software&#10;by mailing a $10. cheque or cash to:&#10;&#10;Peel Technologies&#10;11025 Miller Road, RR # 1&#10;Dutton, ON, N0L 1J0 &#10;&#10;or use the Paypal button on our web site:&#10;www.peeltech.ca&#10;&#10;Sincerely, &#10;Egbert Verbrugge  P.Eng., B.E.Sc., Ph.D." sqref="I20:J20"/>
    <dataValidation type="whole" operator="greaterThan" allowBlank="1" showInputMessage="1" showErrorMessage="1" errorTitle="SOCIAL INSURANCE NUMBER FORMAT" error="Enter a number without any  - or blanks&#10;Example:  012034056&#10;" sqref="T11">
      <formula1>0</formula1>
    </dataValidation>
    <dataValidation type="whole" operator="greaterThan" allowBlank="1" showInputMessage="1" showErrorMessage="1" errorTitle="SOCIAL INSURANCE NUMBER FORMAT" error="Enter a number without any - or blanks&#10;Example: 012134567" sqref="T26:X26">
      <formula1>0</formula1>
    </dataValidation>
    <dataValidation type="whole" operator="greaterThan" allowBlank="1" showInputMessage="1" showErrorMessage="1" errorTitle="DATE ERROR" error="Year must be 1900 or later because of pc date limitation." sqref="T14">
      <formula1>1899</formula1>
    </dataValidation>
    <dataValidation type="whole" allowBlank="1" showInputMessage="1" showErrorMessage="1" errorTitle="DATE ERROR" error="Month must be between 1 and 12" sqref="U14:V14">
      <formula1>1</formula1>
      <formula2>12</formula2>
    </dataValidation>
    <dataValidation type="whole" allowBlank="1" showInputMessage="1" showErrorMessage="1" errorTitle="DATE ERROR" error="Day must be between 1 and 31" sqref="W14:X14">
      <formula1>1</formula1>
      <formula2>31</formula2>
    </dataValidation>
    <dataValidation type="whole" allowBlank="1" showInputMessage="1" showErrorMessage="1" errorTitle="DATE FORMAT" error="Month must be between 1 and 12" sqref="I40 E40 U40:V40">
      <formula1>1</formula1>
      <formula2>12</formula2>
    </dataValidation>
    <dataValidation type="whole" allowBlank="1" showInputMessage="1" showErrorMessage="1" errorTitle="DATE FORMAT" error="Day must be between 1 and 31" sqref="F40 J40 W40:X40">
      <formula1>1</formula1>
      <formula2>31</formula2>
    </dataValidation>
    <dataValidation type="list" showInputMessage="1" showErrorMessage="1" sqref="T16">
      <formula1>"X,'"</formula1>
    </dataValidation>
    <dataValidation type="list" allowBlank="1" showInputMessage="1" showErrorMessage="1" sqref="U56 W56 X16 X36 O20:O21 R20:R21 V20:V21 U46 U49 W49 W46">
      <formula1>"X,'"</formula1>
    </dataValidation>
    <dataValidation type="whole" allowBlank="1" showInputMessage="1" showErrorMessage="1" error="Invalid Year:  Format YYYY" sqref="S40:T40">
      <formula1>1900</formula1>
      <formula2>2100</formula2>
    </dataValidation>
  </dataValidations>
  <hyperlinks>
    <hyperlink ref="AA4:AA62" location="'GO TO'!B7" display=" "/>
  </hyperlinks>
  <printOptions/>
  <pageMargins left="0" right="0" top="0" bottom="0" header="0.5118110236220472" footer="0.5118110236220472"/>
  <pageSetup fitToHeight="0" fitToWidth="1" horizontalDpi="600" verticalDpi="600" orientation="portrait" scale="73" r:id="rId2"/>
  <drawing r:id="rId1"/>
</worksheet>
</file>

<file path=xl/worksheets/sheet7.xml><?xml version="1.0" encoding="utf-8"?>
<worksheet xmlns="http://schemas.openxmlformats.org/spreadsheetml/2006/main" xmlns:r="http://schemas.openxmlformats.org/officeDocument/2006/relationships">
  <sheetPr codeName="Sheet3" transitionEvaluation="1">
    <pageSetUpPr fitToPage="1"/>
  </sheetPr>
  <dimension ref="A1:M172"/>
  <sheetViews>
    <sheetView zoomScale="75" zoomScaleNormal="75" workbookViewId="0" topLeftCell="A1">
      <selection activeCell="B1" sqref="B1"/>
    </sheetView>
  </sheetViews>
  <sheetFormatPr defaultColWidth="9.77734375" defaultRowHeight="15"/>
  <cols>
    <col min="1" max="1" width="1.77734375" style="608" customWidth="1"/>
    <col min="2" max="2" width="32.4453125" style="608" customWidth="1"/>
    <col min="3" max="3" width="6.77734375" style="608" customWidth="1"/>
    <col min="4" max="4" width="4.77734375" style="608" customWidth="1"/>
    <col min="5" max="5" width="11.5546875" style="608" customWidth="1"/>
    <col min="6" max="6" width="4.77734375" style="608" customWidth="1"/>
    <col min="7" max="7" width="11.77734375" style="608" customWidth="1"/>
    <col min="8" max="8" width="4.77734375" style="608" customWidth="1"/>
    <col min="9" max="9" width="11.77734375" style="608" customWidth="1"/>
    <col min="10" max="10" width="4.77734375" style="608" customWidth="1"/>
    <col min="11" max="11" width="10.77734375" style="608" customWidth="1"/>
    <col min="12" max="12" width="1.77734375" style="608" customWidth="1"/>
    <col min="13" max="16384" width="9.77734375" style="608" customWidth="1"/>
  </cols>
  <sheetData>
    <row r="1" spans="2:13" ht="18">
      <c r="B1" s="482"/>
      <c r="C1" s="483"/>
      <c r="D1" s="483"/>
      <c r="E1" s="483"/>
      <c r="F1" s="483"/>
      <c r="G1" s="483"/>
      <c r="H1" s="483"/>
      <c r="I1" s="483"/>
      <c r="J1" s="88" t="str">
        <f>'T1 GEN-1'!V7</f>
        <v>BC</v>
      </c>
      <c r="K1" s="111">
        <v>2</v>
      </c>
      <c r="L1" s="607"/>
      <c r="M1" s="1573" t="s">
        <v>1659</v>
      </c>
    </row>
    <row r="2" spans="2:13" ht="15.75">
      <c r="B2" s="482" t="s">
        <v>50</v>
      </c>
      <c r="C2" s="483"/>
      <c r="D2" s="483"/>
      <c r="E2" s="483"/>
      <c r="F2" s="483"/>
      <c r="G2" s="483"/>
      <c r="H2" s="483"/>
      <c r="I2" s="483"/>
      <c r="J2" s="484"/>
      <c r="K2" s="607"/>
      <c r="L2" s="607"/>
      <c r="M2" s="1573"/>
    </row>
    <row r="3" spans="2:13" ht="22.5" customHeight="1">
      <c r="B3" s="1074" t="s">
        <v>2461</v>
      </c>
      <c r="C3" s="1073"/>
      <c r="D3" s="1073"/>
      <c r="E3" s="1073"/>
      <c r="F3" s="1073"/>
      <c r="G3" s="1073"/>
      <c r="H3" s="1073"/>
      <c r="I3" s="1073"/>
      <c r="J3" s="1073"/>
      <c r="K3" s="607"/>
      <c r="L3" s="607"/>
      <c r="M3" s="1573"/>
    </row>
    <row r="4" spans="2:13" ht="18">
      <c r="B4" s="1235" t="s">
        <v>1809</v>
      </c>
      <c r="C4" s="1083"/>
      <c r="D4" s="1084"/>
      <c r="E4" s="1085"/>
      <c r="F4" s="1086"/>
      <c r="G4" s="1087"/>
      <c r="H4" s="1085"/>
      <c r="I4" s="1085"/>
      <c r="J4" s="1086"/>
      <c r="K4" s="1088"/>
      <c r="L4" s="607"/>
      <c r="M4" s="1573"/>
    </row>
    <row r="5" spans="2:13" ht="29.25" customHeight="1">
      <c r="B5" s="1089" t="str">
        <f>"Did you own or hold foreign property at any time in "&amp;yeartext&amp;" with a total cost of more than CAN$100,000?"</f>
        <v>Did you own or hold foreign property at any time in 2007 with a total cost of more than CAN$100,000?</v>
      </c>
      <c r="C5" s="1090"/>
      <c r="D5" s="1091"/>
      <c r="E5" s="1090"/>
      <c r="F5" s="1092"/>
      <c r="G5" s="1093"/>
      <c r="H5" s="1090"/>
      <c r="I5" s="1090"/>
      <c r="J5" s="1092"/>
      <c r="K5" s="1094"/>
      <c r="L5" s="607"/>
      <c r="M5" s="1573"/>
    </row>
    <row r="6" spans="2:13" ht="20.25">
      <c r="B6" s="1089" t="s">
        <v>284</v>
      </c>
      <c r="C6" s="1090"/>
      <c r="D6" s="1091"/>
      <c r="E6" s="1090"/>
      <c r="F6" s="1105">
        <v>266</v>
      </c>
      <c r="G6" s="1095" t="s">
        <v>283</v>
      </c>
      <c r="H6" s="1096" t="s">
        <v>458</v>
      </c>
      <c r="I6" s="1097" t="s">
        <v>282</v>
      </c>
      <c r="J6" s="1098" t="s">
        <v>2131</v>
      </c>
      <c r="K6" s="1099" t="s">
        <v>2051</v>
      </c>
      <c r="L6" s="607"/>
      <c r="M6" s="1573"/>
    </row>
    <row r="7" spans="2:13" ht="18">
      <c r="B7" s="1089" t="s">
        <v>686</v>
      </c>
      <c r="C7" s="1090"/>
      <c r="D7" s="1091"/>
      <c r="E7" s="1090"/>
      <c r="F7" s="1092"/>
      <c r="G7" s="1093"/>
      <c r="H7" s="1090"/>
      <c r="I7" s="1090"/>
      <c r="J7" s="1092"/>
      <c r="K7" s="1094"/>
      <c r="L7" s="607"/>
      <c r="M7" s="1573"/>
    </row>
    <row r="8" spans="2:13" ht="34.5" customHeight="1">
      <c r="B8" s="1106" t="str">
        <f>"If you had dealings with a non-resident trust or corporation in "&amp;yeartext&amp;", see the "&amp;CHAR(34)&amp;"Foreign income"&amp;CHAR(34)&amp;" section in the guide."</f>
        <v>If you had dealings with a non-resident trust or corporation in 2007, see the "Foreign income" section in the guide.</v>
      </c>
      <c r="C8" s="1100"/>
      <c r="D8" s="1101"/>
      <c r="E8" s="1100"/>
      <c r="F8" s="1102"/>
      <c r="G8" s="1103"/>
      <c r="H8" s="1100"/>
      <c r="I8" s="1100"/>
      <c r="J8" s="1102"/>
      <c r="K8" s="1104"/>
      <c r="L8" s="607"/>
      <c r="M8" s="1573"/>
    </row>
    <row r="9" spans="2:13" ht="13.5" customHeight="1">
      <c r="B9" s="95"/>
      <c r="C9" s="95"/>
      <c r="D9" s="116"/>
      <c r="E9" s="78"/>
      <c r="F9" s="113"/>
      <c r="G9" s="95"/>
      <c r="H9" s="78"/>
      <c r="I9" s="78"/>
      <c r="J9" s="113"/>
      <c r="K9" s="111"/>
      <c r="L9" s="607"/>
      <c r="M9" s="1573"/>
    </row>
    <row r="10" spans="2:13" ht="21" customHeight="1">
      <c r="B10" s="95" t="s">
        <v>525</v>
      </c>
      <c r="C10" s="95"/>
      <c r="D10" s="116"/>
      <c r="E10" s="78"/>
      <c r="F10" s="113"/>
      <c r="G10" s="95"/>
      <c r="H10" s="78"/>
      <c r="I10" s="78"/>
      <c r="J10" s="113"/>
      <c r="K10" s="111"/>
      <c r="L10" s="607"/>
      <c r="M10" s="1573"/>
    </row>
    <row r="11" spans="2:13" ht="13.5" customHeight="1">
      <c r="B11" s="79"/>
      <c r="C11" s="79"/>
      <c r="D11" s="78"/>
      <c r="E11" s="103"/>
      <c r="F11" s="78"/>
      <c r="G11" s="95"/>
      <c r="H11" s="78"/>
      <c r="I11" s="78"/>
      <c r="J11" s="78"/>
      <c r="K11" s="95"/>
      <c r="L11" s="607"/>
      <c r="M11" s="1573"/>
    </row>
    <row r="12" spans="2:13" ht="20.25">
      <c r="B12" s="1236" t="s">
        <v>1009</v>
      </c>
      <c r="C12" s="74"/>
      <c r="D12" s="78"/>
      <c r="E12" s="103"/>
      <c r="F12" s="78"/>
      <c r="G12" s="78"/>
      <c r="H12" s="78"/>
      <c r="I12" s="78"/>
      <c r="J12" s="108"/>
      <c r="K12" s="110"/>
      <c r="L12" s="607"/>
      <c r="M12" s="1573"/>
    </row>
    <row r="13" spans="2:13" ht="24.75" customHeight="1">
      <c r="B13" s="75" t="s">
        <v>526</v>
      </c>
      <c r="C13" s="75"/>
      <c r="D13" s="75"/>
      <c r="E13" s="75"/>
      <c r="F13" s="75"/>
      <c r="G13" s="75"/>
      <c r="H13" s="106">
        <v>101</v>
      </c>
      <c r="I13" s="264">
        <f>MISC!L21</f>
        <v>0</v>
      </c>
      <c r="J13" s="108"/>
      <c r="K13" s="95"/>
      <c r="L13" s="607"/>
      <c r="M13" s="1573"/>
    </row>
    <row r="14" spans="2:13" ht="24.75" customHeight="1">
      <c r="B14" s="76" t="s">
        <v>825</v>
      </c>
      <c r="C14" s="76"/>
      <c r="D14" s="76"/>
      <c r="E14" s="76"/>
      <c r="F14" s="1082">
        <v>102</v>
      </c>
      <c r="G14" s="606">
        <f>MISC!L22</f>
        <v>0</v>
      </c>
      <c r="H14" s="95"/>
      <c r="I14" s="95"/>
      <c r="J14" s="95"/>
      <c r="K14" s="95"/>
      <c r="L14" s="607"/>
      <c r="M14" s="1573"/>
    </row>
    <row r="15" spans="2:13" ht="15.75">
      <c r="B15" s="76" t="s">
        <v>527</v>
      </c>
      <c r="C15" s="76"/>
      <c r="D15" s="76"/>
      <c r="E15" s="76"/>
      <c r="F15" s="96"/>
      <c r="G15" s="94"/>
      <c r="H15" s="106">
        <v>104</v>
      </c>
      <c r="I15" s="606">
        <f>MISC!L23</f>
        <v>0</v>
      </c>
      <c r="J15" s="95"/>
      <c r="K15" s="95"/>
      <c r="L15" s="607"/>
      <c r="M15" s="1573"/>
    </row>
    <row r="16" spans="2:13" ht="15.75">
      <c r="B16" s="76" t="s">
        <v>1564</v>
      </c>
      <c r="C16" s="76"/>
      <c r="D16" s="76"/>
      <c r="E16" s="76"/>
      <c r="F16" s="94"/>
      <c r="G16" s="94"/>
      <c r="H16" s="106">
        <v>113</v>
      </c>
      <c r="I16" s="606">
        <f>MISC!L24</f>
        <v>0</v>
      </c>
      <c r="J16" s="95"/>
      <c r="K16" s="95"/>
      <c r="L16" s="607"/>
      <c r="M16" s="1573"/>
    </row>
    <row r="17" spans="2:13" ht="15.75">
      <c r="B17" s="76" t="s">
        <v>528</v>
      </c>
      <c r="C17" s="76"/>
      <c r="D17" s="76"/>
      <c r="E17" s="76"/>
      <c r="F17" s="94"/>
      <c r="G17" s="94"/>
      <c r="H17" s="106">
        <v>114</v>
      </c>
      <c r="I17" s="606">
        <f>MISC!L25</f>
        <v>0</v>
      </c>
      <c r="J17" s="95"/>
      <c r="K17" s="95"/>
      <c r="L17" s="607"/>
      <c r="M17" s="1573"/>
    </row>
    <row r="18" spans="2:13" ht="45">
      <c r="B18" s="77" t="s">
        <v>533</v>
      </c>
      <c r="C18" s="77"/>
      <c r="D18" s="76"/>
      <c r="E18" s="76"/>
      <c r="F18" s="1082">
        <v>152</v>
      </c>
      <c r="G18" s="606">
        <f>MISC!L37</f>
        <v>0</v>
      </c>
      <c r="H18" s="95"/>
      <c r="I18" s="95"/>
      <c r="J18" s="95"/>
      <c r="K18" s="95"/>
      <c r="L18" s="607"/>
      <c r="M18" s="1573"/>
    </row>
    <row r="19" spans="2:13" ht="15.75">
      <c r="B19" s="76" t="s">
        <v>633</v>
      </c>
      <c r="C19" s="76"/>
      <c r="D19" s="76"/>
      <c r="E19" s="76"/>
      <c r="F19" s="96"/>
      <c r="G19" s="94"/>
      <c r="H19" s="106">
        <v>115</v>
      </c>
      <c r="I19" s="264">
        <f>MISC!L26</f>
        <v>0</v>
      </c>
      <c r="J19" s="95"/>
      <c r="K19" s="95"/>
      <c r="L19" s="607"/>
      <c r="M19" s="1573"/>
    </row>
    <row r="20" spans="2:13" ht="15.75">
      <c r="B20" s="76" t="s">
        <v>1868</v>
      </c>
      <c r="C20" s="76"/>
      <c r="D20" s="76"/>
      <c r="E20" s="76"/>
      <c r="F20" s="96"/>
      <c r="G20" s="94"/>
      <c r="H20" s="106">
        <v>116</v>
      </c>
      <c r="I20" s="264">
        <f>'T1032E'!N132</f>
        <v>0</v>
      </c>
      <c r="J20" s="95"/>
      <c r="K20" s="95"/>
      <c r="L20" s="607"/>
      <c r="M20" s="1573"/>
    </row>
    <row r="21" spans="2:13" ht="15.75">
      <c r="B21" s="76" t="s">
        <v>1634</v>
      </c>
      <c r="C21" s="76"/>
      <c r="D21" s="76"/>
      <c r="E21" s="76"/>
      <c r="F21" s="94"/>
      <c r="G21" s="94"/>
      <c r="H21" s="106">
        <v>117</v>
      </c>
      <c r="I21" s="93"/>
      <c r="J21" s="95"/>
      <c r="K21" s="95"/>
      <c r="L21" s="607"/>
      <c r="M21" s="1573"/>
    </row>
    <row r="22" spans="2:13" ht="15.75">
      <c r="B22" s="76" t="s">
        <v>2135</v>
      </c>
      <c r="C22" s="76"/>
      <c r="D22" s="76"/>
      <c r="E22" s="76"/>
      <c r="F22" s="94"/>
      <c r="G22" s="94"/>
      <c r="H22" s="106">
        <v>119</v>
      </c>
      <c r="I22" s="264">
        <f>MISC!L27</f>
        <v>0</v>
      </c>
      <c r="J22" s="95"/>
      <c r="K22" s="95"/>
      <c r="L22" s="607"/>
      <c r="M22" s="1573"/>
    </row>
    <row r="23" spans="2:13" ht="31.5" customHeight="1">
      <c r="B23" s="1565" t="s">
        <v>9</v>
      </c>
      <c r="C23" s="1565"/>
      <c r="D23" s="1565"/>
      <c r="E23" s="1565"/>
      <c r="F23" s="1565"/>
      <c r="G23" s="1566"/>
      <c r="H23" s="106">
        <v>120</v>
      </c>
      <c r="I23" s="606">
        <f>MISC!L28</f>
        <v>0</v>
      </c>
      <c r="J23" s="95"/>
      <c r="K23" s="95"/>
      <c r="L23" s="607"/>
      <c r="M23" s="1573"/>
    </row>
    <row r="24" spans="2:13" ht="31.5" customHeight="1">
      <c r="B24" s="1563" t="s">
        <v>8</v>
      </c>
      <c r="C24" s="1564"/>
      <c r="D24" s="1564"/>
      <c r="E24" s="1564"/>
      <c r="F24" s="1082">
        <v>180</v>
      </c>
      <c r="G24" s="606">
        <f>MISC!L39</f>
        <v>0</v>
      </c>
      <c r="H24" s="106"/>
      <c r="I24" s="78"/>
      <c r="J24" s="95"/>
      <c r="K24" s="95"/>
      <c r="L24" s="607"/>
      <c r="M24" s="1573"/>
    </row>
    <row r="25" spans="2:13" ht="15.75">
      <c r="B25" s="76" t="s">
        <v>1039</v>
      </c>
      <c r="C25" s="76"/>
      <c r="D25" s="76"/>
      <c r="E25" s="76"/>
      <c r="F25" s="96"/>
      <c r="G25" s="94"/>
      <c r="H25" s="106">
        <v>121</v>
      </c>
      <c r="I25" s="369">
        <f>MISC!L29</f>
        <v>0</v>
      </c>
      <c r="J25" s="95"/>
      <c r="K25" s="95"/>
      <c r="L25" s="607"/>
      <c r="M25" s="1573"/>
    </row>
    <row r="26" spans="2:13" ht="32.25" customHeight="1">
      <c r="B26" s="76" t="s">
        <v>10</v>
      </c>
      <c r="C26" s="76"/>
      <c r="D26" s="76"/>
      <c r="E26" s="76"/>
      <c r="F26" s="96"/>
      <c r="G26" s="94"/>
      <c r="H26" s="106">
        <v>122</v>
      </c>
      <c r="I26" s="369">
        <f>MISC!L30</f>
        <v>0</v>
      </c>
      <c r="J26" s="95"/>
      <c r="K26" s="95"/>
      <c r="L26" s="607"/>
      <c r="M26" s="1573"/>
    </row>
    <row r="27" spans="2:13" ht="31.5" customHeight="1">
      <c r="B27" s="76" t="s">
        <v>1677</v>
      </c>
      <c r="C27" s="89" t="s">
        <v>1790</v>
      </c>
      <c r="D27" s="1082">
        <v>160</v>
      </c>
      <c r="E27" s="93"/>
      <c r="F27" s="94"/>
      <c r="G27" s="89" t="s">
        <v>2247</v>
      </c>
      <c r="H27" s="106">
        <v>126</v>
      </c>
      <c r="I27" s="93"/>
      <c r="J27" s="95"/>
      <c r="K27" s="95"/>
      <c r="L27" s="607"/>
      <c r="M27" s="1573"/>
    </row>
    <row r="28" spans="2:13" ht="15.75">
      <c r="B28" s="76" t="s">
        <v>1040</v>
      </c>
      <c r="C28" s="76"/>
      <c r="D28" s="75"/>
      <c r="E28" s="76"/>
      <c r="F28" s="76"/>
      <c r="G28" s="76"/>
      <c r="H28" s="106">
        <v>127</v>
      </c>
      <c r="I28" s="384">
        <f>MAX(0,Sch3!L79)</f>
        <v>0</v>
      </c>
      <c r="J28" s="95"/>
      <c r="K28" s="95"/>
      <c r="L28" s="607"/>
      <c r="M28" s="1573"/>
    </row>
    <row r="29" spans="2:13" ht="31.5" customHeight="1">
      <c r="B29" s="76" t="s">
        <v>487</v>
      </c>
      <c r="C29" s="89" t="s">
        <v>2444</v>
      </c>
      <c r="D29" s="1082">
        <v>156</v>
      </c>
      <c r="E29" s="93"/>
      <c r="F29" s="76"/>
      <c r="G29" s="89" t="s">
        <v>1329</v>
      </c>
      <c r="H29" s="106">
        <v>128</v>
      </c>
      <c r="I29" s="93"/>
      <c r="J29" s="95"/>
      <c r="K29" s="95"/>
      <c r="L29" s="607"/>
      <c r="M29" s="1573"/>
    </row>
    <row r="30" spans="2:13" ht="15.75">
      <c r="B30" s="76" t="s">
        <v>1330</v>
      </c>
      <c r="C30" s="76"/>
      <c r="D30" s="75"/>
      <c r="E30" s="76"/>
      <c r="F30" s="76"/>
      <c r="G30" s="76"/>
      <c r="H30" s="106">
        <v>129</v>
      </c>
      <c r="I30" s="384">
        <f>MISC!L31</f>
        <v>0</v>
      </c>
      <c r="J30" s="95"/>
      <c r="K30" s="95"/>
      <c r="L30" s="607"/>
      <c r="M30" s="1573"/>
    </row>
    <row r="31" spans="2:13" ht="15.75">
      <c r="B31" s="76" t="s">
        <v>488</v>
      </c>
      <c r="C31" s="820" t="s">
        <v>1727</v>
      </c>
      <c r="D31" s="1581"/>
      <c r="E31" s="1581"/>
      <c r="F31" s="1581"/>
      <c r="G31" s="1581"/>
      <c r="H31" s="106">
        <v>130</v>
      </c>
      <c r="I31" s="384">
        <f>MISC!L32</f>
        <v>0</v>
      </c>
      <c r="J31" s="95"/>
      <c r="K31" s="95"/>
      <c r="L31" s="607"/>
      <c r="M31" s="1573"/>
    </row>
    <row r="32" spans="2:13" ht="15.75">
      <c r="B32" s="82" t="s">
        <v>1331</v>
      </c>
      <c r="C32" s="82"/>
      <c r="D32" s="97"/>
      <c r="E32" s="97"/>
      <c r="F32" s="97"/>
      <c r="G32" s="97"/>
      <c r="H32" s="95"/>
      <c r="I32" s="95"/>
      <c r="J32" s="95"/>
      <c r="K32" s="95"/>
      <c r="L32" s="607"/>
      <c r="M32" s="1573"/>
    </row>
    <row r="33" spans="2:13" ht="15.75">
      <c r="B33" s="75" t="s">
        <v>489</v>
      </c>
      <c r="C33" s="90" t="s">
        <v>1790</v>
      </c>
      <c r="D33" s="174">
        <v>162</v>
      </c>
      <c r="E33" s="104"/>
      <c r="F33" s="75"/>
      <c r="G33" s="90" t="s">
        <v>2247</v>
      </c>
      <c r="H33" s="106">
        <v>135</v>
      </c>
      <c r="I33" s="93"/>
      <c r="J33" s="95"/>
      <c r="K33" s="95"/>
      <c r="L33" s="607"/>
      <c r="M33" s="1573"/>
    </row>
    <row r="34" spans="2:13" ht="15.75">
      <c r="B34" s="76" t="s">
        <v>490</v>
      </c>
      <c r="C34" s="89" t="s">
        <v>1790</v>
      </c>
      <c r="D34" s="174">
        <v>164</v>
      </c>
      <c r="E34" s="93"/>
      <c r="F34" s="76"/>
      <c r="G34" s="89" t="s">
        <v>2247</v>
      </c>
      <c r="H34" s="106">
        <v>137</v>
      </c>
      <c r="I34" s="93"/>
      <c r="J34" s="95"/>
      <c r="K34" s="95"/>
      <c r="L34" s="607"/>
      <c r="M34" s="1573"/>
    </row>
    <row r="35" spans="2:13" ht="15.75">
      <c r="B35" s="76" t="s">
        <v>491</v>
      </c>
      <c r="C35" s="89" t="s">
        <v>1790</v>
      </c>
      <c r="D35" s="174">
        <v>166</v>
      </c>
      <c r="E35" s="384">
        <f>MISC!L38</f>
        <v>0</v>
      </c>
      <c r="F35" s="76"/>
      <c r="G35" s="89" t="s">
        <v>2247</v>
      </c>
      <c r="H35" s="106">
        <v>139</v>
      </c>
      <c r="I35" s="384">
        <f>MISC!L33</f>
        <v>0</v>
      </c>
      <c r="J35" s="95"/>
      <c r="K35" s="95"/>
      <c r="L35" s="607"/>
      <c r="M35" s="1573"/>
    </row>
    <row r="36" spans="2:13" ht="15.75">
      <c r="B36" s="76" t="s">
        <v>492</v>
      </c>
      <c r="C36" s="89" t="s">
        <v>1790</v>
      </c>
      <c r="D36" s="174">
        <v>168</v>
      </c>
      <c r="E36" s="93"/>
      <c r="F36" s="76"/>
      <c r="G36" s="89" t="s">
        <v>2247</v>
      </c>
      <c r="H36" s="106">
        <v>141</v>
      </c>
      <c r="I36" s="93"/>
      <c r="J36" s="95"/>
      <c r="K36" s="95"/>
      <c r="L36" s="607"/>
      <c r="M36" s="1573"/>
    </row>
    <row r="37" spans="2:13" ht="15.75">
      <c r="B37" s="76" t="s">
        <v>493</v>
      </c>
      <c r="C37" s="89" t="s">
        <v>1790</v>
      </c>
      <c r="D37" s="174">
        <v>170</v>
      </c>
      <c r="E37" s="93"/>
      <c r="F37" s="76"/>
      <c r="G37" s="89" t="s">
        <v>2247</v>
      </c>
      <c r="H37" s="106">
        <v>143</v>
      </c>
      <c r="I37" s="93"/>
      <c r="J37" s="95"/>
      <c r="K37" s="95"/>
      <c r="L37" s="607"/>
      <c r="M37" s="1573"/>
    </row>
    <row r="38" spans="2:13" ht="11.25" customHeight="1">
      <c r="B38" s="82"/>
      <c r="C38" s="102"/>
      <c r="D38" s="174"/>
      <c r="E38" s="82"/>
      <c r="F38" s="82"/>
      <c r="G38" s="102"/>
      <c r="H38" s="106"/>
      <c r="I38" s="78"/>
      <c r="J38" s="95"/>
      <c r="K38" s="95"/>
      <c r="L38" s="607"/>
      <c r="M38" s="1573"/>
    </row>
    <row r="39" spans="2:13" ht="23.25" customHeight="1">
      <c r="B39" s="75" t="s">
        <v>1332</v>
      </c>
      <c r="C39" s="75"/>
      <c r="D39" s="75"/>
      <c r="E39" s="121"/>
      <c r="F39" s="174">
        <v>144</v>
      </c>
      <c r="G39" s="369">
        <f>MISC!L34</f>
        <v>0</v>
      </c>
      <c r="H39" s="78"/>
      <c r="I39" s="78"/>
      <c r="J39" s="95"/>
      <c r="K39" s="95"/>
      <c r="L39" s="607"/>
      <c r="M39" s="1573"/>
    </row>
    <row r="40" spans="2:13" ht="15.75">
      <c r="B40" s="76" t="s">
        <v>2523</v>
      </c>
      <c r="C40" s="76"/>
      <c r="D40" s="76"/>
      <c r="E40" s="76"/>
      <c r="F40" s="174">
        <v>145</v>
      </c>
      <c r="G40" s="384">
        <f>MISC!L35</f>
        <v>0</v>
      </c>
      <c r="H40" s="78"/>
      <c r="I40" s="78"/>
      <c r="J40" s="95"/>
      <c r="K40" s="95"/>
      <c r="L40" s="607"/>
      <c r="M40" s="1573"/>
    </row>
    <row r="41" spans="2:13" ht="31.5" customHeight="1">
      <c r="B41" s="76" t="s">
        <v>1333</v>
      </c>
      <c r="C41" s="76"/>
      <c r="D41" s="76"/>
      <c r="E41" s="76"/>
      <c r="F41" s="174">
        <v>146</v>
      </c>
      <c r="G41" s="384">
        <f>MISC!L36</f>
        <v>0</v>
      </c>
      <c r="H41" s="78"/>
      <c r="I41" s="78"/>
      <c r="J41" s="95"/>
      <c r="K41" s="95"/>
      <c r="L41" s="607"/>
      <c r="M41" s="1573"/>
    </row>
    <row r="42" spans="2:13" ht="31.5" customHeight="1">
      <c r="B42" s="1567" t="s">
        <v>11</v>
      </c>
      <c r="C42" s="1566"/>
      <c r="D42" s="1566"/>
      <c r="E42" s="1566"/>
      <c r="F42" s="96"/>
      <c r="G42" s="384">
        <f>G39+G40+G41</f>
        <v>0</v>
      </c>
      <c r="H42" s="106">
        <v>147</v>
      </c>
      <c r="I42" s="369">
        <f>G42</f>
        <v>0</v>
      </c>
      <c r="J42" s="95"/>
      <c r="K42" s="95"/>
      <c r="L42" s="607"/>
      <c r="M42" s="1573"/>
    </row>
    <row r="43" spans="2:13" ht="15.75">
      <c r="B43" s="78"/>
      <c r="C43" s="78"/>
      <c r="D43" s="78"/>
      <c r="E43" s="78"/>
      <c r="F43" s="95"/>
      <c r="G43" s="79" t="s">
        <v>12</v>
      </c>
      <c r="H43" s="95"/>
      <c r="I43" s="1568">
        <f>SUM(I13:I42)</f>
        <v>0</v>
      </c>
      <c r="J43" s="95"/>
      <c r="K43" s="95"/>
      <c r="L43" s="607"/>
      <c r="M43" s="1573"/>
    </row>
    <row r="44" spans="2:13" ht="21" customHeight="1">
      <c r="B44" s="79"/>
      <c r="C44" s="79"/>
      <c r="D44" s="78"/>
      <c r="E44" s="79"/>
      <c r="F44" s="95"/>
      <c r="G44" s="79" t="s">
        <v>2469</v>
      </c>
      <c r="H44" s="106">
        <v>150</v>
      </c>
      <c r="I44" s="1569"/>
      <c r="J44" s="95"/>
      <c r="K44" s="95"/>
      <c r="L44" s="607"/>
      <c r="M44" s="1573"/>
    </row>
    <row r="45" spans="2:13" ht="21.75" customHeight="1">
      <c r="B45" s="807"/>
      <c r="C45" s="808"/>
      <c r="D45" s="809"/>
      <c r="E45" s="808"/>
      <c r="F45" s="810"/>
      <c r="G45" s="808"/>
      <c r="H45" s="811"/>
      <c r="I45" s="810"/>
      <c r="J45" s="810"/>
      <c r="K45" s="837" t="s">
        <v>699</v>
      </c>
      <c r="L45" s="607"/>
      <c r="M45" s="1573"/>
    </row>
    <row r="46" spans="2:13" ht="15.75" hidden="1">
      <c r="B46" s="814"/>
      <c r="C46" s="986">
        <f>IF(J1&lt;&gt;"ON",IF(J1&lt;&gt;"BC",IF(J1&lt;&gt;"AB",IF(J1&lt;&gt;"NS",IF(J1&lt;&gt;"MB",IF(J1&lt;&gt;"PE",-1,7),6),5),4),3),2)</f>
        <v>3</v>
      </c>
      <c r="D46" s="987"/>
      <c r="E46" s="988" t="s">
        <v>2521</v>
      </c>
      <c r="F46" s="989" t="s">
        <v>1924</v>
      </c>
      <c r="G46" s="989" t="s">
        <v>1925</v>
      </c>
      <c r="H46" s="989" t="s">
        <v>1926</v>
      </c>
      <c r="I46" s="989" t="s">
        <v>671</v>
      </c>
      <c r="J46" s="989" t="s">
        <v>250</v>
      </c>
      <c r="K46" s="834"/>
      <c r="L46" s="607"/>
      <c r="M46" s="1573"/>
    </row>
    <row r="47" spans="2:13" ht="15.75" hidden="1">
      <c r="B47" s="814"/>
      <c r="C47" s="990" t="s">
        <v>2323</v>
      </c>
      <c r="D47" s="987" t="s">
        <v>1927</v>
      </c>
      <c r="E47" s="991" t="e">
        <f>#REF!</f>
        <v>#REF!</v>
      </c>
      <c r="F47" s="992">
        <f>'BC428'!J117</f>
        <v>0</v>
      </c>
      <c r="G47" s="990" t="e">
        <f>#REF!</f>
        <v>#REF!</v>
      </c>
      <c r="H47" s="992" t="e">
        <f>#REF!</f>
        <v>#REF!</v>
      </c>
      <c r="I47" s="990" t="e">
        <f>#REF!</f>
        <v>#REF!</v>
      </c>
      <c r="J47" s="992" t="e">
        <f>#REF!</f>
        <v>#REF!</v>
      </c>
      <c r="K47" s="834"/>
      <c r="L47" s="607"/>
      <c r="M47" s="1573"/>
    </row>
    <row r="48" spans="2:13" ht="15.75" hidden="1">
      <c r="B48" s="835"/>
      <c r="C48" s="990"/>
      <c r="D48" s="987" t="s">
        <v>1928</v>
      </c>
      <c r="E48" s="991" t="e">
        <f>#REF!</f>
        <v>#REF!</v>
      </c>
      <c r="F48" s="992">
        <f>'BC479'!I51</f>
        <v>75</v>
      </c>
      <c r="G48" s="990">
        <v>0</v>
      </c>
      <c r="H48" s="992" t="e">
        <f>#REF!</f>
        <v>#REF!</v>
      </c>
      <c r="I48" s="990" t="e">
        <f>#REF!</f>
        <v>#REF!</v>
      </c>
      <c r="J48" s="992" t="e">
        <f>#REF!</f>
        <v>#REF!</v>
      </c>
      <c r="K48" s="834"/>
      <c r="L48" s="607"/>
      <c r="M48" s="1573"/>
    </row>
    <row r="49" spans="2:13" ht="15.75" hidden="1">
      <c r="B49" s="814"/>
      <c r="C49" s="814"/>
      <c r="D49" s="991" t="s">
        <v>256</v>
      </c>
      <c r="E49" s="993" t="e">
        <f>#REF!+#REF!+#REF!+#REF!+#REF!+#REF!+#REF!+#REF!+#REF!+#REF!+#REF!+#REF!+#REF!</f>
        <v>#REF!</v>
      </c>
      <c r="F49" s="994">
        <f>'BC WRK'!I21+'BC WRK'!I29+'BC WRK'!I31+'BC WRK'!G34+'BC WRK'!I39+'BC WRK'!I41+'BC WRK'!G45+'BC WRK'!G51+'BC WRK'!I63+'BC WRK'!I65+'BC WRK'!I67+'BC WRK'!G71+'BC WRK'!I78+'BC WRK'!G84+'BC WRK'!I115</f>
        <v>14668</v>
      </c>
      <c r="G49" s="814" t="e">
        <f>#REF!+#REF!+#REF!+#REF!+#REF!</f>
        <v>#REF!</v>
      </c>
      <c r="H49" s="992" t="e">
        <f>#REF!+#REF!+#REF!+#REF!+#REF!+#REF!+#REF!+#REF!+#REF!</f>
        <v>#REF!</v>
      </c>
      <c r="I49" s="814" t="e">
        <f>#REF!+#REF!+#REF!+#REF!+#REF!+#REF!+#REF!+#REF!</f>
        <v>#REF!</v>
      </c>
      <c r="J49" s="993" t="e">
        <f>#REF!+#REF!+#REF!+#REF!+#REF!+#REF!+#REF!+#REF!</f>
        <v>#REF!</v>
      </c>
      <c r="K49" s="834"/>
      <c r="L49" s="607"/>
      <c r="M49" s="1573"/>
    </row>
    <row r="50" spans="2:13" ht="15.75" hidden="1">
      <c r="B50" s="814"/>
      <c r="C50" s="814"/>
      <c r="D50" s="991" t="s">
        <v>138</v>
      </c>
      <c r="E50" s="995" t="e">
        <f>#REF!+#REF!+#REF!</f>
        <v>#REF!</v>
      </c>
      <c r="F50" s="994">
        <f>'BC479'!I51</f>
        <v>75</v>
      </c>
      <c r="G50" s="814">
        <v>0</v>
      </c>
      <c r="H50" s="992" t="e">
        <f>#REF!</f>
        <v>#REF!</v>
      </c>
      <c r="I50" s="814" t="e">
        <f>#REF!+#REF!+#REF!</f>
        <v>#REF!</v>
      </c>
      <c r="J50" s="992" t="e">
        <f>#REF!</f>
        <v>#REF!</v>
      </c>
      <c r="K50" s="834"/>
      <c r="L50" s="607"/>
      <c r="M50" s="1573"/>
    </row>
    <row r="51" spans="2:13" ht="15.75" hidden="1">
      <c r="B51" s="836"/>
      <c r="C51" s="814"/>
      <c r="D51" s="991" t="s">
        <v>136</v>
      </c>
      <c r="E51" s="993" t="e">
        <f>#REF!</f>
        <v>#REF!</v>
      </c>
      <c r="F51" s="994">
        <f>'BC(S2)'!J31</f>
        <v>0</v>
      </c>
      <c r="G51" s="814" t="e">
        <f>#REF!</f>
        <v>#REF!</v>
      </c>
      <c r="H51" s="992" t="e">
        <f>#REF!</f>
        <v>#REF!</v>
      </c>
      <c r="I51" s="814" t="e">
        <f>#REF!</f>
        <v>#REF!</v>
      </c>
      <c r="J51" s="992" t="e">
        <f>#REF!</f>
        <v>#REF!</v>
      </c>
      <c r="K51" s="834"/>
      <c r="L51" s="607"/>
      <c r="M51" s="1573"/>
    </row>
    <row r="52" spans="2:13" ht="15.75" hidden="1">
      <c r="B52" s="815"/>
      <c r="C52" s="815"/>
      <c r="D52" s="991" t="s">
        <v>137</v>
      </c>
      <c r="E52" s="993" t="e">
        <f>#REF!</f>
        <v>#REF!</v>
      </c>
      <c r="F52" s="994">
        <f>'BC(S11)'!I35</f>
        <v>0</v>
      </c>
      <c r="G52" s="814" t="e">
        <f>#REF!</f>
        <v>#REF!</v>
      </c>
      <c r="H52" s="992" t="e">
        <f>#REF!</f>
        <v>#REF!</v>
      </c>
      <c r="I52" s="814" t="e">
        <f>#REF!</f>
        <v>#REF!</v>
      </c>
      <c r="J52" s="992" t="e">
        <f>#REF!</f>
        <v>#REF!</v>
      </c>
      <c r="L52" s="607"/>
      <c r="M52" s="1573"/>
    </row>
    <row r="53" spans="2:13" ht="20.25">
      <c r="B53" s="81" t="s">
        <v>1042</v>
      </c>
      <c r="C53" s="79"/>
      <c r="D53" s="78"/>
      <c r="E53" s="79"/>
      <c r="F53" s="95"/>
      <c r="G53" s="79"/>
      <c r="H53" s="106"/>
      <c r="I53" s="95"/>
      <c r="J53" s="95"/>
      <c r="K53" s="95"/>
      <c r="L53" s="607"/>
      <c r="M53" s="1573"/>
    </row>
    <row r="54" spans="2:13" ht="20.25">
      <c r="B54" s="81" t="s">
        <v>1043</v>
      </c>
      <c r="C54" s="79"/>
      <c r="D54" s="78"/>
      <c r="E54" s="79"/>
      <c r="F54" s="95"/>
      <c r="G54" s="79"/>
      <c r="H54" s="106"/>
      <c r="I54" s="95"/>
      <c r="J54" s="95"/>
      <c r="K54" s="95"/>
      <c r="L54" s="607"/>
      <c r="M54" s="1573"/>
    </row>
    <row r="55" spans="2:13" ht="20.25">
      <c r="B55" s="81" t="s">
        <v>1044</v>
      </c>
      <c r="C55" s="79"/>
      <c r="D55" s="78"/>
      <c r="E55" s="79"/>
      <c r="F55" s="95"/>
      <c r="G55" s="79"/>
      <c r="H55" s="106"/>
      <c r="I55" s="95"/>
      <c r="J55" s="95"/>
      <c r="K55" s="95"/>
      <c r="L55" s="607"/>
      <c r="M55" s="1573"/>
    </row>
    <row r="56" spans="2:13" ht="12.75" customHeight="1">
      <c r="B56" s="79"/>
      <c r="C56" s="79"/>
      <c r="D56" s="78"/>
      <c r="E56" s="79"/>
      <c r="F56" s="95"/>
      <c r="G56" s="79"/>
      <c r="H56" s="106"/>
      <c r="I56" s="95"/>
      <c r="J56" s="95"/>
      <c r="K56" s="95"/>
      <c r="L56" s="607"/>
      <c r="M56" s="1573"/>
    </row>
    <row r="57" spans="2:13" ht="20.25" customHeight="1">
      <c r="B57" s="1236" t="s">
        <v>173</v>
      </c>
      <c r="C57" s="86"/>
      <c r="D57" s="95"/>
      <c r="E57" s="95"/>
      <c r="F57" s="95"/>
      <c r="G57" s="95"/>
      <c r="H57" s="95"/>
      <c r="I57" s="95"/>
      <c r="J57" s="95"/>
      <c r="K57" s="95"/>
      <c r="L57" s="607"/>
      <c r="M57" s="1573"/>
    </row>
    <row r="58" spans="2:13" ht="15.75" customHeight="1">
      <c r="B58" s="74"/>
      <c r="C58" s="86"/>
      <c r="D58" s="95"/>
      <c r="E58" s="95"/>
      <c r="F58" s="95"/>
      <c r="G58" s="95"/>
      <c r="H58" s="95"/>
      <c r="I58" s="95"/>
      <c r="J58" s="95"/>
      <c r="K58" s="95"/>
      <c r="L58" s="607"/>
      <c r="M58" s="1573"/>
    </row>
    <row r="59" spans="2:13" ht="15.75" customHeight="1">
      <c r="B59" s="75" t="s">
        <v>285</v>
      </c>
      <c r="C59" s="75"/>
      <c r="D59" s="96"/>
      <c r="E59" s="96"/>
      <c r="F59" s="96"/>
      <c r="G59" s="96"/>
      <c r="H59" s="96"/>
      <c r="I59" s="96"/>
      <c r="J59" s="109" t="s">
        <v>2524</v>
      </c>
      <c r="K59" s="369">
        <f>I43</f>
        <v>0</v>
      </c>
      <c r="L59" s="607"/>
      <c r="M59" s="1573"/>
    </row>
    <row r="60" spans="2:13" ht="4.5" customHeight="1">
      <c r="B60" s="78"/>
      <c r="C60" s="78"/>
      <c r="D60" s="95"/>
      <c r="E60" s="95"/>
      <c r="F60" s="95"/>
      <c r="G60" s="95"/>
      <c r="H60" s="95"/>
      <c r="I60" s="95"/>
      <c r="J60" s="95"/>
      <c r="K60" s="95"/>
      <c r="L60" s="607"/>
      <c r="M60" s="1573"/>
    </row>
    <row r="61" spans="2:13" ht="15.75" customHeight="1">
      <c r="B61" s="78" t="s">
        <v>2525</v>
      </c>
      <c r="C61" s="78"/>
      <c r="D61" s="95"/>
      <c r="E61" s="95"/>
      <c r="F61" s="95"/>
      <c r="G61" s="95"/>
      <c r="H61" s="95"/>
      <c r="I61" s="95"/>
      <c r="J61" s="95"/>
      <c r="K61" s="95"/>
      <c r="L61" s="607"/>
      <c r="M61" s="1573"/>
    </row>
    <row r="62" spans="2:13" ht="15.75">
      <c r="B62" s="75" t="s">
        <v>958</v>
      </c>
      <c r="C62" s="75"/>
      <c r="D62" s="96"/>
      <c r="E62" s="96"/>
      <c r="F62" s="106">
        <v>206</v>
      </c>
      <c r="G62" s="369">
        <f>MISC!L40</f>
        <v>0</v>
      </c>
      <c r="H62" s="95"/>
      <c r="I62" s="95"/>
      <c r="J62" s="95"/>
      <c r="K62" s="95"/>
      <c r="L62" s="607"/>
      <c r="M62" s="1573"/>
    </row>
    <row r="63" spans="2:13" ht="19.5" customHeight="1">
      <c r="B63" s="80"/>
      <c r="C63" s="78"/>
      <c r="D63" s="95"/>
      <c r="E63" s="95"/>
      <c r="F63" s="106"/>
      <c r="G63" s="95"/>
      <c r="H63" s="95"/>
      <c r="I63" s="95"/>
      <c r="J63" s="95"/>
      <c r="K63" s="95"/>
      <c r="L63" s="607"/>
      <c r="M63" s="1573"/>
    </row>
    <row r="64" spans="2:13" ht="15.75">
      <c r="B64" s="75" t="s">
        <v>963</v>
      </c>
      <c r="C64" s="75"/>
      <c r="D64" s="96"/>
      <c r="E64" s="96"/>
      <c r="F64" s="96"/>
      <c r="G64" s="96"/>
      <c r="H64" s="106">
        <v>207</v>
      </c>
      <c r="I64" s="369">
        <f>MISC!L41</f>
        <v>0</v>
      </c>
      <c r="J64" s="95"/>
      <c r="K64" s="95"/>
      <c r="L64" s="607"/>
      <c r="M64" s="1573"/>
    </row>
    <row r="65" spans="2:13" ht="15.75">
      <c r="B65" s="76" t="s">
        <v>13</v>
      </c>
      <c r="C65" s="76"/>
      <c r="D65" s="94"/>
      <c r="E65" s="94"/>
      <c r="F65" s="94"/>
      <c r="G65" s="94"/>
      <c r="H65" s="106">
        <v>208</v>
      </c>
      <c r="I65" s="938">
        <f>IF((Sch7!E13=0),Sch7!I42,Sch7!E13)</f>
        <v>0</v>
      </c>
      <c r="J65" s="95"/>
      <c r="K65" s="95"/>
      <c r="L65" s="607"/>
      <c r="M65" s="1573"/>
    </row>
    <row r="66" spans="2:13" ht="15.75">
      <c r="B66" s="76" t="s">
        <v>2526</v>
      </c>
      <c r="C66" s="76"/>
      <c r="D66" s="94"/>
      <c r="E66" s="94"/>
      <c r="F66" s="94"/>
      <c r="G66" s="89" t="s">
        <v>2527</v>
      </c>
      <c r="H66" s="106">
        <v>209</v>
      </c>
      <c r="I66" s="93"/>
      <c r="J66" s="95"/>
      <c r="K66" s="95"/>
      <c r="L66" s="607"/>
      <c r="M66" s="1573"/>
    </row>
    <row r="67" spans="2:13" ht="27.75" customHeight="1">
      <c r="B67" s="820" t="s">
        <v>1943</v>
      </c>
      <c r="C67" s="820"/>
      <c r="D67" s="1257"/>
      <c r="E67" s="1257"/>
      <c r="F67" s="1257"/>
      <c r="G67" s="1257"/>
      <c r="H67" s="1258">
        <v>210</v>
      </c>
      <c r="I67" s="369">
        <f>'T1032E'!N57</f>
        <v>0</v>
      </c>
      <c r="J67" s="95"/>
      <c r="K67" s="95"/>
      <c r="L67" s="607"/>
      <c r="M67" s="1573"/>
    </row>
    <row r="68" spans="2:13" ht="24" customHeight="1">
      <c r="B68" s="75" t="s">
        <v>826</v>
      </c>
      <c r="C68" s="75"/>
      <c r="D68" s="96"/>
      <c r="E68" s="96"/>
      <c r="F68" s="96"/>
      <c r="G68" s="96"/>
      <c r="H68" s="106">
        <v>212</v>
      </c>
      <c r="I68" s="369">
        <f>MISC!L42</f>
        <v>0</v>
      </c>
      <c r="J68" s="95"/>
      <c r="K68" s="95"/>
      <c r="L68" s="607"/>
      <c r="M68" s="1573"/>
    </row>
    <row r="69" spans="2:13" ht="24" customHeight="1">
      <c r="B69" s="75" t="s">
        <v>1578</v>
      </c>
      <c r="C69" s="75"/>
      <c r="D69" s="96"/>
      <c r="E69" s="96"/>
      <c r="F69" s="96"/>
      <c r="G69" s="96"/>
      <c r="H69" s="106">
        <v>213</v>
      </c>
      <c r="I69" s="832"/>
      <c r="J69" s="95"/>
      <c r="K69" s="95"/>
      <c r="L69" s="607"/>
      <c r="M69" s="1573"/>
    </row>
    <row r="70" spans="2:13" ht="15.75">
      <c r="B70" s="76" t="s">
        <v>1045</v>
      </c>
      <c r="C70" s="76"/>
      <c r="D70" s="94"/>
      <c r="E70" s="94"/>
      <c r="F70" s="94"/>
      <c r="G70" s="94"/>
      <c r="H70" s="106">
        <v>214</v>
      </c>
      <c r="I70" s="369">
        <f>MAXA('T778'!N65,'T778'!N108,'T778'!N139)</f>
        <v>0</v>
      </c>
      <c r="J70" s="95"/>
      <c r="K70" s="95"/>
      <c r="L70" s="607"/>
      <c r="M70" s="1573"/>
    </row>
    <row r="71" spans="2:13" ht="15.75">
      <c r="B71" s="76" t="s">
        <v>1046</v>
      </c>
      <c r="C71" s="76"/>
      <c r="D71" s="94"/>
      <c r="E71" s="94"/>
      <c r="F71" s="94"/>
      <c r="G71" s="94"/>
      <c r="H71" s="106">
        <v>215</v>
      </c>
      <c r="I71" s="300"/>
      <c r="J71" s="95"/>
      <c r="K71" s="95"/>
      <c r="L71" s="607"/>
      <c r="M71" s="1573"/>
    </row>
    <row r="72" spans="2:13" ht="10.5" customHeight="1">
      <c r="B72" s="82"/>
      <c r="C72" s="82"/>
      <c r="D72" s="97"/>
      <c r="E72" s="97"/>
      <c r="F72" s="97"/>
      <c r="G72" s="97"/>
      <c r="H72" s="106"/>
      <c r="I72" s="97"/>
      <c r="J72" s="95"/>
      <c r="K72" s="95"/>
      <c r="L72" s="607"/>
      <c r="M72" s="1573"/>
    </row>
    <row r="73" spans="2:13" ht="15.75">
      <c r="B73" s="75" t="s">
        <v>211</v>
      </c>
      <c r="C73" s="90" t="s">
        <v>1790</v>
      </c>
      <c r="D73" s="174">
        <v>228</v>
      </c>
      <c r="E73" s="104"/>
      <c r="F73" s="96"/>
      <c r="G73" s="107" t="s">
        <v>827</v>
      </c>
      <c r="H73" s="106">
        <v>217</v>
      </c>
      <c r="I73" s="104"/>
      <c r="J73" s="95"/>
      <c r="K73" s="95"/>
      <c r="L73" s="607"/>
      <c r="M73" s="1573"/>
    </row>
    <row r="74" spans="2:13" ht="15.75">
      <c r="B74" s="76" t="s">
        <v>212</v>
      </c>
      <c r="C74" s="76"/>
      <c r="D74" s="96"/>
      <c r="E74" s="94"/>
      <c r="F74" s="94"/>
      <c r="G74" s="94"/>
      <c r="H74" s="106">
        <v>219</v>
      </c>
      <c r="I74" s="93"/>
      <c r="J74" s="95"/>
      <c r="K74" s="95"/>
      <c r="L74" s="607"/>
      <c r="M74" s="1573"/>
    </row>
    <row r="75" spans="2:13" ht="15.75">
      <c r="B75" s="82"/>
      <c r="C75" s="82"/>
      <c r="D75" s="97"/>
      <c r="E75" s="97"/>
      <c r="F75" s="97"/>
      <c r="G75" s="97"/>
      <c r="H75" s="106"/>
      <c r="I75" s="97"/>
      <c r="J75" s="95"/>
      <c r="K75" s="95"/>
      <c r="L75" s="607"/>
      <c r="M75" s="1573"/>
    </row>
    <row r="76" spans="2:13" ht="15.75">
      <c r="B76" s="75" t="s">
        <v>213</v>
      </c>
      <c r="C76" s="90" t="s">
        <v>2444</v>
      </c>
      <c r="D76" s="174">
        <v>230</v>
      </c>
      <c r="E76" s="104"/>
      <c r="F76" s="96"/>
      <c r="G76" s="107" t="s">
        <v>827</v>
      </c>
      <c r="H76" s="106">
        <v>220</v>
      </c>
      <c r="I76" s="104"/>
      <c r="J76" s="95"/>
      <c r="K76" s="95"/>
      <c r="L76" s="607"/>
      <c r="M76" s="1573"/>
    </row>
    <row r="77" spans="2:13" ht="15.75">
      <c r="B77" s="76" t="s">
        <v>1441</v>
      </c>
      <c r="C77" s="76"/>
      <c r="D77" s="96"/>
      <c r="E77" s="94"/>
      <c r="F77" s="94"/>
      <c r="G77" s="94"/>
      <c r="H77" s="106">
        <v>221</v>
      </c>
      <c r="I77" s="384">
        <f>MISC!L43</f>
        <v>0</v>
      </c>
      <c r="J77" s="95"/>
      <c r="K77" s="95"/>
      <c r="L77" s="607"/>
      <c r="M77" s="1573"/>
    </row>
    <row r="78" spans="2:13" ht="15.75">
      <c r="B78" s="83" t="s">
        <v>122</v>
      </c>
      <c r="C78" s="82"/>
      <c r="D78" s="97"/>
      <c r="E78" s="97"/>
      <c r="F78" s="97"/>
      <c r="G78" s="97"/>
      <c r="H78" s="106"/>
      <c r="I78" s="95"/>
      <c r="J78" s="95"/>
      <c r="K78" s="95"/>
      <c r="L78" s="607"/>
      <c r="M78" s="1573"/>
    </row>
    <row r="79" spans="2:13" ht="15.75">
      <c r="B79" s="841" t="s">
        <v>1442</v>
      </c>
      <c r="C79" s="75"/>
      <c r="D79" s="96"/>
      <c r="E79" s="96"/>
      <c r="F79" s="96"/>
      <c r="G79" s="96"/>
      <c r="H79" s="106">
        <v>222</v>
      </c>
      <c r="I79" s="447">
        <f>Sch8!I28</f>
        <v>0</v>
      </c>
      <c r="J79" s="1153" t="s">
        <v>1559</v>
      </c>
      <c r="K79" s="95"/>
      <c r="L79" s="607"/>
      <c r="M79" s="1573"/>
    </row>
    <row r="80" spans="2:13" ht="15.75">
      <c r="B80" s="76" t="s">
        <v>1443</v>
      </c>
      <c r="C80" s="76"/>
      <c r="D80" s="94"/>
      <c r="E80" s="94"/>
      <c r="F80" s="94"/>
      <c r="G80" s="94"/>
      <c r="H80" s="106">
        <v>224</v>
      </c>
      <c r="I80" s="384">
        <f>MISC!L44</f>
        <v>0</v>
      </c>
      <c r="J80" s="95"/>
      <c r="K80" s="95"/>
      <c r="L80" s="607"/>
      <c r="M80" s="1573"/>
    </row>
    <row r="81" spans="2:13" ht="15.75">
      <c r="B81" s="76" t="s">
        <v>123</v>
      </c>
      <c r="C81" s="76"/>
      <c r="D81" s="94"/>
      <c r="E81" s="94"/>
      <c r="F81" s="94"/>
      <c r="G81" s="94"/>
      <c r="H81" s="106">
        <v>229</v>
      </c>
      <c r="I81" s="384">
        <f>MISC!L45</f>
        <v>0</v>
      </c>
      <c r="J81" s="95"/>
      <c r="K81" s="95"/>
      <c r="L81" s="607"/>
      <c r="M81" s="1573"/>
    </row>
    <row r="82" spans="2:13" ht="15.75">
      <c r="B82" s="76" t="s">
        <v>286</v>
      </c>
      <c r="C82" s="76"/>
      <c r="D82" s="94"/>
      <c r="E82" s="94"/>
      <c r="F82" s="94"/>
      <c r="G82" s="94"/>
      <c r="H82" s="106">
        <v>231</v>
      </c>
      <c r="I82" s="93"/>
      <c r="J82" s="95"/>
      <c r="K82" s="95"/>
      <c r="L82" s="607"/>
      <c r="M82" s="1573"/>
    </row>
    <row r="83" spans="2:13" ht="15.75">
      <c r="B83" s="76" t="s">
        <v>1870</v>
      </c>
      <c r="C83" s="1583"/>
      <c r="D83" s="1584"/>
      <c r="E83" s="1584"/>
      <c r="F83" s="1584"/>
      <c r="G83" s="1584"/>
      <c r="H83" s="106">
        <v>232</v>
      </c>
      <c r="I83" s="384">
        <f>MISC!L46</f>
        <v>0</v>
      </c>
      <c r="J83" s="95"/>
      <c r="K83" s="95"/>
      <c r="L83" s="607"/>
      <c r="M83" s="1573"/>
    </row>
    <row r="84" spans="2:13" ht="18">
      <c r="B84" s="76"/>
      <c r="C84" s="76"/>
      <c r="D84" s="94"/>
      <c r="E84" s="94"/>
      <c r="F84" s="94"/>
      <c r="G84" s="89" t="s">
        <v>287</v>
      </c>
      <c r="H84" s="106">
        <v>233</v>
      </c>
      <c r="I84" s="384">
        <f>SUM(I64:I83)</f>
        <v>0</v>
      </c>
      <c r="J84" s="1150" t="s">
        <v>410</v>
      </c>
      <c r="K84" s="369">
        <f>I84</f>
        <v>0</v>
      </c>
      <c r="L84" s="607"/>
      <c r="M84" s="1573"/>
    </row>
    <row r="85" spans="2:13" ht="15.75">
      <c r="B85" s="84"/>
      <c r="C85" s="89"/>
      <c r="D85" s="89" t="s">
        <v>529</v>
      </c>
      <c r="E85" s="94"/>
      <c r="F85" s="94"/>
      <c r="G85" s="94"/>
      <c r="H85" s="95"/>
      <c r="I85" s="79" t="s">
        <v>1425</v>
      </c>
      <c r="J85" s="106">
        <v>234</v>
      </c>
      <c r="K85" s="384">
        <f>IF(I43&gt;K84,(+I43-K84),0)</f>
        <v>0</v>
      </c>
      <c r="L85" s="607"/>
      <c r="M85" s="1573"/>
    </row>
    <row r="86" spans="2:13" ht="15.75">
      <c r="B86" s="82" t="s">
        <v>1280</v>
      </c>
      <c r="C86" s="82"/>
      <c r="D86" s="97"/>
      <c r="E86" s="97"/>
      <c r="F86" s="97"/>
      <c r="G86" s="97"/>
      <c r="H86" s="95"/>
      <c r="I86" s="95"/>
      <c r="J86" s="95"/>
      <c r="K86" s="95"/>
      <c r="L86" s="607"/>
      <c r="M86" s="1573"/>
    </row>
    <row r="87" spans="2:13" ht="15.75">
      <c r="B87" s="75" t="s">
        <v>1944</v>
      </c>
      <c r="C87" s="75"/>
      <c r="D87" s="96"/>
      <c r="E87" s="96"/>
      <c r="F87" s="96"/>
      <c r="G87" s="96"/>
      <c r="H87" s="96"/>
      <c r="I87" s="96"/>
      <c r="J87" s="106">
        <v>235</v>
      </c>
      <c r="K87" s="369">
        <f>+'FED WRK'!I39</f>
        <v>0</v>
      </c>
      <c r="L87" s="1153" t="s">
        <v>1559</v>
      </c>
      <c r="M87" s="1573"/>
    </row>
    <row r="88" spans="2:13" ht="15.75">
      <c r="B88" s="85" t="s">
        <v>684</v>
      </c>
      <c r="C88" s="78"/>
      <c r="D88" s="95"/>
      <c r="E88" s="95"/>
      <c r="F88" s="95"/>
      <c r="G88" s="95"/>
      <c r="H88" s="95"/>
      <c r="I88" s="79"/>
      <c r="J88" s="95"/>
      <c r="K88" s="95"/>
      <c r="L88" s="607"/>
      <c r="M88" s="1573"/>
    </row>
    <row r="89" spans="2:13" ht="15.75">
      <c r="B89" s="78"/>
      <c r="C89" s="78"/>
      <c r="D89" s="95"/>
      <c r="E89" s="79"/>
      <c r="F89" s="95"/>
      <c r="G89" s="95"/>
      <c r="H89" s="95"/>
      <c r="I89" s="79" t="s">
        <v>2470</v>
      </c>
      <c r="J89" s="106">
        <v>236</v>
      </c>
      <c r="K89" s="654">
        <f>IF(K85&gt;K87,(+K85-K87),0)</f>
        <v>0</v>
      </c>
      <c r="L89" s="607"/>
      <c r="M89" s="1573"/>
    </row>
    <row r="90" spans="2:13" ht="20.25">
      <c r="B90" s="1236" t="s">
        <v>1372</v>
      </c>
      <c r="C90" s="78"/>
      <c r="D90" s="95"/>
      <c r="E90" s="95"/>
      <c r="F90" s="95"/>
      <c r="G90" s="95"/>
      <c r="H90" s="95"/>
      <c r="I90" s="95"/>
      <c r="J90" s="86"/>
      <c r="K90" s="86"/>
      <c r="L90" s="607"/>
      <c r="M90" s="1573"/>
    </row>
    <row r="91" spans="2:13" ht="9" customHeight="1">
      <c r="B91" s="74"/>
      <c r="C91" s="86"/>
      <c r="D91" s="95"/>
      <c r="E91" s="95"/>
      <c r="F91" s="95"/>
      <c r="G91" s="95"/>
      <c r="H91" s="95"/>
      <c r="I91" s="95"/>
      <c r="J91" s="86"/>
      <c r="K91" s="86"/>
      <c r="L91" s="607"/>
      <c r="M91" s="1573"/>
    </row>
    <row r="92" spans="2:13" ht="18" customHeight="1">
      <c r="B92" s="75" t="s">
        <v>1445</v>
      </c>
      <c r="C92" s="100"/>
      <c r="D92" s="96"/>
      <c r="E92" s="96"/>
      <c r="F92" s="96"/>
      <c r="G92" s="96"/>
      <c r="H92" s="106">
        <v>244</v>
      </c>
      <c r="I92" s="842">
        <f>MISC!L47</f>
        <v>0</v>
      </c>
      <c r="J92" s="86"/>
      <c r="K92" s="86"/>
      <c r="L92" s="607"/>
      <c r="M92" s="1573"/>
    </row>
    <row r="93" spans="2:13" ht="18" customHeight="1">
      <c r="B93" s="75" t="s">
        <v>38</v>
      </c>
      <c r="C93" s="75"/>
      <c r="D93" s="96"/>
      <c r="E93" s="96"/>
      <c r="F93" s="96"/>
      <c r="G93" s="96"/>
      <c r="H93" s="106">
        <v>248</v>
      </c>
      <c r="I93" s="369">
        <f>MISC!L48</f>
        <v>0</v>
      </c>
      <c r="J93" s="86"/>
      <c r="K93" s="86"/>
      <c r="L93" s="607"/>
      <c r="M93" s="1573"/>
    </row>
    <row r="94" spans="2:13" ht="18">
      <c r="B94" s="76" t="s">
        <v>828</v>
      </c>
      <c r="C94" s="76"/>
      <c r="D94" s="94"/>
      <c r="E94" s="94"/>
      <c r="F94" s="94"/>
      <c r="G94" s="94"/>
      <c r="H94" s="106">
        <v>249</v>
      </c>
      <c r="I94" s="384">
        <f>MISC!L49</f>
        <v>0</v>
      </c>
      <c r="J94" s="86"/>
      <c r="K94" s="86"/>
      <c r="L94" s="607"/>
      <c r="M94" s="1573"/>
    </row>
    <row r="95" spans="2:13" ht="30" customHeight="1">
      <c r="B95" s="1582" t="s">
        <v>1945</v>
      </c>
      <c r="C95" s="1566"/>
      <c r="D95" s="1566"/>
      <c r="E95" s="1566"/>
      <c r="F95" s="1566"/>
      <c r="G95" s="94"/>
      <c r="H95" s="106">
        <v>250</v>
      </c>
      <c r="I95" s="384">
        <f>MISC!L50</f>
        <v>0</v>
      </c>
      <c r="J95" s="86"/>
      <c r="K95" s="86"/>
      <c r="L95" s="607"/>
      <c r="M95" s="1573"/>
    </row>
    <row r="96" spans="2:13" ht="18">
      <c r="B96" s="76" t="s">
        <v>1693</v>
      </c>
      <c r="C96" s="76"/>
      <c r="D96" s="94"/>
      <c r="E96" s="94"/>
      <c r="F96" s="94"/>
      <c r="G96" s="94"/>
      <c r="H96" s="106">
        <v>251</v>
      </c>
      <c r="I96" s="93"/>
      <c r="J96" s="86"/>
      <c r="K96" s="86"/>
      <c r="L96" s="607"/>
      <c r="M96" s="1573"/>
    </row>
    <row r="97" spans="2:13" ht="18">
      <c r="B97" s="76" t="s">
        <v>1694</v>
      </c>
      <c r="C97" s="76"/>
      <c r="D97" s="94"/>
      <c r="E97" s="94"/>
      <c r="F97" s="94"/>
      <c r="G97" s="94"/>
      <c r="H97" s="106">
        <v>252</v>
      </c>
      <c r="I97" s="93"/>
      <c r="J97" s="86"/>
      <c r="K97" s="86"/>
      <c r="L97" s="607"/>
      <c r="M97" s="1573"/>
    </row>
    <row r="98" spans="2:13" ht="18">
      <c r="B98" s="76" t="s">
        <v>1732</v>
      </c>
      <c r="C98" s="76"/>
      <c r="D98" s="94"/>
      <c r="E98" s="94"/>
      <c r="F98" s="94"/>
      <c r="G98" s="94"/>
      <c r="H98" s="106">
        <v>253</v>
      </c>
      <c r="I98" s="93"/>
      <c r="J98" s="86"/>
      <c r="K98" s="86"/>
      <c r="L98" s="607"/>
      <c r="M98" s="1573"/>
    </row>
    <row r="99" spans="2:13" ht="18">
      <c r="B99" s="76" t="s">
        <v>1733</v>
      </c>
      <c r="C99" s="76"/>
      <c r="D99" s="94"/>
      <c r="E99" s="94"/>
      <c r="F99" s="94"/>
      <c r="G99" s="94"/>
      <c r="H99" s="106">
        <v>254</v>
      </c>
      <c r="I99" s="93"/>
      <c r="J99" s="86"/>
      <c r="K99" s="86"/>
      <c r="L99" s="607"/>
      <c r="M99" s="1573"/>
    </row>
    <row r="100" spans="2:13" ht="18">
      <c r="B100" s="76" t="s">
        <v>1444</v>
      </c>
      <c r="C100" s="76"/>
      <c r="D100" s="94"/>
      <c r="E100" s="94"/>
      <c r="F100" s="94"/>
      <c r="G100" s="94"/>
      <c r="H100" s="106">
        <v>255</v>
      </c>
      <c r="I100" s="93"/>
      <c r="J100" s="86"/>
      <c r="K100" s="86"/>
      <c r="L100" s="607"/>
      <c r="M100" s="1573"/>
    </row>
    <row r="101" spans="2:13" ht="18">
      <c r="B101" s="76" t="s">
        <v>1869</v>
      </c>
      <c r="C101" s="1583"/>
      <c r="D101" s="1584"/>
      <c r="E101" s="1584"/>
      <c r="F101" s="1584"/>
      <c r="G101" s="1584"/>
      <c r="H101" s="106">
        <v>256</v>
      </c>
      <c r="I101" s="384">
        <f>MISC!L51</f>
        <v>0</v>
      </c>
      <c r="J101" s="86"/>
      <c r="K101" s="86"/>
      <c r="L101" s="607"/>
      <c r="M101" s="1573"/>
    </row>
    <row r="102" spans="2:13" ht="18">
      <c r="B102" s="76"/>
      <c r="C102" s="76"/>
      <c r="D102" s="94"/>
      <c r="E102" s="94"/>
      <c r="F102" s="89"/>
      <c r="G102" s="89" t="s">
        <v>1447</v>
      </c>
      <c r="H102" s="106">
        <v>257</v>
      </c>
      <c r="I102" s="384">
        <f>SUM(I92:I101)</f>
        <v>0</v>
      </c>
      <c r="J102" s="1150" t="s">
        <v>410</v>
      </c>
      <c r="K102" s="369">
        <f>I102</f>
        <v>0</v>
      </c>
      <c r="L102" s="607"/>
      <c r="M102" s="1573"/>
    </row>
    <row r="103" spans="2:13" ht="15.75">
      <c r="B103" s="78"/>
      <c r="C103" s="78"/>
      <c r="D103" s="95"/>
      <c r="E103" s="88"/>
      <c r="F103" s="95"/>
      <c r="G103" s="88"/>
      <c r="H103" s="78"/>
      <c r="I103" s="79" t="s">
        <v>818</v>
      </c>
      <c r="J103" s="88"/>
      <c r="K103" s="1568">
        <f>MAXA(0,(K89-K102))</f>
        <v>0</v>
      </c>
      <c r="L103" s="607"/>
      <c r="M103" s="1573"/>
    </row>
    <row r="104" spans="2:13" ht="15.75">
      <c r="B104" s="78"/>
      <c r="C104" s="78"/>
      <c r="D104" s="95"/>
      <c r="E104" s="95"/>
      <c r="F104" s="95"/>
      <c r="G104" s="95"/>
      <c r="H104" s="95"/>
      <c r="I104" s="79" t="s">
        <v>1131</v>
      </c>
      <c r="J104" s="106">
        <v>260</v>
      </c>
      <c r="K104" s="1569"/>
      <c r="L104" s="607"/>
      <c r="M104" s="1573"/>
    </row>
    <row r="105" spans="2:13" ht="13.5" customHeight="1">
      <c r="B105" s="78"/>
      <c r="C105" s="78"/>
      <c r="D105" s="95"/>
      <c r="E105" s="95"/>
      <c r="F105" s="95"/>
      <c r="G105" s="95"/>
      <c r="H105" s="95"/>
      <c r="I105" s="79"/>
      <c r="J105" s="106"/>
      <c r="K105" s="86"/>
      <c r="L105" s="607"/>
      <c r="M105" s="1573"/>
    </row>
    <row r="106" spans="2:13" ht="18">
      <c r="B106" s="86" t="s">
        <v>40</v>
      </c>
      <c r="C106" s="78"/>
      <c r="D106" s="95"/>
      <c r="E106" s="95"/>
      <c r="F106" s="95"/>
      <c r="G106" s="95"/>
      <c r="H106" s="95"/>
      <c r="I106" s="79"/>
      <c r="J106" s="106"/>
      <c r="K106" s="86"/>
      <c r="L106" s="607"/>
      <c r="M106" s="1573"/>
    </row>
    <row r="107" spans="2:13" ht="18">
      <c r="B107" s="86" t="s">
        <v>39</v>
      </c>
      <c r="C107" s="78"/>
      <c r="D107" s="95"/>
      <c r="E107" s="95"/>
      <c r="F107" s="95"/>
      <c r="G107" s="95"/>
      <c r="H107" s="95"/>
      <c r="I107" s="79"/>
      <c r="J107" s="106"/>
      <c r="K107" s="86"/>
      <c r="L107" s="607"/>
      <c r="M107" s="1573"/>
    </row>
    <row r="108" spans="1:13" ht="15">
      <c r="A108" s="609"/>
      <c r="B108" s="78"/>
      <c r="C108" s="78"/>
      <c r="D108" s="78"/>
      <c r="E108" s="78"/>
      <c r="F108" s="78"/>
      <c r="G108" s="78"/>
      <c r="H108" s="78"/>
      <c r="I108" s="78"/>
      <c r="J108" s="78"/>
      <c r="K108" s="78"/>
      <c r="L108" s="78"/>
      <c r="M108" s="1573"/>
    </row>
    <row r="109" spans="2:13" ht="20.25">
      <c r="B109" s="1236" t="s">
        <v>1543</v>
      </c>
      <c r="C109" s="78"/>
      <c r="D109" s="86"/>
      <c r="E109" s="86"/>
      <c r="F109" s="86"/>
      <c r="G109" s="86"/>
      <c r="H109" s="86"/>
      <c r="I109" s="86"/>
      <c r="J109" s="86"/>
      <c r="K109" s="111">
        <v>4</v>
      </c>
      <c r="L109" s="111"/>
      <c r="M109" s="1573"/>
    </row>
    <row r="110" spans="2:13" ht="15.75" customHeight="1">
      <c r="B110" s="75" t="s">
        <v>1946</v>
      </c>
      <c r="C110" s="75"/>
      <c r="D110" s="100"/>
      <c r="E110" s="100"/>
      <c r="F110" s="100"/>
      <c r="G110" s="100"/>
      <c r="H110" s="100"/>
      <c r="I110" s="100"/>
      <c r="J110" s="106">
        <v>420</v>
      </c>
      <c r="K110" s="369">
        <f>Sch1!K86</f>
        <v>0</v>
      </c>
      <c r="L110" s="607"/>
      <c r="M110" s="1573"/>
    </row>
    <row r="111" spans="2:13" ht="15.75">
      <c r="B111" s="76" t="s">
        <v>2012</v>
      </c>
      <c r="C111" s="76"/>
      <c r="D111" s="89"/>
      <c r="E111" s="89"/>
      <c r="F111" s="89"/>
      <c r="G111" s="89"/>
      <c r="H111" s="89"/>
      <c r="I111" s="89"/>
      <c r="J111" s="106">
        <v>421</v>
      </c>
      <c r="K111" s="384">
        <f>Sch8!I26</f>
        <v>0</v>
      </c>
      <c r="L111" s="607"/>
      <c r="M111" s="1573"/>
    </row>
    <row r="112" spans="2:13" ht="15.75">
      <c r="B112" s="76" t="s">
        <v>1545</v>
      </c>
      <c r="C112" s="87"/>
      <c r="D112" s="89"/>
      <c r="E112" s="84"/>
      <c r="F112" s="89"/>
      <c r="G112" s="89"/>
      <c r="H112" s="90"/>
      <c r="I112" s="90"/>
      <c r="J112" s="106">
        <v>422</v>
      </c>
      <c r="K112" s="384">
        <f>K87</f>
        <v>0</v>
      </c>
      <c r="L112" s="607"/>
      <c r="M112" s="1573"/>
    </row>
    <row r="113" spans="2:13" ht="9" customHeight="1">
      <c r="B113" s="82"/>
      <c r="C113" s="91"/>
      <c r="D113" s="101"/>
      <c r="E113" s="105"/>
      <c r="F113" s="101"/>
      <c r="G113" s="101"/>
      <c r="H113" s="101"/>
      <c r="I113" s="101"/>
      <c r="J113" s="106"/>
      <c r="K113" s="86"/>
      <c r="L113" s="607"/>
      <c r="M113" s="1573"/>
    </row>
    <row r="114" spans="2:13" ht="18">
      <c r="B114" s="910" t="s">
        <v>495</v>
      </c>
      <c r="C114" s="214"/>
      <c r="D114" s="221"/>
      <c r="E114" s="221"/>
      <c r="F114" s="221"/>
      <c r="G114" s="221"/>
      <c r="H114" s="221"/>
      <c r="I114" s="911"/>
      <c r="J114" s="106" t="s">
        <v>1010</v>
      </c>
      <c r="K114" s="643">
        <f>VLOOKUP("L428",D47:J48,C46,FALSE)</f>
        <v>0</v>
      </c>
      <c r="L114" s="607"/>
      <c r="M114" s="1573"/>
    </row>
    <row r="115" spans="2:13" ht="15.75">
      <c r="B115" s="78"/>
      <c r="C115" s="78"/>
      <c r="D115" s="79"/>
      <c r="E115" s="79"/>
      <c r="F115" s="79"/>
      <c r="G115" s="79"/>
      <c r="H115" s="79"/>
      <c r="I115" s="79" t="s">
        <v>1866</v>
      </c>
      <c r="J115" s="106"/>
      <c r="K115" s="79"/>
      <c r="L115" s="607"/>
      <c r="M115" s="1573"/>
    </row>
    <row r="116" spans="2:13" ht="15.75">
      <c r="B116" s="78"/>
      <c r="C116" s="78"/>
      <c r="D116" s="79"/>
      <c r="E116" s="79"/>
      <c r="F116" s="79"/>
      <c r="G116" s="79"/>
      <c r="H116" s="79"/>
      <c r="I116" s="79" t="s">
        <v>1132</v>
      </c>
      <c r="J116" s="106">
        <v>435</v>
      </c>
      <c r="K116" s="369">
        <f>SUM(K110:K114)</f>
        <v>0</v>
      </c>
      <c r="L116" s="1153" t="s">
        <v>1559</v>
      </c>
      <c r="M116" s="1573"/>
    </row>
    <row r="117" spans="2:13" ht="7.5" customHeight="1">
      <c r="B117" s="78"/>
      <c r="C117" s="78"/>
      <c r="D117" s="79"/>
      <c r="E117" s="79"/>
      <c r="F117" s="79"/>
      <c r="G117" s="79"/>
      <c r="H117" s="79"/>
      <c r="I117" s="79"/>
      <c r="J117" s="106"/>
      <c r="K117" s="79"/>
      <c r="L117" s="607"/>
      <c r="M117" s="1573"/>
    </row>
    <row r="118" spans="2:13" ht="15.75">
      <c r="B118" s="75" t="s">
        <v>1047</v>
      </c>
      <c r="C118" s="75"/>
      <c r="D118" s="90"/>
      <c r="E118" s="90"/>
      <c r="F118" s="90"/>
      <c r="G118" s="90"/>
      <c r="H118" s="106">
        <v>437</v>
      </c>
      <c r="I118" s="369">
        <f>MISC!L61</f>
        <v>0</v>
      </c>
      <c r="J118" s="1153" t="s">
        <v>1559</v>
      </c>
      <c r="K118" s="79"/>
      <c r="L118" s="607"/>
      <c r="M118" s="1573"/>
    </row>
    <row r="119" spans="2:13" ht="15.75">
      <c r="B119" s="76" t="s">
        <v>233</v>
      </c>
      <c r="C119" s="76"/>
      <c r="D119" s="89"/>
      <c r="E119" s="89"/>
      <c r="F119" s="89"/>
      <c r="G119" s="89"/>
      <c r="H119" s="106">
        <v>440</v>
      </c>
      <c r="I119" s="93"/>
      <c r="J119" s="1153" t="s">
        <v>1559</v>
      </c>
      <c r="K119" s="79"/>
      <c r="L119" s="607"/>
      <c r="M119" s="1573"/>
    </row>
    <row r="120" spans="2:13" ht="15.75">
      <c r="B120" s="76" t="s">
        <v>1507</v>
      </c>
      <c r="C120" s="76"/>
      <c r="D120" s="89"/>
      <c r="E120" s="89"/>
      <c r="F120" s="89"/>
      <c r="G120" s="89"/>
      <c r="H120" s="106">
        <v>448</v>
      </c>
      <c r="I120" s="369">
        <f>MAX(0,'T2204'!I23)</f>
        <v>0</v>
      </c>
      <c r="J120" s="1153" t="s">
        <v>1559</v>
      </c>
      <c r="K120" s="79"/>
      <c r="L120" s="607"/>
      <c r="M120" s="1573"/>
    </row>
    <row r="121" spans="2:13" ht="15.75">
      <c r="B121" s="76" t="s">
        <v>2334</v>
      </c>
      <c r="C121" s="76"/>
      <c r="D121" s="89"/>
      <c r="E121" s="89"/>
      <c r="F121" s="89"/>
      <c r="G121" s="89"/>
      <c r="H121" s="106">
        <v>450</v>
      </c>
      <c r="I121" s="384">
        <f>MISC!L64</f>
        <v>0</v>
      </c>
      <c r="J121" s="1153" t="s">
        <v>1559</v>
      </c>
      <c r="K121" s="79"/>
      <c r="L121" s="607"/>
      <c r="M121" s="1573"/>
    </row>
    <row r="122" spans="2:13" ht="15.75">
      <c r="B122" s="76" t="s">
        <v>1947</v>
      </c>
      <c r="C122" s="76"/>
      <c r="D122" s="89"/>
      <c r="E122" s="89"/>
      <c r="F122" s="89"/>
      <c r="G122" s="89"/>
      <c r="H122" s="106">
        <v>452</v>
      </c>
      <c r="I122" s="384">
        <f>IF(AND(age&gt;17,QUAL!G28,'FED WRK'!I160&gt;=2984),'FED WRK'!I153,0)</f>
        <v>0</v>
      </c>
      <c r="J122" s="1153" t="s">
        <v>1559</v>
      </c>
      <c r="K122" s="79"/>
      <c r="L122" s="607"/>
      <c r="M122" s="1573"/>
    </row>
    <row r="123" spans="2:13" ht="15.75">
      <c r="B123" s="76" t="s">
        <v>1871</v>
      </c>
      <c r="C123" s="76"/>
      <c r="D123" s="89"/>
      <c r="E123" s="89"/>
      <c r="F123" s="89"/>
      <c r="G123" s="89"/>
      <c r="H123" s="106">
        <v>453</v>
      </c>
      <c r="I123" s="648">
        <f>Sch6!M115</f>
        <v>0</v>
      </c>
      <c r="J123" s="1153"/>
      <c r="K123" s="79"/>
      <c r="L123" s="607"/>
      <c r="M123" s="1573"/>
    </row>
    <row r="124" spans="2:13" ht="15.75">
      <c r="B124" s="76" t="s">
        <v>496</v>
      </c>
      <c r="C124" s="76"/>
      <c r="D124" s="89"/>
      <c r="E124" s="89"/>
      <c r="F124" s="89"/>
      <c r="G124" s="89"/>
      <c r="H124" s="106">
        <v>454</v>
      </c>
      <c r="I124" s="93"/>
      <c r="J124" s="1153" t="s">
        <v>1559</v>
      </c>
      <c r="K124" s="79"/>
      <c r="L124" s="607"/>
      <c r="M124" s="1573"/>
    </row>
    <row r="125" spans="2:13" ht="15.75">
      <c r="B125" s="76" t="s">
        <v>2589</v>
      </c>
      <c r="C125" s="76"/>
      <c r="D125" s="89"/>
      <c r="E125" s="89"/>
      <c r="F125" s="89"/>
      <c r="G125" s="89"/>
      <c r="H125" s="106">
        <v>456</v>
      </c>
      <c r="I125" s="384">
        <f>MISC!L65</f>
        <v>0</v>
      </c>
      <c r="J125" s="1153" t="s">
        <v>1559</v>
      </c>
      <c r="K125" s="79"/>
      <c r="L125" s="607"/>
      <c r="M125" s="1573"/>
    </row>
    <row r="126" spans="2:13" ht="9.75" customHeight="1">
      <c r="B126" s="82"/>
      <c r="C126" s="82"/>
      <c r="D126" s="102"/>
      <c r="E126" s="102"/>
      <c r="F126" s="102"/>
      <c r="G126" s="102"/>
      <c r="H126" s="106"/>
      <c r="I126" s="79"/>
      <c r="J126" s="79"/>
      <c r="K126" s="79"/>
      <c r="L126" s="607"/>
      <c r="M126" s="1573"/>
    </row>
    <row r="127" spans="2:13" ht="15" customHeight="1">
      <c r="B127" s="75" t="s">
        <v>829</v>
      </c>
      <c r="C127" s="75"/>
      <c r="D127" s="90"/>
      <c r="E127" s="90"/>
      <c r="F127" s="90"/>
      <c r="G127" s="90"/>
      <c r="H127" s="106">
        <v>457</v>
      </c>
      <c r="I127" s="104"/>
      <c r="J127" s="1153" t="s">
        <v>1559</v>
      </c>
      <c r="K127" s="79"/>
      <c r="L127" s="607"/>
      <c r="M127" s="1573"/>
    </row>
    <row r="128" spans="2:13" ht="15.75">
      <c r="B128" s="76" t="s">
        <v>830</v>
      </c>
      <c r="C128" s="87"/>
      <c r="D128" s="89"/>
      <c r="E128" s="89"/>
      <c r="F128" s="89"/>
      <c r="G128" s="89"/>
      <c r="H128" s="106">
        <v>476</v>
      </c>
      <c r="I128" s="93"/>
      <c r="J128" s="1153" t="s">
        <v>1559</v>
      </c>
      <c r="K128" s="79"/>
      <c r="L128" s="607"/>
      <c r="M128" s="1573"/>
    </row>
    <row r="129" spans="2:13" ht="24.75" customHeight="1">
      <c r="B129" s="912" t="s">
        <v>1948</v>
      </c>
      <c r="C129" s="217"/>
      <c r="D129" s="450"/>
      <c r="E129" s="450"/>
      <c r="F129" s="450"/>
      <c r="G129" s="450"/>
      <c r="H129" s="106">
        <v>479</v>
      </c>
      <c r="I129" s="642">
        <f>VLOOKUP("L479",D47:J48,C46,FALSE)</f>
        <v>75</v>
      </c>
      <c r="J129" s="1153" t="s">
        <v>1559</v>
      </c>
      <c r="K129" s="79"/>
      <c r="L129" s="607"/>
      <c r="M129" s="1573"/>
    </row>
    <row r="130" spans="2:13" ht="15.75">
      <c r="B130" s="78"/>
      <c r="C130" s="78"/>
      <c r="D130" s="79"/>
      <c r="E130" s="79"/>
      <c r="F130" s="79"/>
      <c r="G130" s="79" t="s">
        <v>2590</v>
      </c>
      <c r="H130" s="95"/>
      <c r="I130" s="79"/>
      <c r="J130" s="79"/>
      <c r="K130" s="79"/>
      <c r="L130" s="607"/>
      <c r="M130" s="1573"/>
    </row>
    <row r="131" spans="2:13" ht="18">
      <c r="B131" s="78"/>
      <c r="C131" s="78"/>
      <c r="D131" s="79"/>
      <c r="E131" s="79"/>
      <c r="F131" s="79"/>
      <c r="G131" s="79" t="s">
        <v>1133</v>
      </c>
      <c r="H131" s="106">
        <v>482</v>
      </c>
      <c r="I131" s="369">
        <f>SUM(I118:I129)</f>
        <v>75</v>
      </c>
      <c r="J131" s="1150" t="s">
        <v>410</v>
      </c>
      <c r="K131" s="369">
        <f>I131</f>
        <v>75</v>
      </c>
      <c r="L131" s="607"/>
      <c r="M131" s="1573"/>
    </row>
    <row r="132" spans="2:13" ht="19.5" customHeight="1">
      <c r="B132" s="78"/>
      <c r="C132" s="78"/>
      <c r="D132" s="79"/>
      <c r="E132" s="79"/>
      <c r="F132" s="79"/>
      <c r="G132" s="101"/>
      <c r="H132" s="1107"/>
      <c r="I132" s="1108" t="s">
        <v>2126</v>
      </c>
      <c r="J132" s="79"/>
      <c r="K132" s="654">
        <f>K116-K131</f>
        <v>-75</v>
      </c>
      <c r="L132" s="607"/>
      <c r="M132" s="1573"/>
    </row>
    <row r="133" spans="2:13" ht="19.5" customHeight="1">
      <c r="B133" s="78"/>
      <c r="C133" s="78"/>
      <c r="D133" s="79"/>
      <c r="E133" s="79"/>
      <c r="F133" s="79" t="s">
        <v>1274</v>
      </c>
      <c r="G133" s="79"/>
      <c r="H133" s="79"/>
      <c r="I133" s="95"/>
      <c r="J133" s="79"/>
      <c r="K133" s="79" t="s">
        <v>1275</v>
      </c>
      <c r="L133" s="607"/>
      <c r="M133" s="1573"/>
    </row>
    <row r="134" spans="2:13" ht="15">
      <c r="B134" s="78"/>
      <c r="C134" s="1580"/>
      <c r="D134" s="1523"/>
      <c r="E134" s="79"/>
      <c r="F134" s="79"/>
      <c r="G134" s="79"/>
      <c r="H134" s="79"/>
      <c r="I134" s="79"/>
      <c r="J134" s="79"/>
      <c r="K134" s="79" t="s">
        <v>2127</v>
      </c>
      <c r="L134" s="607"/>
      <c r="M134" s="1573"/>
    </row>
    <row r="135" spans="2:13" ht="24.75" customHeight="1">
      <c r="B135" s="78"/>
      <c r="C135" s="78"/>
      <c r="D135" s="78"/>
      <c r="E135" s="78"/>
      <c r="F135" s="78"/>
      <c r="G135" s="103" t="s">
        <v>19</v>
      </c>
      <c r="H135" s="79"/>
      <c r="I135" s="95"/>
      <c r="J135" s="79"/>
      <c r="K135" s="78"/>
      <c r="L135" s="607"/>
      <c r="M135" s="1573"/>
    </row>
    <row r="136" spans="2:13" ht="4.5" customHeight="1">
      <c r="B136" s="78"/>
      <c r="C136" s="78"/>
      <c r="D136" s="78"/>
      <c r="E136" s="78"/>
      <c r="F136" s="78"/>
      <c r="G136" s="103"/>
      <c r="H136" s="79"/>
      <c r="I136" s="95"/>
      <c r="J136" s="79"/>
      <c r="K136" s="78"/>
      <c r="L136" s="607"/>
      <c r="M136" s="1573"/>
    </row>
    <row r="137" spans="2:13" ht="15.75">
      <c r="B137" s="1237" t="s">
        <v>1134</v>
      </c>
      <c r="C137" s="1578">
        <f>IF(K132&lt;(-2),-K132,0)</f>
        <v>75</v>
      </c>
      <c r="D137" s="1579"/>
      <c r="E137" s="1579"/>
      <c r="F137" s="78"/>
      <c r="G137" s="78"/>
      <c r="H137" s="79"/>
      <c r="I137" s="1238" t="s">
        <v>18</v>
      </c>
      <c r="J137" s="106">
        <v>485</v>
      </c>
      <c r="K137" s="369">
        <f>IF(MAXA($K$132,0)&gt;2,MAXA($K$132,0),0)</f>
        <v>0</v>
      </c>
      <c r="L137" s="1153" t="s">
        <v>1559</v>
      </c>
      <c r="M137" s="1573"/>
    </row>
    <row r="138" spans="2:13" ht="5.25" customHeight="1">
      <c r="B138" s="79"/>
      <c r="C138" s="78"/>
      <c r="D138" s="78"/>
      <c r="E138" s="78"/>
      <c r="F138" s="78"/>
      <c r="G138" s="78"/>
      <c r="H138" s="79"/>
      <c r="I138" s="88"/>
      <c r="J138" s="95"/>
      <c r="K138" s="88"/>
      <c r="L138" s="607"/>
      <c r="M138" s="1573"/>
    </row>
    <row r="139" spans="2:13" ht="15" customHeight="1">
      <c r="B139" s="78"/>
      <c r="C139" s="78"/>
      <c r="D139" s="78"/>
      <c r="E139" s="78"/>
      <c r="F139" s="78"/>
      <c r="G139" s="78"/>
      <c r="H139" s="79"/>
      <c r="I139" s="1238" t="s">
        <v>2306</v>
      </c>
      <c r="J139" s="106">
        <v>486</v>
      </c>
      <c r="K139" s="185"/>
      <c r="L139" s="1153" t="s">
        <v>1559</v>
      </c>
      <c r="M139" s="1573"/>
    </row>
    <row r="140" spans="2:13" ht="22.5" customHeight="1">
      <c r="B140" s="80" t="s">
        <v>1663</v>
      </c>
      <c r="C140" s="103"/>
      <c r="D140" s="78"/>
      <c r="E140" s="78"/>
      <c r="F140" s="79"/>
      <c r="G140" s="78"/>
      <c r="H140" s="79"/>
      <c r="I140" s="88"/>
      <c r="J140" s="106"/>
      <c r="K140" s="79" t="str">
        <f>"  Your payment is due no later than April 30, "&amp;nextyeartext&amp;"."</f>
        <v>  Your payment is due no later than April 30, 2008.</v>
      </c>
      <c r="L140" s="607"/>
      <c r="M140" s="1573"/>
    </row>
    <row r="141" spans="2:13" ht="7.5" customHeight="1">
      <c r="B141" s="78"/>
      <c r="C141" s="78"/>
      <c r="D141" s="78"/>
      <c r="E141" s="78"/>
      <c r="F141" s="78"/>
      <c r="G141" s="78"/>
      <c r="H141" s="79"/>
      <c r="I141" s="88"/>
      <c r="J141" s="106"/>
      <c r="K141" s="88"/>
      <c r="L141" s="607"/>
      <c r="M141" s="1573"/>
    </row>
    <row r="142" spans="2:13" ht="15.75">
      <c r="B142" s="78"/>
      <c r="C142" s="1239" t="s">
        <v>20</v>
      </c>
      <c r="D142" s="78"/>
      <c r="E142" s="78"/>
      <c r="F142" s="78"/>
      <c r="G142" s="78"/>
      <c r="H142" s="79"/>
      <c r="I142" s="95"/>
      <c r="J142" s="88"/>
      <c r="K142" s="88"/>
      <c r="L142" s="607"/>
      <c r="M142" s="1573"/>
    </row>
    <row r="143" spans="2:13" ht="15.75">
      <c r="B143" s="78"/>
      <c r="C143" s="95" t="s">
        <v>832</v>
      </c>
      <c r="D143" s="78"/>
      <c r="E143" s="78"/>
      <c r="F143" s="78"/>
      <c r="G143" s="80"/>
      <c r="H143" s="79"/>
      <c r="I143" s="88"/>
      <c r="J143" s="88"/>
      <c r="K143" s="79"/>
      <c r="L143" s="607"/>
      <c r="M143" s="1573"/>
    </row>
    <row r="144" spans="2:13" ht="15">
      <c r="B144" s="78"/>
      <c r="C144" s="78" t="s">
        <v>831</v>
      </c>
      <c r="D144" s="78"/>
      <c r="E144" s="78"/>
      <c r="F144" s="78"/>
      <c r="G144" s="80"/>
      <c r="H144" s="78"/>
      <c r="I144" s="78"/>
      <c r="J144" s="78"/>
      <c r="K144" s="79"/>
      <c r="L144" s="607"/>
      <c r="M144" s="1573"/>
    </row>
    <row r="145" spans="2:13" ht="21.75" customHeight="1">
      <c r="B145" s="78"/>
      <c r="C145" s="95" t="s">
        <v>650</v>
      </c>
      <c r="D145" s="78"/>
      <c r="E145" s="78"/>
      <c r="F145" s="78"/>
      <c r="G145" s="78"/>
      <c r="H145" s="78"/>
      <c r="I145" s="78"/>
      <c r="J145" s="78"/>
      <c r="K145" s="78" t="s">
        <v>2307</v>
      </c>
      <c r="L145" s="607"/>
      <c r="M145" s="1573"/>
    </row>
    <row r="146" spans="2:13" ht="15.75">
      <c r="B146" s="78"/>
      <c r="C146" s="78" t="s">
        <v>497</v>
      </c>
      <c r="D146" s="78"/>
      <c r="E146" s="78"/>
      <c r="F146" s="78"/>
      <c r="G146" s="78"/>
      <c r="H146" s="78"/>
      <c r="I146" s="78"/>
      <c r="J146" s="78"/>
      <c r="K146" s="78"/>
      <c r="L146" s="607"/>
      <c r="M146" s="1573"/>
    </row>
    <row r="147" spans="2:13" ht="21.75" customHeight="1">
      <c r="B147" s="78"/>
      <c r="C147" s="95" t="s">
        <v>21</v>
      </c>
      <c r="D147" s="78"/>
      <c r="E147" s="78"/>
      <c r="F147" s="78"/>
      <c r="G147" s="78"/>
      <c r="H147" s="78"/>
      <c r="I147" s="78"/>
      <c r="J147" s="78"/>
      <c r="K147" s="78"/>
      <c r="L147" s="607"/>
      <c r="M147" s="1573"/>
    </row>
    <row r="148" spans="2:13" ht="15.75">
      <c r="B148" s="78"/>
      <c r="C148" s="78" t="s">
        <v>22</v>
      </c>
      <c r="D148" s="78"/>
      <c r="E148" s="78"/>
      <c r="F148" s="78"/>
      <c r="G148" s="78"/>
      <c r="H148" s="78"/>
      <c r="I148" s="78"/>
      <c r="J148" s="78"/>
      <c r="K148" s="78"/>
      <c r="L148" s="607"/>
      <c r="M148" s="1573"/>
    </row>
    <row r="149" spans="2:13" ht="15.75">
      <c r="B149" s="78"/>
      <c r="C149" s="78" t="s">
        <v>23</v>
      </c>
      <c r="D149" s="78"/>
      <c r="E149" s="78"/>
      <c r="F149" s="78"/>
      <c r="G149" s="78"/>
      <c r="H149" s="78"/>
      <c r="I149" s="78"/>
      <c r="J149" s="78"/>
      <c r="K149" s="78"/>
      <c r="L149" s="607"/>
      <c r="M149" s="1573"/>
    </row>
    <row r="150" spans="2:13" ht="19.5" customHeight="1">
      <c r="B150" s="78"/>
      <c r="C150" s="103" t="s">
        <v>1283</v>
      </c>
      <c r="D150" s="103"/>
      <c r="E150" s="103" t="s">
        <v>1285</v>
      </c>
      <c r="F150" s="78"/>
      <c r="G150" s="78"/>
      <c r="H150" s="78"/>
      <c r="I150" s="78"/>
      <c r="J150" s="78"/>
      <c r="K150" s="78"/>
      <c r="L150" s="607"/>
      <c r="M150" s="1573"/>
    </row>
    <row r="151" spans="2:13" ht="15">
      <c r="B151" s="78"/>
      <c r="C151" s="103" t="s">
        <v>1284</v>
      </c>
      <c r="D151" s="103"/>
      <c r="E151" s="103" t="s">
        <v>1284</v>
      </c>
      <c r="F151" s="78"/>
      <c r="G151" s="103" t="s">
        <v>1123</v>
      </c>
      <c r="H151" s="103"/>
      <c r="I151" s="103" t="s">
        <v>1286</v>
      </c>
      <c r="J151" s="78"/>
      <c r="K151" s="103" t="s">
        <v>24</v>
      </c>
      <c r="L151" s="607"/>
      <c r="M151" s="1573"/>
    </row>
    <row r="152" spans="2:13" ht="21" customHeight="1">
      <c r="B152" s="88" t="s">
        <v>224</v>
      </c>
      <c r="C152" s="909"/>
      <c r="D152" s="610" t="s">
        <v>223</v>
      </c>
      <c r="E152" s="913"/>
      <c r="F152" s="610" t="s">
        <v>1287</v>
      </c>
      <c r="G152" s="1110"/>
      <c r="H152" s="611">
        <v>463</v>
      </c>
      <c r="I152" s="586" t="s">
        <v>458</v>
      </c>
      <c r="J152" s="611">
        <v>491</v>
      </c>
      <c r="K152" s="586" t="s">
        <v>458</v>
      </c>
      <c r="L152" s="607"/>
      <c r="M152" s="1573"/>
    </row>
    <row r="153" spans="2:13" ht="15">
      <c r="B153" s="78"/>
      <c r="C153" s="612" t="s">
        <v>727</v>
      </c>
      <c r="D153" s="613"/>
      <c r="E153" s="612" t="s">
        <v>1513</v>
      </c>
      <c r="F153" s="613"/>
      <c r="G153" s="1112" t="s">
        <v>1514</v>
      </c>
      <c r="H153" s="1111"/>
      <c r="I153" s="607"/>
      <c r="J153" s="78"/>
      <c r="K153" s="78"/>
      <c r="L153" s="607"/>
      <c r="M153" s="1573"/>
    </row>
    <row r="154" spans="2:13" ht="8.25" customHeight="1">
      <c r="B154" s="78"/>
      <c r="C154" s="607"/>
      <c r="D154" s="78"/>
      <c r="E154" s="78"/>
      <c r="F154" s="78"/>
      <c r="G154" s="78"/>
      <c r="H154" s="78"/>
      <c r="I154" s="78"/>
      <c r="J154" s="78"/>
      <c r="K154" s="78"/>
      <c r="L154" s="607"/>
      <c r="M154" s="1573"/>
    </row>
    <row r="155" spans="2:13" ht="6.75" customHeight="1">
      <c r="B155" s="78"/>
      <c r="C155" s="607"/>
      <c r="D155" s="78"/>
      <c r="E155" s="78"/>
      <c r="F155" s="78"/>
      <c r="G155" s="78"/>
      <c r="H155" s="78"/>
      <c r="I155" s="78"/>
      <c r="J155" s="78"/>
      <c r="K155" s="78"/>
      <c r="L155" s="607"/>
      <c r="M155" s="1573"/>
    </row>
    <row r="156" spans="2:13" ht="15.75" hidden="1">
      <c r="B156" s="914" t="s">
        <v>1662</v>
      </c>
      <c r="C156" s="915"/>
      <c r="D156" s="915"/>
      <c r="E156" s="915"/>
      <c r="F156" s="915"/>
      <c r="G156" s="915"/>
      <c r="H156" s="915"/>
      <c r="I156" s="915"/>
      <c r="J156" s="915"/>
      <c r="K156" s="915"/>
      <c r="L156" s="923"/>
      <c r="M156" s="1573"/>
    </row>
    <row r="157" spans="2:13" ht="15.75" hidden="1">
      <c r="B157" s="916"/>
      <c r="C157" s="917"/>
      <c r="D157" s="917"/>
      <c r="E157" s="917"/>
      <c r="F157" s="918" t="s">
        <v>255</v>
      </c>
      <c r="G157" s="918"/>
      <c r="H157" s="918"/>
      <c r="I157" s="918"/>
      <c r="J157" s="917"/>
      <c r="K157" s="619">
        <f>C137</f>
        <v>75</v>
      </c>
      <c r="L157" s="924" t="s">
        <v>661</v>
      </c>
      <c r="M157" s="1573"/>
    </row>
    <row r="158" spans="2:13" ht="15.75" hidden="1">
      <c r="B158" s="916" t="s">
        <v>2069</v>
      </c>
      <c r="C158" s="917"/>
      <c r="D158" s="917"/>
      <c r="E158" s="917"/>
      <c r="F158" s="917" t="s">
        <v>2066</v>
      </c>
      <c r="G158" s="917"/>
      <c r="H158" s="917"/>
      <c r="I158" s="917"/>
      <c r="J158" s="917"/>
      <c r="K158" s="917"/>
      <c r="L158" s="925"/>
      <c r="M158" s="1573"/>
    </row>
    <row r="159" spans="2:13" ht="15.75" hidden="1">
      <c r="B159" s="916" t="str">
        <f>"donate some of all of your "&amp;yeartext&amp;" refund to the Ontario"</f>
        <v>donate some of all of your 2007 refund to the Ontario</v>
      </c>
      <c r="C159" s="917"/>
      <c r="D159" s="917"/>
      <c r="E159" s="917"/>
      <c r="F159" s="918" t="s">
        <v>2067</v>
      </c>
      <c r="G159" s="918"/>
      <c r="H159" s="918"/>
      <c r="I159" s="918"/>
      <c r="J159" s="919" t="s">
        <v>1397</v>
      </c>
      <c r="K159" s="130"/>
      <c r="L159" s="924" t="s">
        <v>698</v>
      </c>
      <c r="M159" s="1573"/>
    </row>
    <row r="160" spans="2:13" ht="15.75" hidden="1">
      <c r="B160" s="920" t="s">
        <v>2070</v>
      </c>
      <c r="C160" s="918"/>
      <c r="D160" s="918"/>
      <c r="E160" s="918"/>
      <c r="F160" s="921" t="s">
        <v>2068</v>
      </c>
      <c r="G160" s="921"/>
      <c r="H160" s="921"/>
      <c r="I160" s="921"/>
      <c r="J160" s="922" t="s">
        <v>1398</v>
      </c>
      <c r="K160" s="622">
        <f>MAXA(0,K157-K159)</f>
        <v>75</v>
      </c>
      <c r="L160" s="926" t="s">
        <v>699</v>
      </c>
      <c r="M160" s="1573"/>
    </row>
    <row r="161" spans="2:13" ht="33" customHeight="1">
      <c r="B161" s="607"/>
      <c r="C161" s="607"/>
      <c r="D161" s="607"/>
      <c r="E161" s="607"/>
      <c r="F161" s="607"/>
      <c r="G161" s="607"/>
      <c r="H161" s="607"/>
      <c r="I161" s="607"/>
      <c r="J161" s="607"/>
      <c r="K161" s="607"/>
      <c r="L161" s="607"/>
      <c r="M161" s="1573"/>
    </row>
    <row r="162" spans="2:13" ht="15.75">
      <c r="B162" s="623" t="s">
        <v>1079</v>
      </c>
      <c r="C162" s="614"/>
      <c r="D162" s="614"/>
      <c r="E162" s="614"/>
      <c r="F162" s="614"/>
      <c r="G162" s="1113" t="s">
        <v>1117</v>
      </c>
      <c r="H162" s="624" t="s">
        <v>1122</v>
      </c>
      <c r="I162" s="1576"/>
      <c r="J162" s="1576"/>
      <c r="K162" s="1576"/>
      <c r="L162" s="1577"/>
      <c r="M162" s="1573"/>
    </row>
    <row r="163" spans="2:13" ht="15">
      <c r="B163" s="616" t="s">
        <v>1941</v>
      </c>
      <c r="C163" s="617"/>
      <c r="D163" s="617"/>
      <c r="E163" s="617"/>
      <c r="F163" s="617"/>
      <c r="G163" s="1114" t="s">
        <v>1118</v>
      </c>
      <c r="H163" s="1116" t="s">
        <v>1344</v>
      </c>
      <c r="I163" s="1117"/>
      <c r="J163" s="1117"/>
      <c r="K163" s="1117"/>
      <c r="L163" s="1118"/>
      <c r="M163" s="1573"/>
    </row>
    <row r="164" spans="2:13" ht="15">
      <c r="B164" s="625"/>
      <c r="C164" s="626"/>
      <c r="D164" s="626"/>
      <c r="E164" s="626"/>
      <c r="F164" s="617"/>
      <c r="G164" s="1114" t="s">
        <v>1119</v>
      </c>
      <c r="H164" s="1574"/>
      <c r="I164" s="1574"/>
      <c r="J164" s="1574"/>
      <c r="K164" s="1574"/>
      <c r="L164" s="1575"/>
      <c r="M164" s="1573"/>
    </row>
    <row r="165" spans="2:13" ht="15.75">
      <c r="B165" s="1571" t="s">
        <v>1942</v>
      </c>
      <c r="C165" s="1572"/>
      <c r="D165" s="1572"/>
      <c r="E165" s="1572"/>
      <c r="F165" s="617"/>
      <c r="G165" s="1114" t="s">
        <v>1120</v>
      </c>
      <c r="H165" s="1574"/>
      <c r="I165" s="1574"/>
      <c r="J165" s="1574"/>
      <c r="K165" s="1574"/>
      <c r="L165" s="1575"/>
      <c r="M165" s="1573"/>
    </row>
    <row r="166" spans="2:13" ht="15">
      <c r="B166" s="616"/>
      <c r="C166" s="627" t="s">
        <v>1115</v>
      </c>
      <c r="D166" s="617"/>
      <c r="E166" s="617"/>
      <c r="F166" s="617"/>
      <c r="G166" s="1114" t="s">
        <v>1121</v>
      </c>
      <c r="H166" s="1574"/>
      <c r="I166" s="1574"/>
      <c r="J166" s="1574"/>
      <c r="K166" s="1574"/>
      <c r="L166" s="1575"/>
      <c r="M166" s="1573"/>
    </row>
    <row r="167" spans="2:13" ht="15">
      <c r="B167" s="266" t="s">
        <v>2163</v>
      </c>
      <c r="C167" s="618" t="s">
        <v>1116</v>
      </c>
      <c r="D167" s="1570"/>
      <c r="E167" s="1570"/>
      <c r="F167" s="618"/>
      <c r="G167" s="1115"/>
      <c r="H167" s="618" t="s">
        <v>1794</v>
      </c>
      <c r="I167" s="618"/>
      <c r="J167" s="1574"/>
      <c r="K167" s="1574"/>
      <c r="L167" s="1575"/>
      <c r="M167" s="1573"/>
    </row>
    <row r="168" spans="2:13" ht="8.25" customHeight="1">
      <c r="B168" s="607"/>
      <c r="C168" s="607"/>
      <c r="D168" s="607"/>
      <c r="E168" s="607"/>
      <c r="F168" s="607"/>
      <c r="G168" s="607"/>
      <c r="H168" s="607"/>
      <c r="I168" s="607"/>
      <c r="J168" s="607"/>
      <c r="K168" s="607"/>
      <c r="L168" s="607"/>
      <c r="M168" s="1573"/>
    </row>
    <row r="169" spans="2:13" ht="20.25" customHeight="1">
      <c r="B169" s="628" t="s">
        <v>26</v>
      </c>
      <c r="C169" s="629"/>
      <c r="D169" s="821"/>
      <c r="E169" s="629"/>
      <c r="F169" s="630"/>
      <c r="G169" s="629"/>
      <c r="H169" s="629"/>
      <c r="I169" s="631"/>
      <c r="J169" s="1259"/>
      <c r="K169" s="629"/>
      <c r="L169" s="632"/>
      <c r="M169" s="1573"/>
    </row>
    <row r="170" spans="2:13" ht="15" customHeight="1">
      <c r="B170" s="633" t="s">
        <v>27</v>
      </c>
      <c r="C170" s="629"/>
      <c r="D170" s="821"/>
      <c r="E170" s="629"/>
      <c r="F170" s="634"/>
      <c r="G170" s="629"/>
      <c r="H170" s="629"/>
      <c r="I170" s="627"/>
      <c r="J170" s="1259"/>
      <c r="K170" s="629"/>
      <c r="L170" s="635"/>
      <c r="M170" s="1573"/>
    </row>
    <row r="171" spans="2:13" ht="4.5" customHeight="1">
      <c r="B171" s="636"/>
      <c r="C171" s="618"/>
      <c r="D171" s="637"/>
      <c r="E171" s="638"/>
      <c r="F171" s="638"/>
      <c r="G171" s="638"/>
      <c r="H171" s="638"/>
      <c r="I171" s="638"/>
      <c r="J171" s="638"/>
      <c r="K171" s="638"/>
      <c r="L171" s="639"/>
      <c r="M171" s="1573"/>
    </row>
    <row r="172" spans="2:13" ht="15">
      <c r="B172" s="607"/>
      <c r="C172" s="640"/>
      <c r="D172" s="607"/>
      <c r="E172" s="607"/>
      <c r="F172" s="607"/>
      <c r="G172" s="607"/>
      <c r="H172" s="607"/>
      <c r="I172" s="607"/>
      <c r="J172" s="607"/>
      <c r="K172" s="641" t="s">
        <v>17</v>
      </c>
      <c r="L172" s="607"/>
      <c r="M172" s="1573"/>
    </row>
  </sheetData>
  <sheetProtection password="EC35" sheet="1" objects="1" scenarios="1"/>
  <mergeCells count="19">
    <mergeCell ref="C134:D134"/>
    <mergeCell ref="D31:G31"/>
    <mergeCell ref="B95:F95"/>
    <mergeCell ref="C101:G101"/>
    <mergeCell ref="C83:G83"/>
    <mergeCell ref="D167:E167"/>
    <mergeCell ref="B165:E165"/>
    <mergeCell ref="M1:M172"/>
    <mergeCell ref="H165:L165"/>
    <mergeCell ref="H166:L166"/>
    <mergeCell ref="J167:L167"/>
    <mergeCell ref="I162:L162"/>
    <mergeCell ref="H164:L164"/>
    <mergeCell ref="K103:K104"/>
    <mergeCell ref="C137:E137"/>
    <mergeCell ref="B24:E24"/>
    <mergeCell ref="B23:G23"/>
    <mergeCell ref="B42:E42"/>
    <mergeCell ref="I43:I44"/>
  </mergeCells>
  <dataValidations count="3">
    <dataValidation type="list" allowBlank="1" showInputMessage="1" showErrorMessage="1" sqref="J6 H6">
      <formula1>"X,'"</formula1>
    </dataValidation>
    <dataValidation type="decimal" allowBlank="1" showInputMessage="1" showErrorMessage="1" errorTitle="Invalid Value" error="Maximum of $600" sqref="I66">
      <formula1>0</formula1>
      <formula2>600</formula2>
    </dataValidation>
    <dataValidation type="list" showInputMessage="1" showErrorMessage="1" sqref="I152 K152">
      <formula1>"X,'"</formula1>
    </dataValidation>
  </dataValidations>
  <hyperlinks>
    <hyperlink ref="I65" location="Sch7!E13" display="Sch7!E13"/>
    <hyperlink ref="M1:M172" location="'GO TO'!B8" display=" "/>
  </hyperlinks>
  <printOptions horizontalCentered="1"/>
  <pageMargins left="0" right="0" top="0" bottom="0" header="0.511811023622047" footer="0.2"/>
  <pageSetup fitToHeight="0" fitToWidth="1" horizontalDpi="600" verticalDpi="600" orientation="portrait" scale="79" r:id="rId4"/>
  <headerFooter alignWithMargins="0">
    <oddFooter>&amp;L5006-R</oddFooter>
  </headerFooter>
  <rowBreaks count="1" manualBreakCount="1">
    <brk id="44" max="11" man="1"/>
  </rowBreaks>
  <drawing r:id="rId3"/>
  <legacyDrawing r:id="rId2"/>
</worksheet>
</file>

<file path=xl/worksheets/sheet8.xml><?xml version="1.0" encoding="utf-8"?>
<worksheet xmlns="http://schemas.openxmlformats.org/spreadsheetml/2006/main" xmlns:r="http://schemas.openxmlformats.org/officeDocument/2006/relationships">
  <sheetPr codeName="Sheet4" transitionEvaluation="1">
    <pageSetUpPr fitToPage="1"/>
  </sheetPr>
  <dimension ref="A1:L359"/>
  <sheetViews>
    <sheetView zoomScale="75" zoomScaleNormal="75" workbookViewId="0" topLeftCell="A1">
      <selection activeCell="A2" sqref="A2"/>
    </sheetView>
  </sheetViews>
  <sheetFormatPr defaultColWidth="9.77734375" defaultRowHeight="15"/>
  <cols>
    <col min="1" max="1" width="37.77734375" style="481" customWidth="1"/>
    <col min="2" max="2" width="5.77734375" style="0" customWidth="1"/>
    <col min="3" max="3" width="12.77734375" style="0" customWidth="1"/>
    <col min="4" max="4" width="5.77734375" style="0" customWidth="1"/>
    <col min="5" max="5" width="12.77734375" style="0" customWidth="1"/>
    <col min="6" max="6" width="5.77734375" style="0" customWidth="1"/>
    <col min="7" max="7" width="12.77734375" style="0" customWidth="1"/>
    <col min="8" max="8" width="4.77734375" style="0" customWidth="1"/>
    <col min="9" max="9" width="12.77734375" style="0" customWidth="1"/>
    <col min="10" max="10" width="3.77734375" style="0" customWidth="1"/>
    <col min="11" max="11" width="3.10546875" style="0" customWidth="1"/>
  </cols>
  <sheetData>
    <row r="1" spans="1:12" ht="32.25" customHeight="1">
      <c r="A1" s="1260" t="str">
        <f>"T1-"&amp;yeartext</f>
        <v>T1-2007</v>
      </c>
      <c r="B1" s="1149" t="s">
        <v>2308</v>
      </c>
      <c r="C1" s="1148"/>
      <c r="D1" s="78"/>
      <c r="E1" s="78"/>
      <c r="F1" s="78"/>
      <c r="G1" s="78"/>
      <c r="H1" s="78"/>
      <c r="I1" s="78"/>
      <c r="J1" s="78"/>
      <c r="K1" s="78"/>
      <c r="L1" s="1508" t="s">
        <v>1659</v>
      </c>
    </row>
    <row r="2" spans="1:12" ht="13.5" customHeight="1">
      <c r="A2" s="133"/>
      <c r="B2" s="78"/>
      <c r="C2" s="135"/>
      <c r="D2" s="78"/>
      <c r="E2" s="78"/>
      <c r="F2" s="78"/>
      <c r="G2" s="78"/>
      <c r="H2" s="78"/>
      <c r="I2" s="78"/>
      <c r="J2" s="78"/>
      <c r="K2" s="78"/>
      <c r="L2" s="1508"/>
    </row>
    <row r="3" spans="1:12" ht="23.25">
      <c r="A3" s="133" t="s">
        <v>2156</v>
      </c>
      <c r="B3" s="78"/>
      <c r="C3" s="135"/>
      <c r="D3" s="78"/>
      <c r="E3" s="78"/>
      <c r="F3" s="78"/>
      <c r="G3" s="78"/>
      <c r="H3" s="78"/>
      <c r="I3" s="78"/>
      <c r="J3" s="78"/>
      <c r="K3" s="78"/>
      <c r="L3" s="1508"/>
    </row>
    <row r="4" spans="1:12" ht="18.75">
      <c r="A4" s="1141" t="s">
        <v>2155</v>
      </c>
      <c r="B4" s="78"/>
      <c r="C4" s="78"/>
      <c r="D4" s="78"/>
      <c r="E4" s="78"/>
      <c r="F4" s="78"/>
      <c r="G4" s="78"/>
      <c r="H4" s="78"/>
      <c r="I4" s="78"/>
      <c r="J4" s="78"/>
      <c r="K4" s="78"/>
      <c r="L4" s="1508"/>
    </row>
    <row r="5" spans="1:12" ht="9.75" customHeight="1">
      <c r="A5" s="1141"/>
      <c r="B5" s="78"/>
      <c r="C5" s="78"/>
      <c r="D5" s="78"/>
      <c r="E5" s="78"/>
      <c r="F5" s="78"/>
      <c r="G5" s="78"/>
      <c r="H5" s="78"/>
      <c r="I5" s="78"/>
      <c r="J5" s="78"/>
      <c r="K5" s="78"/>
      <c r="L5" s="1508"/>
    </row>
    <row r="6" spans="1:12" ht="4.5" customHeight="1">
      <c r="A6" s="1144"/>
      <c r="B6" s="1125"/>
      <c r="C6" s="1125"/>
      <c r="D6" s="1125"/>
      <c r="E6" s="1125"/>
      <c r="F6" s="1125"/>
      <c r="G6" s="1125"/>
      <c r="H6" s="1125"/>
      <c r="I6" s="1125"/>
      <c r="J6" s="1125"/>
      <c r="K6" s="78"/>
      <c r="L6" s="1508"/>
    </row>
    <row r="7" spans="1:12" ht="9.75" customHeight="1">
      <c r="A7" s="133"/>
      <c r="B7" s="121"/>
      <c r="C7" s="121"/>
      <c r="D7" s="121"/>
      <c r="E7" s="121"/>
      <c r="F7" s="121"/>
      <c r="G7" s="78"/>
      <c r="H7" s="78"/>
      <c r="I7" s="78"/>
      <c r="J7" s="78"/>
      <c r="K7" s="78"/>
      <c r="L7" s="1508"/>
    </row>
    <row r="8" spans="1:12" ht="20.25">
      <c r="A8" s="1119" t="s">
        <v>1749</v>
      </c>
      <c r="B8" s="121"/>
      <c r="C8" s="121"/>
      <c r="D8" s="121"/>
      <c r="E8" s="121"/>
      <c r="F8" s="121"/>
      <c r="G8" s="124"/>
      <c r="H8" s="121"/>
      <c r="I8" s="121"/>
      <c r="J8" s="121"/>
      <c r="K8" s="121"/>
      <c r="L8" s="1508"/>
    </row>
    <row r="9" spans="1:12" ht="18">
      <c r="A9" s="133" t="s">
        <v>721</v>
      </c>
      <c r="B9" s="121"/>
      <c r="C9" s="121"/>
      <c r="D9" s="121"/>
      <c r="E9" s="121"/>
      <c r="F9" s="121"/>
      <c r="G9" s="124"/>
      <c r="H9" s="121"/>
      <c r="I9" s="121"/>
      <c r="J9" s="121"/>
      <c r="K9" s="121"/>
      <c r="L9" s="1508"/>
    </row>
    <row r="10" spans="1:12" ht="18">
      <c r="A10" s="1121" t="s">
        <v>722</v>
      </c>
      <c r="B10" s="75"/>
      <c r="C10" s="75"/>
      <c r="D10" s="75"/>
      <c r="E10" s="75"/>
      <c r="F10" s="75"/>
      <c r="G10" s="125"/>
      <c r="H10" s="121"/>
      <c r="I10" s="392">
        <f>+'T1 GEN-2-3-4'!K116-'T1 GEN-2-3-4'!K111</f>
        <v>0</v>
      </c>
      <c r="J10" s="728">
        <v>1</v>
      </c>
      <c r="K10" s="121"/>
      <c r="L10" s="1508"/>
    </row>
    <row r="11" spans="1:12" ht="18">
      <c r="A11" s="1121" t="s">
        <v>623</v>
      </c>
      <c r="B11" s="76"/>
      <c r="C11" s="76"/>
      <c r="D11" s="76"/>
      <c r="E11" s="76"/>
      <c r="F11" s="121"/>
      <c r="G11" s="392">
        <f>+'T1 GEN-2-3-4'!I131</f>
        <v>75</v>
      </c>
      <c r="H11" s="728">
        <v>2</v>
      </c>
      <c r="I11" s="121"/>
      <c r="J11" s="121"/>
      <c r="K11" s="121"/>
      <c r="L11" s="1508"/>
    </row>
    <row r="12" spans="1:12" ht="18.75" thickBot="1">
      <c r="A12" s="1121" t="s">
        <v>310</v>
      </c>
      <c r="B12" s="76"/>
      <c r="C12" s="126"/>
      <c r="D12" s="126"/>
      <c r="E12" s="126"/>
      <c r="F12" s="136"/>
      <c r="G12" s="789">
        <f>+'T1 GEN-2-3-4'!I120+MISC!J64+'T1 GEN-2-3-4'!I127+'T1 GEN-2-3-4'!I128</f>
        <v>0</v>
      </c>
      <c r="H12" s="728">
        <v>3</v>
      </c>
      <c r="I12" s="121"/>
      <c r="J12" s="121"/>
      <c r="K12" s="121"/>
      <c r="L12" s="1508"/>
    </row>
    <row r="13" spans="1:12" ht="18.75" thickBot="1">
      <c r="A13" s="1123" t="s">
        <v>61</v>
      </c>
      <c r="B13" s="76"/>
      <c r="C13" s="126"/>
      <c r="D13" s="126"/>
      <c r="E13" s="126"/>
      <c r="F13" s="136"/>
      <c r="G13" s="392">
        <f>+G11-G12</f>
        <v>75</v>
      </c>
      <c r="H13" s="1150" t="s">
        <v>410</v>
      </c>
      <c r="I13" s="789">
        <f>+G13</f>
        <v>75</v>
      </c>
      <c r="J13" s="728">
        <v>4</v>
      </c>
      <c r="K13" s="121"/>
      <c r="L13" s="1508"/>
    </row>
    <row r="14" spans="1:12" ht="18">
      <c r="A14" s="1123" t="s">
        <v>1683</v>
      </c>
      <c r="B14" s="76"/>
      <c r="C14" s="76"/>
      <c r="D14" s="76"/>
      <c r="E14" s="126"/>
      <c r="F14" s="1120"/>
      <c r="G14" s="1121"/>
      <c r="H14" s="121"/>
      <c r="I14" s="392">
        <f>+I10-I13</f>
        <v>-75</v>
      </c>
      <c r="J14" s="728">
        <v>5</v>
      </c>
      <c r="K14" s="121"/>
      <c r="L14" s="1508"/>
    </row>
    <row r="15" spans="1:12" ht="16.5">
      <c r="A15" s="859" t="str">
        <f>"You may have to pay your "&amp;nextyeartext&amp;" taxes by installments if for "&amp;nextyeartext&amp;", and for either "&amp;yeartext&amp;" or "&amp;lastyeartext&amp;", the amount on line 5 is more than $3,000."</f>
        <v>You may have to pay your 2008 taxes by installments if for 2008, and for either 2007 or 2006, the amount on line 5 is more than $3,000.</v>
      </c>
      <c r="B15" s="121"/>
      <c r="C15" s="121"/>
      <c r="D15" s="121"/>
      <c r="E15" s="121"/>
      <c r="F15" s="136"/>
      <c r="G15" s="124"/>
      <c r="H15" s="121"/>
      <c r="I15" s="121"/>
      <c r="J15" s="121"/>
      <c r="K15" s="121"/>
      <c r="L15" s="1508"/>
    </row>
    <row r="16" spans="1:12" ht="9.75" customHeight="1">
      <c r="A16" s="859"/>
      <c r="B16" s="121"/>
      <c r="C16" s="121"/>
      <c r="D16" s="121"/>
      <c r="E16" s="121"/>
      <c r="F16" s="136"/>
      <c r="G16" s="124"/>
      <c r="H16" s="121"/>
      <c r="I16" s="121"/>
      <c r="J16" s="121"/>
      <c r="K16" s="121"/>
      <c r="L16" s="1508"/>
    </row>
    <row r="17" spans="1:12" ht="4.5" customHeight="1">
      <c r="A17" s="1151"/>
      <c r="B17" s="1124"/>
      <c r="C17" s="1124"/>
      <c r="D17" s="1124"/>
      <c r="E17" s="1124"/>
      <c r="F17" s="1145"/>
      <c r="G17" s="1146"/>
      <c r="H17" s="1124"/>
      <c r="I17" s="1124"/>
      <c r="J17" s="1124"/>
      <c r="K17" s="121"/>
      <c r="L17" s="1508"/>
    </row>
    <row r="18" spans="1:12" ht="15" customHeight="1">
      <c r="A18" s="859"/>
      <c r="B18" s="121"/>
      <c r="C18" s="121"/>
      <c r="D18" s="121"/>
      <c r="E18" s="121"/>
      <c r="F18" s="136"/>
      <c r="G18" s="124"/>
      <c r="H18" s="121"/>
      <c r="I18" s="121"/>
      <c r="J18" s="121"/>
      <c r="K18" s="121"/>
      <c r="L18" s="1508"/>
    </row>
    <row r="19" spans="1:12" ht="20.25">
      <c r="A19" s="1119" t="s">
        <v>2182</v>
      </c>
      <c r="B19" s="1124"/>
      <c r="C19" s="121"/>
      <c r="D19" s="121"/>
      <c r="E19" s="121"/>
      <c r="F19" s="136"/>
      <c r="G19" s="124"/>
      <c r="H19" s="121"/>
      <c r="I19" s="121"/>
      <c r="J19" s="121"/>
      <c r="K19" s="121"/>
      <c r="L19" s="1508"/>
    </row>
    <row r="20" spans="1:12" ht="18">
      <c r="A20" s="1121" t="s">
        <v>2183</v>
      </c>
      <c r="B20" s="75"/>
      <c r="C20" s="75"/>
      <c r="D20" s="75"/>
      <c r="E20" s="75"/>
      <c r="F20" s="1120"/>
      <c r="G20" s="125"/>
      <c r="H20" s="121"/>
      <c r="I20" s="392">
        <f>+'T1 GEN-2-3-4'!I16</f>
        <v>0</v>
      </c>
      <c r="J20" s="728">
        <v>1</v>
      </c>
      <c r="K20" s="121"/>
      <c r="L20" s="1508"/>
    </row>
    <row r="21" spans="1:12" ht="18.75" thickBot="1">
      <c r="A21" s="1123" t="s">
        <v>2184</v>
      </c>
      <c r="B21" s="75"/>
      <c r="C21" s="75"/>
      <c r="D21" s="75"/>
      <c r="E21" s="76"/>
      <c r="F21" s="1122"/>
      <c r="G21" s="126"/>
      <c r="H21" s="121"/>
      <c r="I21" s="729">
        <f>+'T1 GEN-2-3-4'!G41</f>
        <v>0</v>
      </c>
      <c r="J21" s="728">
        <v>2</v>
      </c>
      <c r="K21" s="121"/>
      <c r="L21" s="1508"/>
    </row>
    <row r="22" spans="1:12" ht="18">
      <c r="A22" s="1123" t="s">
        <v>955</v>
      </c>
      <c r="B22" s="75"/>
      <c r="C22" s="75"/>
      <c r="D22" s="75"/>
      <c r="E22" s="76"/>
      <c r="F22" s="1122"/>
      <c r="G22" s="126"/>
      <c r="H22" s="121"/>
      <c r="I22" s="392">
        <f>+I20+I21</f>
        <v>0</v>
      </c>
      <c r="J22" s="728">
        <v>3</v>
      </c>
      <c r="K22" s="121"/>
      <c r="L22" s="1508"/>
    </row>
    <row r="23" spans="1:12" ht="18.75" thickBot="1">
      <c r="A23" s="1121" t="s">
        <v>311</v>
      </c>
      <c r="B23" s="75"/>
      <c r="C23" s="75"/>
      <c r="D23" s="75"/>
      <c r="E23" s="76"/>
      <c r="F23" s="1122"/>
      <c r="G23" s="1123"/>
      <c r="H23" s="133"/>
      <c r="I23" s="789">
        <f>'T4A(OAS)'!E35</f>
        <v>0</v>
      </c>
      <c r="J23" s="728">
        <v>4</v>
      </c>
      <c r="K23" s="121"/>
      <c r="L23" s="1508"/>
    </row>
    <row r="24" spans="1:12" ht="18.75" thickBot="1">
      <c r="A24" s="1123" t="s">
        <v>582</v>
      </c>
      <c r="B24" s="75"/>
      <c r="C24" s="75"/>
      <c r="D24" s="75"/>
      <c r="E24" s="76"/>
      <c r="F24" s="1122"/>
      <c r="G24" s="126"/>
      <c r="H24" s="121"/>
      <c r="I24" s="790">
        <f>MAXA(0,(+I22-I23))</f>
        <v>0</v>
      </c>
      <c r="J24" s="728">
        <v>5</v>
      </c>
      <c r="K24" s="121"/>
      <c r="L24" s="1508"/>
    </row>
    <row r="25" spans="1:12" ht="18.75" thickTop="1">
      <c r="A25" s="134"/>
      <c r="B25" s="121"/>
      <c r="C25" s="121"/>
      <c r="D25" s="121"/>
      <c r="E25" s="121"/>
      <c r="F25" s="136"/>
      <c r="G25" s="124"/>
      <c r="H25" s="121"/>
      <c r="I25" s="121"/>
      <c r="J25" s="121"/>
      <c r="K25" s="121"/>
      <c r="L25" s="1508"/>
    </row>
    <row r="26" spans="1:12" ht="18">
      <c r="A26" s="1121" t="s">
        <v>928</v>
      </c>
      <c r="B26" s="75"/>
      <c r="C26" s="75"/>
      <c r="D26" s="75"/>
      <c r="E26" s="75"/>
      <c r="F26" s="1120"/>
      <c r="G26" s="125"/>
      <c r="H26" s="121"/>
      <c r="I26" s="392">
        <f>+'T1 GEN-2-3-4'!K85</f>
        <v>0</v>
      </c>
      <c r="J26" s="728">
        <v>6</v>
      </c>
      <c r="K26" s="121"/>
      <c r="L26" s="1508"/>
    </row>
    <row r="27" spans="1:12" ht="18">
      <c r="A27" s="1121" t="s">
        <v>407</v>
      </c>
      <c r="B27" s="75"/>
      <c r="C27" s="75"/>
      <c r="D27" s="75"/>
      <c r="E27" s="126"/>
      <c r="F27" s="112"/>
      <c r="G27" s="590">
        <f>'T4E'!E78</f>
        <v>0</v>
      </c>
      <c r="H27" s="728">
        <v>7</v>
      </c>
      <c r="I27" s="121"/>
      <c r="J27" s="124"/>
      <c r="K27" s="121"/>
      <c r="L27" s="1508"/>
    </row>
    <row r="28" spans="1:12" ht="18.75" thickBot="1">
      <c r="A28" s="1121" t="s">
        <v>408</v>
      </c>
      <c r="B28" s="75"/>
      <c r="C28" s="75"/>
      <c r="D28" s="75"/>
      <c r="E28" s="126"/>
      <c r="F28" s="112"/>
      <c r="G28" s="729">
        <f>'T1 GEN-2-3-4'!I21</f>
        <v>0</v>
      </c>
      <c r="H28" s="728">
        <v>8</v>
      </c>
      <c r="I28" s="121"/>
      <c r="J28" s="124"/>
      <c r="K28" s="121"/>
      <c r="L28" s="1508"/>
    </row>
    <row r="29" spans="1:12" ht="18.75" thickBot="1">
      <c r="A29" s="1121" t="s">
        <v>28</v>
      </c>
      <c r="B29" s="75"/>
      <c r="C29" s="75"/>
      <c r="D29" s="75"/>
      <c r="E29" s="126"/>
      <c r="F29" s="112"/>
      <c r="G29" s="833">
        <f>G27+G28</f>
        <v>0</v>
      </c>
      <c r="H29" s="1150" t="s">
        <v>410</v>
      </c>
      <c r="I29" s="789">
        <f>G29</f>
        <v>0</v>
      </c>
      <c r="J29" s="728">
        <v>9</v>
      </c>
      <c r="K29" s="121"/>
      <c r="L29" s="1508"/>
    </row>
    <row r="30" spans="1:12" ht="18">
      <c r="A30" s="1123" t="s">
        <v>409</v>
      </c>
      <c r="B30" s="75"/>
      <c r="C30" s="75"/>
      <c r="D30" s="75"/>
      <c r="E30" s="125"/>
      <c r="F30" s="125"/>
      <c r="G30" s="126"/>
      <c r="H30" s="121"/>
      <c r="I30" s="833">
        <f>I26-I29</f>
        <v>0</v>
      </c>
      <c r="J30" s="728">
        <v>10</v>
      </c>
      <c r="K30" s="121"/>
      <c r="L30" s="1508"/>
    </row>
    <row r="31" spans="1:12" ht="18">
      <c r="A31" s="1123" t="s">
        <v>29</v>
      </c>
      <c r="B31" s="75"/>
      <c r="C31" s="75"/>
      <c r="D31" s="75"/>
      <c r="E31" s="125"/>
      <c r="F31" s="125"/>
      <c r="G31" s="126"/>
      <c r="H31" s="121"/>
      <c r="I31" s="594">
        <f>'T1 GEN-2-3-4'!I69</f>
        <v>0</v>
      </c>
      <c r="J31" s="728">
        <v>11</v>
      </c>
      <c r="K31" s="121"/>
      <c r="L31" s="1508"/>
    </row>
    <row r="32" spans="1:12" ht="18">
      <c r="A32" s="1123" t="s">
        <v>1891</v>
      </c>
      <c r="B32" s="75"/>
      <c r="C32" s="75"/>
      <c r="D32" s="75"/>
      <c r="E32" s="125"/>
      <c r="F32" s="125"/>
      <c r="G32" s="126"/>
      <c r="H32" s="121"/>
      <c r="I32" s="590">
        <f>I30+I31</f>
        <v>0</v>
      </c>
      <c r="J32" s="728">
        <v>12</v>
      </c>
      <c r="K32" s="121"/>
      <c r="L32" s="1508"/>
    </row>
    <row r="33" spans="1:12" ht="18.75" thickBot="1">
      <c r="A33" s="1123" t="s">
        <v>60</v>
      </c>
      <c r="B33" s="75"/>
      <c r="C33" s="75"/>
      <c r="D33" s="75"/>
      <c r="E33" s="126"/>
      <c r="F33" s="126"/>
      <c r="G33" s="1147"/>
      <c r="H33" s="728"/>
      <c r="I33" s="789">
        <v>63511</v>
      </c>
      <c r="J33" s="728">
        <v>13</v>
      </c>
      <c r="K33" s="121"/>
      <c r="L33" s="1508"/>
    </row>
    <row r="34" spans="1:12" ht="18">
      <c r="A34" s="1123" t="s">
        <v>30</v>
      </c>
      <c r="B34" s="75"/>
      <c r="C34" s="75"/>
      <c r="D34" s="75"/>
      <c r="E34" s="126"/>
      <c r="F34" s="126"/>
      <c r="G34" s="126"/>
      <c r="H34" s="121"/>
      <c r="I34" s="392">
        <f>MAXA(0,(I32-I33))</f>
        <v>0</v>
      </c>
      <c r="J34" s="728">
        <v>14</v>
      </c>
      <c r="K34" s="121"/>
      <c r="L34" s="1508"/>
    </row>
    <row r="35" spans="1:12" ht="18.75" thickBot="1">
      <c r="A35" s="1123" t="s">
        <v>31</v>
      </c>
      <c r="B35" s="75"/>
      <c r="C35" s="75"/>
      <c r="D35" s="75"/>
      <c r="E35" s="126"/>
      <c r="F35" s="126"/>
      <c r="G35" s="126"/>
      <c r="H35" s="121"/>
      <c r="I35" s="791">
        <f>+I34*0.15</f>
        <v>0</v>
      </c>
      <c r="J35" s="728">
        <v>15</v>
      </c>
      <c r="K35" s="121"/>
      <c r="L35" s="1508"/>
    </row>
    <row r="36" spans="1:12" ht="15.75" thickTop="1">
      <c r="A36" s="82"/>
      <c r="B36" s="121"/>
      <c r="C36" s="121"/>
      <c r="D36" s="121"/>
      <c r="E36" s="121"/>
      <c r="F36" s="136"/>
      <c r="G36" s="124"/>
      <c r="H36" s="121"/>
      <c r="I36" s="121"/>
      <c r="J36" s="124"/>
      <c r="K36" s="121"/>
      <c r="L36" s="1508"/>
    </row>
    <row r="37" spans="1:12" ht="18">
      <c r="A37" s="1121" t="s">
        <v>32</v>
      </c>
      <c r="B37" s="75"/>
      <c r="C37" s="75"/>
      <c r="D37" s="75"/>
      <c r="E37" s="125"/>
      <c r="F37" s="125"/>
      <c r="G37" s="125"/>
      <c r="H37" s="121"/>
      <c r="I37" s="392">
        <f>MINA(I24,I35)</f>
        <v>0</v>
      </c>
      <c r="J37" s="728">
        <v>16</v>
      </c>
      <c r="K37" s="121"/>
      <c r="L37" s="1508"/>
    </row>
    <row r="38" spans="1:12" ht="18.75" thickBot="1">
      <c r="A38" s="1123" t="s">
        <v>1112</v>
      </c>
      <c r="B38" s="75"/>
      <c r="C38" s="75"/>
      <c r="D38" s="75"/>
      <c r="E38" s="126"/>
      <c r="F38" s="126"/>
      <c r="G38" s="126"/>
      <c r="H38" s="121"/>
      <c r="I38" s="729">
        <f>+G27</f>
        <v>0</v>
      </c>
      <c r="J38" s="728">
        <v>17</v>
      </c>
      <c r="K38" s="121"/>
      <c r="L38" s="1508"/>
    </row>
    <row r="39" spans="1:12" ht="18">
      <c r="A39" s="1121" t="s">
        <v>33</v>
      </c>
      <c r="B39" s="75"/>
      <c r="C39" s="75"/>
      <c r="D39" s="75"/>
      <c r="E39" s="126"/>
      <c r="F39" s="126"/>
      <c r="G39" s="126"/>
      <c r="H39" s="121"/>
      <c r="I39" s="392">
        <f>+I37+I38</f>
        <v>0</v>
      </c>
      <c r="J39" s="728">
        <v>18</v>
      </c>
      <c r="K39" s="121"/>
      <c r="L39" s="1508"/>
    </row>
    <row r="40" spans="1:12" ht="9.75" customHeight="1">
      <c r="A40" s="82"/>
      <c r="B40" s="82"/>
      <c r="C40" s="82"/>
      <c r="D40" s="82"/>
      <c r="E40" s="82"/>
      <c r="F40" s="82"/>
      <c r="G40" s="124"/>
      <c r="H40" s="121"/>
      <c r="I40" s="121"/>
      <c r="J40" s="121"/>
      <c r="K40" s="121"/>
      <c r="L40" s="1508"/>
    </row>
    <row r="41" spans="1:12" ht="4.5" customHeight="1">
      <c r="A41" s="1124"/>
      <c r="B41" s="1125"/>
      <c r="C41" s="1125"/>
      <c r="D41" s="1125"/>
      <c r="E41" s="1125"/>
      <c r="F41" s="1125"/>
      <c r="G41" s="1146"/>
      <c r="H41" s="1140"/>
      <c r="I41" s="1140"/>
      <c r="J41" s="1140"/>
      <c r="K41" s="121"/>
      <c r="L41" s="1508"/>
    </row>
    <row r="42" spans="1:12" ht="9.75" customHeight="1">
      <c r="A42" s="121"/>
      <c r="B42" s="78"/>
      <c r="C42" s="78"/>
      <c r="D42" s="78"/>
      <c r="E42" s="78"/>
      <c r="F42" s="78"/>
      <c r="G42" s="124"/>
      <c r="H42" s="853"/>
      <c r="I42" s="853"/>
      <c r="J42" s="853"/>
      <c r="K42" s="121"/>
      <c r="L42" s="1508"/>
    </row>
    <row r="43" spans="1:12" ht="20.25">
      <c r="A43" s="1119" t="s">
        <v>1364</v>
      </c>
      <c r="B43" s="78"/>
      <c r="C43" s="78"/>
      <c r="D43" s="78"/>
      <c r="E43" s="78"/>
      <c r="F43" s="139"/>
      <c r="G43" s="114"/>
      <c r="H43" s="114"/>
      <c r="I43" s="114"/>
      <c r="J43" s="114"/>
      <c r="K43" s="78"/>
      <c r="L43" s="1508"/>
    </row>
    <row r="44" spans="1:12" ht="18">
      <c r="A44" s="1121" t="s">
        <v>1365</v>
      </c>
      <c r="B44" s="75"/>
      <c r="C44" s="75"/>
      <c r="D44" s="75"/>
      <c r="E44" s="75"/>
      <c r="F44" s="1120"/>
      <c r="G44" s="1121"/>
      <c r="H44" s="114"/>
      <c r="I44" s="392">
        <f>5177*fract</f>
        <v>5177</v>
      </c>
      <c r="J44" s="728">
        <v>1</v>
      </c>
      <c r="K44" s="78"/>
      <c r="L44" s="1508"/>
    </row>
    <row r="45" spans="1:12" ht="18">
      <c r="A45" s="1123" t="s">
        <v>2164</v>
      </c>
      <c r="B45" s="76"/>
      <c r="C45" s="76"/>
      <c r="D45" s="76"/>
      <c r="E45" s="76"/>
      <c r="F45" s="139"/>
      <c r="G45" s="392">
        <f>+'T1 GEN-2-3-4'!K89</f>
        <v>0</v>
      </c>
      <c r="H45" s="728">
        <v>2</v>
      </c>
      <c r="I45" s="114"/>
      <c r="J45" s="114"/>
      <c r="K45" s="78"/>
      <c r="L45" s="1508"/>
    </row>
    <row r="46" spans="1:12" ht="18.75" thickBot="1">
      <c r="A46" s="1121" t="s">
        <v>60</v>
      </c>
      <c r="B46" s="76"/>
      <c r="C46" s="76"/>
      <c r="D46" s="76"/>
      <c r="E46" s="76"/>
      <c r="F46" s="139"/>
      <c r="G46" s="789">
        <f>30936*fract</f>
        <v>30936</v>
      </c>
      <c r="H46" s="728">
        <v>3</v>
      </c>
      <c r="I46" s="114"/>
      <c r="J46" s="114"/>
      <c r="K46" s="78"/>
      <c r="L46" s="1508"/>
    </row>
    <row r="47" spans="1:12" ht="18">
      <c r="A47" s="1121" t="s">
        <v>2471</v>
      </c>
      <c r="B47" s="76"/>
      <c r="C47" s="76"/>
      <c r="D47" s="76"/>
      <c r="E47" s="76"/>
      <c r="F47" s="139"/>
      <c r="G47" s="392">
        <f>+MAXA(0,(G45-G46))</f>
        <v>0</v>
      </c>
      <c r="H47" s="728">
        <v>4</v>
      </c>
      <c r="I47" s="114"/>
      <c r="J47" s="114"/>
      <c r="K47" s="78"/>
      <c r="L47" s="1508"/>
    </row>
    <row r="48" spans="1:12" ht="18.75" thickBot="1">
      <c r="A48" s="1121" t="s">
        <v>86</v>
      </c>
      <c r="B48" s="76"/>
      <c r="C48" s="76"/>
      <c r="D48" s="76"/>
      <c r="E48" s="76"/>
      <c r="F48" s="139"/>
      <c r="G48" s="114"/>
      <c r="H48" s="114"/>
      <c r="I48" s="789">
        <f>+G47*0.15</f>
        <v>0</v>
      </c>
      <c r="J48" s="728">
        <v>5</v>
      </c>
      <c r="K48" s="78"/>
      <c r="L48" s="1508"/>
    </row>
    <row r="49" spans="1:12" ht="18">
      <c r="A49" s="1121" t="s">
        <v>1512</v>
      </c>
      <c r="B49" s="76"/>
      <c r="C49" s="76"/>
      <c r="D49" s="76"/>
      <c r="E49" s="76"/>
      <c r="F49" s="1122"/>
      <c r="G49" s="1123"/>
      <c r="H49" s="114"/>
      <c r="I49" s="392">
        <f>+MAXA(0,(I44-I48))</f>
        <v>5177</v>
      </c>
      <c r="J49" s="728">
        <v>6</v>
      </c>
      <c r="K49" s="78"/>
      <c r="L49" s="1508"/>
    </row>
    <row r="50" spans="1:12" ht="4.5" customHeight="1">
      <c r="A50" s="121"/>
      <c r="B50" s="78"/>
      <c r="C50" s="78"/>
      <c r="D50" s="78"/>
      <c r="E50" s="78"/>
      <c r="F50" s="139"/>
      <c r="G50" s="114"/>
      <c r="H50" s="114"/>
      <c r="I50" s="114"/>
      <c r="J50" s="114"/>
      <c r="K50" s="78"/>
      <c r="L50" s="1508"/>
    </row>
    <row r="51" spans="1:12" ht="4.5" customHeight="1">
      <c r="A51" s="1124"/>
      <c r="B51" s="1125"/>
      <c r="C51" s="1125"/>
      <c r="D51" s="1125"/>
      <c r="E51" s="1125"/>
      <c r="F51" s="1126"/>
      <c r="G51" s="1127"/>
      <c r="H51" s="1127"/>
      <c r="I51" s="1127"/>
      <c r="J51" s="1127"/>
      <c r="K51" s="78"/>
      <c r="L51" s="1508"/>
    </row>
    <row r="52" spans="1:12" ht="18">
      <c r="A52" s="121"/>
      <c r="B52" s="78"/>
      <c r="C52" s="78"/>
      <c r="D52" s="78"/>
      <c r="E52" s="78"/>
      <c r="F52" s="139"/>
      <c r="G52" s="114"/>
      <c r="H52" s="114"/>
      <c r="I52" s="114"/>
      <c r="J52" s="114"/>
      <c r="K52" s="78"/>
      <c r="L52" s="1508"/>
    </row>
    <row r="53" spans="1:12" ht="20.25">
      <c r="A53" s="1119" t="s">
        <v>1259</v>
      </c>
      <c r="B53" s="1125"/>
      <c r="C53" s="1125"/>
      <c r="D53" s="1125"/>
      <c r="E53" s="1125"/>
      <c r="F53" s="139"/>
      <c r="G53" s="114"/>
      <c r="H53" s="114"/>
      <c r="I53" s="114"/>
      <c r="J53" s="114"/>
      <c r="K53" s="78"/>
      <c r="L53" s="1508"/>
    </row>
    <row r="54" spans="1:12" ht="18">
      <c r="A54" s="133" t="str">
        <f>"If your dependant's net income for "&amp;yeartext&amp;" was $9,721 or more, you cannot make a claim."</f>
        <v>If your dependant's net income for 2007 was $9,721 or more, you cannot make a claim.</v>
      </c>
      <c r="B54" s="78"/>
      <c r="C54" s="78"/>
      <c r="D54" s="78"/>
      <c r="E54" s="78"/>
      <c r="F54" s="139"/>
      <c r="G54" s="114"/>
      <c r="H54" s="114"/>
      <c r="I54" s="114"/>
      <c r="J54" s="114"/>
      <c r="K54" s="78"/>
      <c r="L54" s="1508"/>
    </row>
    <row r="55" spans="1:12" ht="18">
      <c r="A55" s="1121" t="s">
        <v>60</v>
      </c>
      <c r="B55" s="75"/>
      <c r="C55" s="75"/>
      <c r="D55" s="75"/>
      <c r="E55" s="75"/>
      <c r="F55" s="1120"/>
      <c r="G55" s="1121"/>
      <c r="H55" s="114"/>
      <c r="I55" s="1067">
        <f>9721*fract</f>
        <v>9721</v>
      </c>
      <c r="J55" s="728">
        <v>1</v>
      </c>
      <c r="K55" s="78"/>
      <c r="L55" s="1508"/>
    </row>
    <row r="56" spans="1:12" ht="18.75" thickBot="1">
      <c r="A56" s="1123" t="s">
        <v>1896</v>
      </c>
      <c r="B56" s="76"/>
      <c r="C56" s="76"/>
      <c r="D56" s="76"/>
      <c r="E56" s="76"/>
      <c r="F56" s="1122"/>
      <c r="G56" s="1123"/>
      <c r="H56" s="114"/>
      <c r="I56" s="1068"/>
      <c r="J56" s="728">
        <v>2</v>
      </c>
      <c r="K56" s="78"/>
      <c r="L56" s="1508"/>
    </row>
    <row r="57" spans="1:12" ht="18">
      <c r="A57" s="1123" t="s">
        <v>312</v>
      </c>
      <c r="B57" s="76"/>
      <c r="C57" s="76"/>
      <c r="D57" s="76"/>
      <c r="E57" s="76"/>
      <c r="F57" s="1122"/>
      <c r="G57" s="1123"/>
      <c r="H57" s="114"/>
      <c r="I57" s="1067">
        <f>MAX(0,MINA(4019*fract,I55-I56))</f>
        <v>4019</v>
      </c>
      <c r="J57" s="728">
        <v>3</v>
      </c>
      <c r="K57" s="78"/>
      <c r="L57" s="1508"/>
    </row>
    <row r="58" spans="1:12" ht="18.75" thickBot="1">
      <c r="A58" s="1121" t="s">
        <v>1501</v>
      </c>
      <c r="B58" s="76"/>
      <c r="C58" s="76"/>
      <c r="D58" s="76"/>
      <c r="E58" s="76"/>
      <c r="F58" s="1122"/>
      <c r="G58" s="1123"/>
      <c r="H58" s="114"/>
      <c r="I58" s="1069"/>
      <c r="J58" s="728">
        <v>4</v>
      </c>
      <c r="K58" s="78"/>
      <c r="L58" s="1508"/>
    </row>
    <row r="59" spans="1:12" ht="18">
      <c r="A59" s="1121" t="s">
        <v>1502</v>
      </c>
      <c r="B59" s="76"/>
      <c r="C59" s="76"/>
      <c r="D59" s="76"/>
      <c r="E59" s="76"/>
      <c r="F59" s="1122"/>
      <c r="G59" s="1123"/>
      <c r="H59" s="114"/>
      <c r="I59" s="1066">
        <f>MAXA(0,(I57-I58))</f>
        <v>4019</v>
      </c>
      <c r="J59" s="728">
        <v>5</v>
      </c>
      <c r="K59" s="78"/>
      <c r="L59" s="1508"/>
    </row>
    <row r="60" spans="1:12" ht="18">
      <c r="A60" s="853" t="s">
        <v>1051</v>
      </c>
      <c r="B60" s="78"/>
      <c r="C60" s="78"/>
      <c r="D60" s="78"/>
      <c r="E60" s="78"/>
      <c r="F60" s="139"/>
      <c r="G60" s="114"/>
      <c r="H60" s="114"/>
      <c r="I60" s="114"/>
      <c r="J60" s="114"/>
      <c r="K60" s="78"/>
      <c r="L60" s="1508"/>
    </row>
    <row r="61" spans="1:12" ht="18">
      <c r="A61" s="133" t="s">
        <v>1260</v>
      </c>
      <c r="B61" s="78"/>
      <c r="C61" s="78"/>
      <c r="D61" s="78"/>
      <c r="E61" s="78"/>
      <c r="F61" s="139"/>
      <c r="G61" s="121"/>
      <c r="H61" s="491" t="s">
        <v>2444</v>
      </c>
      <c r="I61" s="489">
        <f>I59</f>
        <v>4019</v>
      </c>
      <c r="J61" s="114"/>
      <c r="K61" s="78"/>
      <c r="L61" s="1508"/>
    </row>
    <row r="62" spans="1:12" ht="18">
      <c r="A62" s="133" t="s">
        <v>1935</v>
      </c>
      <c r="B62" s="78"/>
      <c r="C62" s="78"/>
      <c r="D62" s="78"/>
      <c r="E62" s="78"/>
      <c r="F62" s="139"/>
      <c r="G62" s="114"/>
      <c r="H62" s="114"/>
      <c r="I62" s="114"/>
      <c r="J62" s="114"/>
      <c r="K62" s="78"/>
      <c r="L62" s="1508"/>
    </row>
    <row r="63" spans="1:12" ht="18">
      <c r="A63" s="492" t="s">
        <v>244</v>
      </c>
      <c r="B63" s="1128"/>
      <c r="C63" s="1128"/>
      <c r="D63" s="1128"/>
      <c r="E63" s="1128"/>
      <c r="F63" s="139"/>
      <c r="G63" s="114"/>
      <c r="H63" s="114"/>
      <c r="I63" s="114"/>
      <c r="J63" s="114"/>
      <c r="K63" s="78"/>
      <c r="L63" s="1508"/>
    </row>
    <row r="64" spans="1:12" ht="18">
      <c r="A64" s="492" t="s">
        <v>1362</v>
      </c>
      <c r="B64" s="1128"/>
      <c r="C64" s="1128"/>
      <c r="D64" s="1128"/>
      <c r="E64" s="1128"/>
      <c r="F64" s="139"/>
      <c r="G64" s="114"/>
      <c r="H64" s="114"/>
      <c r="I64" s="114"/>
      <c r="J64" s="114"/>
      <c r="K64" s="78"/>
      <c r="L64" s="1508"/>
    </row>
    <row r="65" spans="1:12" ht="4.5" customHeight="1">
      <c r="A65" s="121"/>
      <c r="B65" s="78"/>
      <c r="C65" s="78"/>
      <c r="D65" s="78"/>
      <c r="E65" s="78"/>
      <c r="F65" s="139"/>
      <c r="G65" s="114"/>
      <c r="H65" s="114"/>
      <c r="I65" s="114"/>
      <c r="J65" s="114"/>
      <c r="K65" s="78"/>
      <c r="L65" s="1508"/>
    </row>
    <row r="66" spans="1:12" ht="4.5" customHeight="1">
      <c r="A66" s="1124"/>
      <c r="B66" s="1125"/>
      <c r="C66" s="1125"/>
      <c r="D66" s="1125"/>
      <c r="E66" s="1125"/>
      <c r="F66" s="1126"/>
      <c r="G66" s="1127"/>
      <c r="H66" s="1127"/>
      <c r="I66" s="1127"/>
      <c r="J66" s="1127"/>
      <c r="K66" s="78"/>
      <c r="L66" s="1508"/>
    </row>
    <row r="67" spans="1:12" ht="9.75" customHeight="1">
      <c r="A67" s="121"/>
      <c r="B67" s="78"/>
      <c r="C67" s="78"/>
      <c r="D67" s="78"/>
      <c r="E67" s="78"/>
      <c r="F67" s="139"/>
      <c r="G67" s="114"/>
      <c r="H67" s="114"/>
      <c r="I67" s="114"/>
      <c r="J67" s="114"/>
      <c r="K67" s="78"/>
      <c r="L67" s="1508"/>
    </row>
    <row r="68" spans="1:12" ht="20.25">
      <c r="A68" s="1119" t="s">
        <v>2129</v>
      </c>
      <c r="B68" s="1124"/>
      <c r="C68" s="121"/>
      <c r="D68" s="121"/>
      <c r="E68" s="121"/>
      <c r="F68" s="136"/>
      <c r="G68" s="124"/>
      <c r="H68" s="121"/>
      <c r="I68" s="121"/>
      <c r="J68" s="121"/>
      <c r="K68" s="78"/>
      <c r="L68" s="1508"/>
    </row>
    <row r="69" spans="1:12" ht="18">
      <c r="A69" s="1121" t="s">
        <v>2130</v>
      </c>
      <c r="B69" s="75"/>
      <c r="C69" s="75"/>
      <c r="D69" s="75"/>
      <c r="E69" s="75"/>
      <c r="F69" s="1120"/>
      <c r="G69" s="125"/>
      <c r="H69" s="121"/>
      <c r="I69" s="392">
        <f>+'T1 GEN-2-3-4'!I19</f>
        <v>0</v>
      </c>
      <c r="J69" s="136">
        <v>1</v>
      </c>
      <c r="K69" s="78"/>
      <c r="L69" s="1508"/>
    </row>
    <row r="70" spans="1:12" ht="18">
      <c r="A70" s="1121" t="s">
        <v>2041</v>
      </c>
      <c r="B70" s="75"/>
      <c r="C70" s="75"/>
      <c r="D70" s="75"/>
      <c r="E70" s="75"/>
      <c r="F70" s="136"/>
      <c r="G70" s="131"/>
      <c r="H70" s="136">
        <v>2</v>
      </c>
      <c r="I70" s="121"/>
      <c r="J70" s="121"/>
      <c r="K70" s="78"/>
      <c r="L70" s="1508"/>
    </row>
    <row r="71" spans="1:12" ht="18">
      <c r="A71" s="1121" t="s">
        <v>2042</v>
      </c>
      <c r="B71" s="76"/>
      <c r="C71" s="76"/>
      <c r="D71" s="76"/>
      <c r="E71" s="76"/>
      <c r="F71" s="136"/>
      <c r="G71" s="132"/>
      <c r="H71" s="136">
        <v>3</v>
      </c>
      <c r="I71" s="121"/>
      <c r="J71" s="121"/>
      <c r="K71" s="78"/>
      <c r="L71" s="1508"/>
    </row>
    <row r="72" spans="1:12" ht="18">
      <c r="A72" s="134" t="s">
        <v>2043</v>
      </c>
      <c r="B72" s="82"/>
      <c r="C72" s="82"/>
      <c r="D72" s="121"/>
      <c r="E72" s="121"/>
      <c r="F72" s="136"/>
      <c r="G72" s="124"/>
      <c r="H72" s="136"/>
      <c r="I72" s="121"/>
      <c r="J72" s="121"/>
      <c r="K72" s="78"/>
      <c r="L72" s="1508"/>
    </row>
    <row r="73" spans="1:12" ht="18.75" thickBot="1">
      <c r="A73" s="1121" t="s">
        <v>2044</v>
      </c>
      <c r="B73" s="75"/>
      <c r="C73" s="75"/>
      <c r="D73" s="75"/>
      <c r="E73" s="75"/>
      <c r="F73" s="136"/>
      <c r="G73" s="730"/>
      <c r="H73" s="136">
        <v>4</v>
      </c>
      <c r="I73" s="121"/>
      <c r="J73" s="121"/>
      <c r="K73" s="78"/>
      <c r="L73" s="1508"/>
    </row>
    <row r="74" spans="1:12" ht="18.75" thickBot="1">
      <c r="A74" s="1121" t="s">
        <v>313</v>
      </c>
      <c r="B74" s="76"/>
      <c r="C74" s="76"/>
      <c r="D74" s="76"/>
      <c r="E74" s="76"/>
      <c r="F74" s="136"/>
      <c r="G74" s="392">
        <f>+G70+G71+G73</f>
        <v>0</v>
      </c>
      <c r="H74" s="1150" t="s">
        <v>410</v>
      </c>
      <c r="I74" s="789">
        <f>G74</f>
        <v>0</v>
      </c>
      <c r="J74" s="136">
        <v>5</v>
      </c>
      <c r="K74" s="78"/>
      <c r="L74" s="1508"/>
    </row>
    <row r="75" spans="1:12" ht="18">
      <c r="A75" s="1121" t="s">
        <v>314</v>
      </c>
      <c r="B75" s="75"/>
      <c r="C75" s="75"/>
      <c r="D75" s="75"/>
      <c r="E75" s="75"/>
      <c r="F75" s="1120"/>
      <c r="G75" s="125"/>
      <c r="H75" s="853"/>
      <c r="I75" s="392">
        <f>+I69-I74</f>
        <v>0</v>
      </c>
      <c r="J75" s="136">
        <v>6</v>
      </c>
      <c r="K75" s="78"/>
      <c r="L75" s="1508"/>
    </row>
    <row r="76" spans="1:12" ht="16.5">
      <c r="A76" s="859" t="s">
        <v>447</v>
      </c>
      <c r="B76" s="121"/>
      <c r="C76" s="121"/>
      <c r="D76" s="121"/>
      <c r="E76" s="121"/>
      <c r="F76" s="136"/>
      <c r="G76" s="124"/>
      <c r="H76" s="121"/>
      <c r="I76" s="121"/>
      <c r="J76" s="136"/>
      <c r="K76" s="78"/>
      <c r="L76" s="1508"/>
    </row>
    <row r="77" spans="1:12" ht="18.75" thickBot="1">
      <c r="A77" s="859" t="str">
        <f>"Dec. 31, "&amp;yeartext&amp;", or you received the payments because of the death of your spouse or common-law partner."</f>
        <v>Dec. 31, 2007, or you received the payments because of the death of your spouse or common-law partner.</v>
      </c>
      <c r="B77" s="121"/>
      <c r="C77" s="121"/>
      <c r="D77" s="121"/>
      <c r="E77" s="121"/>
      <c r="F77" s="136"/>
      <c r="G77" s="124"/>
      <c r="H77" s="121"/>
      <c r="I77" s="732">
        <f>MISC!L53</f>
        <v>0</v>
      </c>
      <c r="J77" s="136">
        <v>7</v>
      </c>
      <c r="K77" s="78"/>
      <c r="L77" s="1508"/>
    </row>
    <row r="78" spans="1:12" ht="18">
      <c r="A78" s="1123" t="s">
        <v>2460</v>
      </c>
      <c r="B78" s="76"/>
      <c r="C78" s="76"/>
      <c r="D78" s="76"/>
      <c r="E78" s="76"/>
      <c r="F78" s="1122"/>
      <c r="G78" s="126"/>
      <c r="H78" s="121"/>
      <c r="I78" s="392">
        <f>+I75+I77</f>
        <v>0</v>
      </c>
      <c r="J78" s="136" t="s">
        <v>315</v>
      </c>
      <c r="K78" s="78"/>
      <c r="L78" s="1508"/>
    </row>
    <row r="79" spans="1:12" ht="18">
      <c r="A79" s="133"/>
      <c r="B79" s="121"/>
      <c r="C79" s="121"/>
      <c r="D79" s="121"/>
      <c r="E79" s="121"/>
      <c r="F79" s="136"/>
      <c r="G79" s="124"/>
      <c r="H79" s="121"/>
      <c r="I79" s="121"/>
      <c r="J79" s="121"/>
      <c r="K79" s="78"/>
      <c r="L79" s="1508"/>
    </row>
    <row r="80" spans="1:12" ht="66.75" customHeight="1">
      <c r="A80" s="1585" t="s">
        <v>1864</v>
      </c>
      <c r="B80" s="1523"/>
      <c r="C80" s="1523"/>
      <c r="D80" s="1523"/>
      <c r="E80" s="1523"/>
      <c r="F80" s="1523"/>
      <c r="G80" s="1523"/>
      <c r="H80" s="1523"/>
      <c r="I80" s="1523"/>
      <c r="J80" s="1523"/>
      <c r="K80" s="78"/>
      <c r="L80" s="1508"/>
    </row>
    <row r="81" spans="1:12" ht="4.5" customHeight="1">
      <c r="A81" s="1134"/>
      <c r="B81" s="1124"/>
      <c r="C81" s="1124"/>
      <c r="D81" s="1124"/>
      <c r="E81" s="1124"/>
      <c r="F81" s="1145"/>
      <c r="G81" s="1146"/>
      <c r="H81" s="1124"/>
      <c r="I81" s="1124"/>
      <c r="J81" s="1124"/>
      <c r="K81" s="1125"/>
      <c r="L81" s="1508"/>
    </row>
    <row r="82" spans="1:12" ht="9.75" customHeight="1">
      <c r="A82" s="133"/>
      <c r="B82" s="121"/>
      <c r="C82" s="121"/>
      <c r="D82" s="121"/>
      <c r="E82" s="121"/>
      <c r="F82" s="136"/>
      <c r="G82" s="124"/>
      <c r="H82" s="121"/>
      <c r="I82" s="121"/>
      <c r="J82" s="121"/>
      <c r="K82" s="78"/>
      <c r="L82" s="1508"/>
    </row>
    <row r="83" spans="1:12" ht="20.25">
      <c r="A83" s="1119" t="s">
        <v>126</v>
      </c>
      <c r="B83" s="121"/>
      <c r="C83" s="121"/>
      <c r="D83" s="121"/>
      <c r="E83" s="121"/>
      <c r="F83" s="136"/>
      <c r="G83" s="124"/>
      <c r="H83" s="121"/>
      <c r="I83" s="121"/>
      <c r="J83" s="121"/>
      <c r="K83" s="78"/>
      <c r="L83" s="1508"/>
    </row>
    <row r="84" spans="1:12" ht="18">
      <c r="A84" s="133" t="str">
        <f>"If your dependant's net income for "&amp;yeartext&amp;" was $17,745 or more, you cannot make a claim."</f>
        <v>If your dependant's net income for 2007 was $17,745 or more, you cannot make a claim.</v>
      </c>
      <c r="B84" s="121"/>
      <c r="C84" s="121"/>
      <c r="D84" s="121"/>
      <c r="E84" s="121"/>
      <c r="F84" s="136"/>
      <c r="G84" s="124"/>
      <c r="H84" s="121"/>
      <c r="I84" s="121"/>
      <c r="J84" s="121"/>
      <c r="K84" s="78"/>
      <c r="L84" s="1508"/>
    </row>
    <row r="85" spans="1:12" ht="18">
      <c r="A85" s="1121" t="s">
        <v>60</v>
      </c>
      <c r="B85" s="75"/>
      <c r="C85" s="75"/>
      <c r="D85" s="75"/>
      <c r="E85" s="75"/>
      <c r="F85" s="1120"/>
      <c r="G85" s="125"/>
      <c r="H85" s="121"/>
      <c r="I85" s="392">
        <f>17745*fract</f>
        <v>17745</v>
      </c>
      <c r="J85" s="136">
        <v>1</v>
      </c>
      <c r="K85" s="78"/>
      <c r="L85" s="1508"/>
    </row>
    <row r="86" spans="1:12" ht="18.75" thickBot="1">
      <c r="A86" s="1123" t="s">
        <v>1896</v>
      </c>
      <c r="B86" s="75"/>
      <c r="C86" s="75"/>
      <c r="D86" s="75"/>
      <c r="E86" s="75"/>
      <c r="F86" s="1120"/>
      <c r="G86" s="125"/>
      <c r="H86" s="121"/>
      <c r="I86" s="731"/>
      <c r="J86" s="136">
        <v>2</v>
      </c>
      <c r="K86" s="78"/>
      <c r="L86" s="1508"/>
    </row>
    <row r="87" spans="1:12" ht="18">
      <c r="A87" s="1121" t="s">
        <v>302</v>
      </c>
      <c r="B87" s="75"/>
      <c r="C87" s="75"/>
      <c r="D87" s="75"/>
      <c r="E87" s="76"/>
      <c r="F87" s="1122"/>
      <c r="G87" s="126"/>
      <c r="H87" s="121"/>
      <c r="I87" s="392">
        <f>MINA(4019*fract,(I85-I86))</f>
        <v>4019</v>
      </c>
      <c r="J87" s="136">
        <v>3</v>
      </c>
      <c r="K87" s="78"/>
      <c r="L87" s="1508"/>
    </row>
    <row r="88" spans="1:12" ht="18.75" thickBot="1">
      <c r="A88" s="1121" t="s">
        <v>2045</v>
      </c>
      <c r="B88" s="75"/>
      <c r="C88" s="75"/>
      <c r="D88" s="75"/>
      <c r="E88" s="76"/>
      <c r="F88" s="1122"/>
      <c r="G88" s="126"/>
      <c r="H88" s="121"/>
      <c r="I88" s="730"/>
      <c r="J88" s="136">
        <v>4</v>
      </c>
      <c r="K88" s="78"/>
      <c r="L88" s="1508"/>
    </row>
    <row r="89" spans="1:12" ht="18">
      <c r="A89" s="1121" t="s">
        <v>1502</v>
      </c>
      <c r="B89" s="75"/>
      <c r="C89" s="75"/>
      <c r="D89" s="75"/>
      <c r="E89" s="76"/>
      <c r="F89" s="1122"/>
      <c r="G89" s="126"/>
      <c r="H89" s="121"/>
      <c r="I89" s="392">
        <f>MAXA(0,(+I87-I88))</f>
        <v>4019</v>
      </c>
      <c r="J89" s="136">
        <v>5</v>
      </c>
      <c r="K89" s="78"/>
      <c r="L89" s="1508"/>
    </row>
    <row r="90" spans="1:12" ht="27" customHeight="1">
      <c r="A90" s="853" t="s">
        <v>1051</v>
      </c>
      <c r="B90" s="121"/>
      <c r="C90" s="121"/>
      <c r="D90" s="121"/>
      <c r="E90" s="121"/>
      <c r="F90" s="136"/>
      <c r="G90" s="124"/>
      <c r="H90" s="121"/>
      <c r="I90" s="121"/>
      <c r="J90" s="136"/>
      <c r="K90" s="78"/>
      <c r="L90" s="1508"/>
    </row>
    <row r="91" spans="1:12" ht="18">
      <c r="A91" s="133" t="s">
        <v>2046</v>
      </c>
      <c r="B91" s="121"/>
      <c r="C91" s="121"/>
      <c r="D91" s="121"/>
      <c r="E91" s="121"/>
      <c r="F91" s="136"/>
      <c r="G91" s="124"/>
      <c r="H91" s="121"/>
      <c r="I91" s="131">
        <f>I89</f>
        <v>4019</v>
      </c>
      <c r="J91" s="136"/>
      <c r="K91" s="78"/>
      <c r="L91" s="1508"/>
    </row>
    <row r="92" spans="1:12" ht="18">
      <c r="A92" s="133" t="s">
        <v>2132</v>
      </c>
      <c r="B92" s="121"/>
      <c r="C92" s="121"/>
      <c r="D92" s="121"/>
      <c r="E92" s="121"/>
      <c r="F92" s="136"/>
      <c r="G92" s="124"/>
      <c r="H92" s="121"/>
      <c r="I92" s="121"/>
      <c r="J92" s="121"/>
      <c r="K92" s="78"/>
      <c r="L92" s="1508"/>
    </row>
    <row r="93" spans="1:12" ht="18">
      <c r="A93" s="492" t="s">
        <v>1798</v>
      </c>
      <c r="B93" s="5"/>
      <c r="C93" s="5"/>
      <c r="D93" s="5"/>
      <c r="E93" s="6"/>
      <c r="F93" s="136"/>
      <c r="G93" s="124"/>
      <c r="H93" s="121"/>
      <c r="I93" s="121"/>
      <c r="J93" s="121"/>
      <c r="K93" s="78"/>
      <c r="L93" s="1508"/>
    </row>
    <row r="94" spans="1:12" ht="18">
      <c r="A94" s="492" t="s">
        <v>1077</v>
      </c>
      <c r="B94" s="7"/>
      <c r="C94" s="7"/>
      <c r="D94" s="492"/>
      <c r="E94" s="492"/>
      <c r="F94" s="136"/>
      <c r="G94" s="124"/>
      <c r="H94" s="121"/>
      <c r="I94" s="121"/>
      <c r="J94" s="121"/>
      <c r="K94" s="78"/>
      <c r="L94" s="1508"/>
    </row>
    <row r="95" spans="1:12" ht="9.75" customHeight="1">
      <c r="A95" s="133"/>
      <c r="B95" s="121"/>
      <c r="C95" s="121"/>
      <c r="D95" s="121"/>
      <c r="E95" s="121"/>
      <c r="F95" s="136"/>
      <c r="G95" s="124"/>
      <c r="H95" s="124"/>
      <c r="I95" s="124"/>
      <c r="J95" s="124"/>
      <c r="K95" s="78"/>
      <c r="L95" s="1508"/>
    </row>
    <row r="96" spans="1:12" ht="4.5" customHeight="1">
      <c r="A96" s="1134"/>
      <c r="B96" s="1124"/>
      <c r="C96" s="1124"/>
      <c r="D96" s="1124"/>
      <c r="E96" s="1124"/>
      <c r="F96" s="1145"/>
      <c r="G96" s="1146"/>
      <c r="H96" s="1146"/>
      <c r="I96" s="1146"/>
      <c r="J96" s="1146"/>
      <c r="K96" s="1125"/>
      <c r="L96" s="1508"/>
    </row>
    <row r="97" spans="1:12" ht="9.75" customHeight="1">
      <c r="A97" s="133"/>
      <c r="B97" s="121"/>
      <c r="C97" s="121"/>
      <c r="D97" s="121"/>
      <c r="E97" s="121"/>
      <c r="F97" s="121"/>
      <c r="G97" s="124"/>
      <c r="H97" s="124"/>
      <c r="I97" s="124"/>
      <c r="J97" s="124"/>
      <c r="K97" s="78"/>
      <c r="L97" s="1508"/>
    </row>
    <row r="98" spans="1:12" ht="18">
      <c r="A98" s="1140" t="str">
        <f>"Line 316 - Disability amount (for self) (calculation if you were under age 18 on December 31, "&amp;yeartext&amp;")"</f>
        <v>Line 316 - Disability amount (for self) (calculation if you were under age 18 on December 31, 2007)</v>
      </c>
      <c r="B98" s="1124"/>
      <c r="C98" s="1124"/>
      <c r="D98" s="1124"/>
      <c r="E98" s="1124"/>
      <c r="F98" s="1124"/>
      <c r="G98" s="1146"/>
      <c r="H98" s="1146"/>
      <c r="I98" s="1146"/>
      <c r="J98" s="1146"/>
      <c r="K98" s="78"/>
      <c r="L98" s="1508"/>
    </row>
    <row r="99" spans="1:12" ht="18">
      <c r="A99" s="1121" t="s">
        <v>153</v>
      </c>
      <c r="B99" s="618"/>
      <c r="C99" s="618"/>
      <c r="D99" s="618"/>
      <c r="E99" s="618"/>
      <c r="F99" s="618"/>
      <c r="G99" s="125"/>
      <c r="H99" s="121"/>
      <c r="I99" s="392">
        <v>4019</v>
      </c>
      <c r="J99" s="792" t="s">
        <v>661</v>
      </c>
      <c r="K99" s="78"/>
      <c r="L99" s="1508"/>
    </row>
    <row r="100" spans="1:12" ht="18">
      <c r="A100" s="878" t="s">
        <v>2133</v>
      </c>
      <c r="B100" s="617"/>
      <c r="C100" s="112"/>
      <c r="D100" s="112"/>
      <c r="E100" s="112"/>
      <c r="F100" s="112"/>
      <c r="G100" s="131"/>
      <c r="H100" s="792" t="s">
        <v>698</v>
      </c>
      <c r="I100" s="617"/>
      <c r="J100" s="617"/>
      <c r="K100" s="78"/>
      <c r="L100" s="1508"/>
    </row>
    <row r="101" spans="1:12" ht="18.75" thickBot="1">
      <c r="A101" s="1121" t="s">
        <v>1684</v>
      </c>
      <c r="B101" s="621"/>
      <c r="C101" s="126"/>
      <c r="D101" s="126"/>
      <c r="E101" s="126"/>
      <c r="F101" s="112"/>
      <c r="G101" s="729">
        <v>2354</v>
      </c>
      <c r="H101" s="792" t="s">
        <v>699</v>
      </c>
      <c r="I101" s="617"/>
      <c r="J101" s="617"/>
      <c r="K101" s="78"/>
      <c r="L101" s="1508"/>
    </row>
    <row r="102" spans="1:12" ht="18.75" thickBot="1">
      <c r="A102" s="1121" t="s">
        <v>2471</v>
      </c>
      <c r="B102" s="621"/>
      <c r="C102" s="126"/>
      <c r="D102" s="126"/>
      <c r="E102" s="126"/>
      <c r="F102" s="112"/>
      <c r="G102" s="392">
        <f>MAXA(0,(G100-G101))</f>
        <v>0</v>
      </c>
      <c r="H102" s="1150" t="s">
        <v>410</v>
      </c>
      <c r="I102" s="789">
        <f>G102</f>
        <v>0</v>
      </c>
      <c r="J102" s="792" t="s">
        <v>700</v>
      </c>
      <c r="K102" s="78"/>
      <c r="L102" s="1508"/>
    </row>
    <row r="103" spans="1:12" ht="18">
      <c r="A103" s="1121" t="s">
        <v>630</v>
      </c>
      <c r="B103" s="621"/>
      <c r="C103" s="126"/>
      <c r="D103" s="126"/>
      <c r="E103" s="126"/>
      <c r="F103" s="112"/>
      <c r="G103" s="618"/>
      <c r="H103" s="618"/>
      <c r="I103" s="392">
        <f>MAXA(0,(I99-I102))</f>
        <v>4019</v>
      </c>
      <c r="J103" s="792" t="s">
        <v>701</v>
      </c>
      <c r="K103" s="78"/>
      <c r="L103" s="1508"/>
    </row>
    <row r="104" spans="1:12" ht="24" customHeight="1">
      <c r="A104" s="133" t="s">
        <v>303</v>
      </c>
      <c r="B104" s="617"/>
      <c r="C104" s="112"/>
      <c r="D104" s="112"/>
      <c r="E104" s="112"/>
      <c r="F104" s="112"/>
      <c r="G104" s="617"/>
      <c r="H104" s="617"/>
      <c r="I104" s="617"/>
      <c r="J104" s="617"/>
      <c r="K104" s="78"/>
      <c r="L104" s="1508"/>
    </row>
    <row r="105" spans="1:12" ht="18">
      <c r="A105" s="133" t="s">
        <v>1865</v>
      </c>
      <c r="B105" s="617"/>
      <c r="C105" s="112"/>
      <c r="D105" s="112"/>
      <c r="E105" s="112"/>
      <c r="F105" s="112"/>
      <c r="G105" s="617"/>
      <c r="H105" s="617"/>
      <c r="I105" s="392">
        <f>6890+IF(age&gt;=18,0,I103)</f>
        <v>6890</v>
      </c>
      <c r="J105" s="792"/>
      <c r="K105" s="78"/>
      <c r="L105" s="1508"/>
    </row>
    <row r="106" spans="1:12" ht="18">
      <c r="A106" s="492" t="s">
        <v>1797</v>
      </c>
      <c r="B106" s="793"/>
      <c r="C106" s="793"/>
      <c r="D106" s="793"/>
      <c r="E106" s="793"/>
      <c r="F106" s="617"/>
      <c r="G106" s="617"/>
      <c r="H106" s="617"/>
      <c r="I106" s="617"/>
      <c r="J106" s="617"/>
      <c r="K106" s="78"/>
      <c r="L106" s="1508"/>
    </row>
    <row r="107" spans="1:12" ht="18">
      <c r="A107" s="492" t="s">
        <v>1796</v>
      </c>
      <c r="B107" s="793"/>
      <c r="C107" s="793"/>
      <c r="D107" s="793"/>
      <c r="E107" s="793"/>
      <c r="F107" s="617"/>
      <c r="G107" s="617"/>
      <c r="H107" s="617"/>
      <c r="I107" s="617"/>
      <c r="J107" s="617"/>
      <c r="K107" s="78"/>
      <c r="L107" s="1508"/>
    </row>
    <row r="108" spans="1:12" ht="4.5" customHeight="1">
      <c r="A108" s="133"/>
      <c r="B108" s="133"/>
      <c r="C108" s="133"/>
      <c r="D108" s="133"/>
      <c r="E108" s="133"/>
      <c r="F108" s="133"/>
      <c r="G108" s="112"/>
      <c r="H108" s="112"/>
      <c r="I108" s="112"/>
      <c r="J108" s="112"/>
      <c r="K108" s="78"/>
      <c r="L108" s="1508"/>
    </row>
    <row r="109" spans="1:12" ht="4.5" customHeight="1">
      <c r="A109" s="1134"/>
      <c r="B109" s="1134"/>
      <c r="C109" s="1134"/>
      <c r="D109" s="1134"/>
      <c r="E109" s="1134"/>
      <c r="F109" s="1134"/>
      <c r="G109" s="1133"/>
      <c r="H109" s="1133"/>
      <c r="I109" s="1133"/>
      <c r="J109" s="1133"/>
      <c r="K109" s="78"/>
      <c r="L109" s="1508"/>
    </row>
    <row r="110" spans="1:12" ht="15" customHeight="1">
      <c r="A110" s="1135"/>
      <c r="B110" s="112"/>
      <c r="C110" s="112"/>
      <c r="D110" s="112"/>
      <c r="E110" s="112"/>
      <c r="F110" s="112"/>
      <c r="G110" s="112"/>
      <c r="H110" s="112"/>
      <c r="I110" s="112"/>
      <c r="J110" s="112"/>
      <c r="K110" s="78"/>
      <c r="L110" s="1508"/>
    </row>
    <row r="111" spans="1:12" ht="9.75" customHeight="1">
      <c r="A111" s="1135"/>
      <c r="B111" s="112"/>
      <c r="C111" s="112"/>
      <c r="D111" s="112"/>
      <c r="E111" s="112"/>
      <c r="F111" s="112"/>
      <c r="G111" s="112"/>
      <c r="H111" s="112"/>
      <c r="I111" s="112"/>
      <c r="J111" s="112"/>
      <c r="K111" s="78"/>
      <c r="L111" s="1508"/>
    </row>
    <row r="112" spans="1:12" ht="20.25">
      <c r="A112" s="1119" t="s">
        <v>2152</v>
      </c>
      <c r="B112" s="1133"/>
      <c r="C112" s="1133"/>
      <c r="D112" s="1133"/>
      <c r="E112" s="1133"/>
      <c r="F112" s="112"/>
      <c r="G112" s="112"/>
      <c r="H112" s="112"/>
      <c r="I112" s="112"/>
      <c r="J112" s="112"/>
      <c r="K112" s="78"/>
      <c r="L112" s="1508"/>
    </row>
    <row r="113" spans="1:10" ht="24.75" customHeight="1">
      <c r="A113" s="1121" t="s">
        <v>1684</v>
      </c>
      <c r="B113" s="112"/>
      <c r="C113" s="112"/>
      <c r="D113" s="112"/>
      <c r="E113" s="112"/>
      <c r="F113" s="112"/>
      <c r="G113" s="112"/>
      <c r="H113" s="112"/>
      <c r="I113" s="392">
        <f>6890*fract</f>
        <v>6890</v>
      </c>
      <c r="J113" s="136">
        <v>1</v>
      </c>
    </row>
    <row r="114" spans="1:10" ht="18">
      <c r="A114" s="133" t="str">
        <f>"If the dependant was under age 18 on December 31, "&amp;yeartext&amp;", enter the amount from line 5 of his"</f>
        <v>If the dependant was under age 18 on December 31, 2007, enter the amount from line 5 of his</v>
      </c>
      <c r="B114" s="1139"/>
      <c r="C114" s="1139"/>
      <c r="D114" s="1139"/>
      <c r="E114" s="1139"/>
      <c r="F114" s="1139"/>
      <c r="G114" s="1139"/>
      <c r="H114" s="112"/>
      <c r="I114" s="121"/>
      <c r="J114" s="121"/>
    </row>
    <row r="115" spans="1:10" ht="18.75" thickBot="1">
      <c r="A115" s="1121" t="s">
        <v>2176</v>
      </c>
      <c r="B115" s="125"/>
      <c r="C115" s="125"/>
      <c r="D115" s="125"/>
      <c r="E115" s="125"/>
      <c r="F115" s="125"/>
      <c r="G115" s="125"/>
      <c r="H115" s="112"/>
      <c r="I115" s="730"/>
      <c r="J115" s="1130" t="s">
        <v>698</v>
      </c>
    </row>
    <row r="116" spans="1:10" ht="18">
      <c r="A116" s="1121" t="s">
        <v>955</v>
      </c>
      <c r="B116" s="126"/>
      <c r="C116" s="126"/>
      <c r="D116" s="126"/>
      <c r="E116" s="126"/>
      <c r="F116" s="126"/>
      <c r="G116" s="126"/>
      <c r="H116" s="112"/>
      <c r="I116" s="392">
        <f>I113+I115</f>
        <v>6890</v>
      </c>
      <c r="J116" s="1130" t="s">
        <v>699</v>
      </c>
    </row>
    <row r="117" spans="1:10" ht="18.75" thickBot="1">
      <c r="A117" s="1121" t="s">
        <v>321</v>
      </c>
      <c r="B117" s="126"/>
      <c r="C117" s="126"/>
      <c r="D117" s="126"/>
      <c r="E117" s="126"/>
      <c r="F117" s="126"/>
      <c r="G117" s="126"/>
      <c r="H117" s="112"/>
      <c r="I117" s="730"/>
      <c r="J117" s="1131" t="s">
        <v>700</v>
      </c>
    </row>
    <row r="118" spans="1:10" ht="18">
      <c r="A118" s="1123" t="s">
        <v>2315</v>
      </c>
      <c r="B118" s="126"/>
      <c r="C118" s="126"/>
      <c r="D118" s="126"/>
      <c r="E118" s="126"/>
      <c r="F118" s="126"/>
      <c r="G118" s="126"/>
      <c r="H118" s="112"/>
      <c r="I118" s="392">
        <f>+I116+I117</f>
        <v>6890</v>
      </c>
      <c r="J118" s="1131" t="s">
        <v>701</v>
      </c>
    </row>
    <row r="119" spans="1:10" ht="18">
      <c r="A119" s="1121" t="s">
        <v>2153</v>
      </c>
      <c r="B119" s="126"/>
      <c r="C119" s="126"/>
      <c r="D119" s="126"/>
      <c r="E119" s="126"/>
      <c r="F119" s="126"/>
      <c r="G119" s="126"/>
      <c r="H119" s="112"/>
      <c r="I119" s="131"/>
      <c r="J119" s="1131" t="s">
        <v>702</v>
      </c>
    </row>
    <row r="120" spans="1:10" ht="18">
      <c r="A120" s="1123" t="s">
        <v>305</v>
      </c>
      <c r="B120" s="126"/>
      <c r="C120" s="126"/>
      <c r="D120" s="126"/>
      <c r="E120" s="126"/>
      <c r="F120" s="126"/>
      <c r="G120" s="126"/>
      <c r="H120" s="112"/>
      <c r="I120" s="590">
        <f>MAXA(0,(I118-I119))</f>
        <v>6890</v>
      </c>
      <c r="J120" s="1131" t="s">
        <v>64</v>
      </c>
    </row>
    <row r="121" spans="1:10" ht="21.75" customHeight="1">
      <c r="A121" s="134" t="s">
        <v>2154</v>
      </c>
      <c r="B121" s="1139"/>
      <c r="C121" s="1139"/>
      <c r="D121" s="1139"/>
      <c r="E121" s="1139"/>
      <c r="F121" s="1139"/>
      <c r="G121" s="1139"/>
      <c r="H121" s="112"/>
      <c r="I121" s="392">
        <f>MINA(I116,I120)</f>
        <v>6890</v>
      </c>
      <c r="J121" s="121"/>
    </row>
    <row r="122" spans="1:10" ht="18">
      <c r="A122" s="133"/>
      <c r="B122" s="112"/>
      <c r="C122" s="112"/>
      <c r="D122" s="112"/>
      <c r="E122" s="112"/>
      <c r="F122" s="112"/>
      <c r="G122" s="494" t="s">
        <v>1665</v>
      </c>
      <c r="H122" s="112"/>
      <c r="I122" s="131">
        <f>I121</f>
        <v>6890</v>
      </c>
      <c r="J122" s="121"/>
    </row>
    <row r="123" spans="1:10" ht="18">
      <c r="A123" s="492" t="s">
        <v>1667</v>
      </c>
      <c r="B123" s="1132"/>
      <c r="C123" s="1132"/>
      <c r="D123" s="1132"/>
      <c r="E123" s="112"/>
      <c r="F123" s="112"/>
      <c r="G123" s="112"/>
      <c r="H123" s="112"/>
      <c r="I123" s="119"/>
      <c r="J123" s="121"/>
    </row>
    <row r="124" spans="1:10" ht="18">
      <c r="A124" s="492" t="s">
        <v>1668</v>
      </c>
      <c r="B124" s="1132"/>
      <c r="C124" s="1132"/>
      <c r="D124" s="1132"/>
      <c r="E124" s="112"/>
      <c r="F124" s="112"/>
      <c r="G124" s="112"/>
      <c r="H124" s="112"/>
      <c r="I124" s="853"/>
      <c r="J124" s="121"/>
    </row>
    <row r="125" spans="1:10" ht="4.5" customHeight="1">
      <c r="A125" s="853"/>
      <c r="B125" s="112"/>
      <c r="C125" s="112"/>
      <c r="D125" s="112"/>
      <c r="E125" s="112"/>
      <c r="F125" s="112"/>
      <c r="G125" s="112"/>
      <c r="H125" s="112"/>
      <c r="I125" s="853"/>
      <c r="J125" s="121"/>
    </row>
    <row r="126" spans="1:10" ht="4.5" customHeight="1">
      <c r="A126" s="1140"/>
      <c r="B126" s="1133"/>
      <c r="C126" s="1133"/>
      <c r="D126" s="1133"/>
      <c r="E126" s="1133"/>
      <c r="F126" s="1133"/>
      <c r="G126" s="1133"/>
      <c r="H126" s="1133"/>
      <c r="I126" s="1140"/>
      <c r="J126" s="1124"/>
    </row>
    <row r="127" spans="1:10" ht="4.5" customHeight="1">
      <c r="A127" s="133"/>
      <c r="B127" s="112"/>
      <c r="C127" s="112"/>
      <c r="D127" s="112"/>
      <c r="E127" s="112"/>
      <c r="F127" s="112"/>
      <c r="G127" s="112"/>
      <c r="H127" s="112"/>
      <c r="I127" s="78"/>
      <c r="J127" s="121"/>
    </row>
    <row r="128" spans="1:10" ht="20.25">
      <c r="A128" s="1119" t="s">
        <v>2157</v>
      </c>
      <c r="B128" s="1133"/>
      <c r="C128" s="1133"/>
      <c r="D128" s="1133"/>
      <c r="E128" s="112"/>
      <c r="F128" s="112"/>
      <c r="G128" s="112"/>
      <c r="H128" s="112"/>
      <c r="I128" s="121"/>
      <c r="J128" s="121"/>
    </row>
    <row r="129" spans="1:10" ht="27" customHeight="1">
      <c r="A129" s="133" t="s">
        <v>970</v>
      </c>
      <c r="B129" s="112"/>
      <c r="C129" s="112"/>
      <c r="D129" s="112"/>
      <c r="E129" s="112"/>
      <c r="F129" s="112"/>
      <c r="G129" s="112"/>
      <c r="H129" s="112"/>
      <c r="I129" s="121"/>
      <c r="J129" s="121"/>
    </row>
    <row r="130" spans="1:10" ht="18">
      <c r="A130" s="1121" t="s">
        <v>1500</v>
      </c>
      <c r="B130" s="125"/>
      <c r="C130" s="125"/>
      <c r="D130" s="125"/>
      <c r="E130" s="125"/>
      <c r="F130" s="125"/>
      <c r="G130" s="125"/>
      <c r="H130" s="112"/>
      <c r="I130" s="131"/>
      <c r="J130" s="136">
        <v>1</v>
      </c>
    </row>
    <row r="131" spans="1:10" ht="18">
      <c r="A131" s="133"/>
      <c r="B131" s="112"/>
      <c r="C131" s="112"/>
      <c r="D131" s="112"/>
      <c r="E131" s="112"/>
      <c r="F131" s="112"/>
      <c r="G131" s="112"/>
      <c r="H131" s="112"/>
      <c r="I131" s="121"/>
      <c r="J131" s="121"/>
    </row>
    <row r="132" spans="1:10" ht="18">
      <c r="A132" s="1121" t="s">
        <v>631</v>
      </c>
      <c r="B132" s="125"/>
      <c r="C132" s="125"/>
      <c r="D132" s="125"/>
      <c r="E132" s="125"/>
      <c r="F132" s="125"/>
      <c r="G132" s="125"/>
      <c r="H132" s="112"/>
      <c r="I132" s="392">
        <f>(3/12)*MINA(I130+0,400)+(2/12)*MINA(I130+0,750)+(4/12)*MINA(I130+0,1275)</f>
        <v>0</v>
      </c>
      <c r="J132" s="1130" t="s">
        <v>64</v>
      </c>
    </row>
    <row r="133" spans="1:10" ht="9.75" customHeight="1">
      <c r="A133" s="134"/>
      <c r="B133" s="112"/>
      <c r="C133" s="112"/>
      <c r="D133" s="112"/>
      <c r="E133" s="112"/>
      <c r="F133" s="112"/>
      <c r="G133" s="112"/>
      <c r="H133" s="112"/>
      <c r="I133" s="82"/>
      <c r="J133" s="121"/>
    </row>
    <row r="134" spans="1:10" ht="4.5" customHeight="1">
      <c r="A134" s="1134"/>
      <c r="B134" s="1133"/>
      <c r="C134" s="1133"/>
      <c r="D134" s="1133"/>
      <c r="E134" s="1133"/>
      <c r="F134" s="1133"/>
      <c r="G134" s="1133"/>
      <c r="H134" s="1133"/>
      <c r="I134" s="1124"/>
      <c r="J134" s="1124"/>
    </row>
    <row r="135" spans="1:10" ht="9.75" customHeight="1">
      <c r="A135" s="133"/>
      <c r="B135" s="112"/>
      <c r="C135" s="112"/>
      <c r="D135" s="112"/>
      <c r="E135" s="112"/>
      <c r="F135" s="112"/>
      <c r="G135" s="112"/>
      <c r="H135" s="112"/>
      <c r="I135" s="121"/>
      <c r="J135" s="121"/>
    </row>
    <row r="136" spans="1:10" ht="20.25">
      <c r="A136" s="1119" t="s">
        <v>2158</v>
      </c>
      <c r="B136" s="1133"/>
      <c r="C136" s="1133"/>
      <c r="D136" s="1133"/>
      <c r="E136" s="112"/>
      <c r="F136" s="112"/>
      <c r="G136" s="112"/>
      <c r="H136" s="112"/>
      <c r="I136" s="121"/>
      <c r="J136" s="121"/>
    </row>
    <row r="137" spans="1:10" ht="32.25" customHeight="1">
      <c r="A137" s="853" t="s">
        <v>325</v>
      </c>
      <c r="B137" s="112"/>
      <c r="C137" s="112"/>
      <c r="D137" s="112"/>
      <c r="E137" s="112"/>
      <c r="F137" s="112"/>
      <c r="G137" s="112"/>
      <c r="H137" s="112"/>
      <c r="I137" s="121"/>
      <c r="J137" s="121"/>
    </row>
    <row r="138" spans="1:10" ht="18">
      <c r="A138" s="133"/>
      <c r="B138" s="112"/>
      <c r="C138" s="112"/>
      <c r="D138" s="112"/>
      <c r="E138" s="112"/>
      <c r="F138" s="112"/>
      <c r="G138" s="112"/>
      <c r="H138" s="112"/>
      <c r="I138" s="121"/>
      <c r="J138" s="121"/>
    </row>
    <row r="139" spans="1:10" ht="18">
      <c r="A139" s="1121" t="s">
        <v>1689</v>
      </c>
      <c r="B139" s="125"/>
      <c r="C139" s="125"/>
      <c r="D139" s="125"/>
      <c r="E139" s="125"/>
      <c r="F139" s="112"/>
      <c r="G139" s="392">
        <f>'T1 GEN-2-3-4'!K89</f>
        <v>0</v>
      </c>
      <c r="H139" s="1131" t="s">
        <v>661</v>
      </c>
      <c r="I139" s="121"/>
      <c r="J139" s="121"/>
    </row>
    <row r="140" spans="1:10" ht="18.75" thickBot="1">
      <c r="A140" s="1121" t="s">
        <v>628</v>
      </c>
      <c r="B140" s="126"/>
      <c r="C140" s="126"/>
      <c r="D140" s="126"/>
      <c r="E140" s="126"/>
      <c r="F140" s="112"/>
      <c r="G140" s="732">
        <f>'T1 GEN-1'!U30</f>
        <v>0</v>
      </c>
      <c r="H140" s="1131" t="s">
        <v>698</v>
      </c>
      <c r="I140" s="121"/>
      <c r="J140" s="121"/>
    </row>
    <row r="141" spans="1:10" ht="18.75" thickBot="1">
      <c r="A141" s="1121" t="s">
        <v>322</v>
      </c>
      <c r="B141" s="126"/>
      <c r="C141" s="126"/>
      <c r="D141" s="126"/>
      <c r="E141" s="126"/>
      <c r="F141" s="112"/>
      <c r="G141" s="392">
        <f>G139+G140</f>
        <v>0</v>
      </c>
      <c r="H141" s="1150" t="s">
        <v>410</v>
      </c>
      <c r="I141" s="729">
        <f>G141</f>
        <v>0</v>
      </c>
      <c r="J141" s="1130" t="s">
        <v>699</v>
      </c>
    </row>
    <row r="142" spans="1:10" ht="16.5">
      <c r="A142" s="1186" t="s">
        <v>626</v>
      </c>
      <c r="B142" s="1139"/>
      <c r="C142" s="1139"/>
      <c r="D142" s="1139"/>
      <c r="E142" s="1139"/>
      <c r="F142" s="112"/>
      <c r="G142" s="112"/>
      <c r="H142" s="1130"/>
      <c r="I142" s="1142"/>
      <c r="J142" s="1130"/>
    </row>
    <row r="143" spans="1:10" ht="18.75" thickBot="1">
      <c r="A143" s="1121" t="s">
        <v>627</v>
      </c>
      <c r="B143" s="125"/>
      <c r="C143" s="125"/>
      <c r="D143" s="125"/>
      <c r="E143" s="125"/>
      <c r="F143" s="125"/>
      <c r="G143" s="125"/>
      <c r="H143" s="1130"/>
      <c r="I143" s="1143">
        <f>MAX('T1 GEN-2-3-4'!I21,'T1 GEN-1'!U32)</f>
        <v>0</v>
      </c>
      <c r="J143" s="1131">
        <v>4</v>
      </c>
    </row>
    <row r="144" spans="1:10" ht="18">
      <c r="A144" s="1121" t="s">
        <v>2174</v>
      </c>
      <c r="B144" s="126"/>
      <c r="C144" s="126"/>
      <c r="D144" s="126"/>
      <c r="E144" s="126"/>
      <c r="F144" s="126"/>
      <c r="G144" s="126"/>
      <c r="H144" s="1130"/>
      <c r="I144" s="833">
        <f>I141-I143</f>
        <v>0</v>
      </c>
      <c r="J144" s="1131">
        <v>5</v>
      </c>
    </row>
    <row r="145" spans="1:10" ht="18">
      <c r="A145" s="1186" t="s">
        <v>323</v>
      </c>
      <c r="B145" s="1139"/>
      <c r="C145" s="1139"/>
      <c r="D145" s="1139"/>
      <c r="E145" s="1139"/>
      <c r="F145" s="1139"/>
      <c r="G145" s="1139"/>
      <c r="H145" s="1130"/>
      <c r="I145" s="1300"/>
      <c r="J145" s="1131"/>
    </row>
    <row r="146" spans="1:10" ht="18">
      <c r="A146" s="1121" t="s">
        <v>324</v>
      </c>
      <c r="B146" s="125"/>
      <c r="C146" s="125"/>
      <c r="D146" s="125"/>
      <c r="E146" s="125"/>
      <c r="F146" s="125"/>
      <c r="G146" s="125"/>
      <c r="H146" s="1130"/>
      <c r="I146" s="392">
        <f>'T1 GEN-2-3-4'!I69+'T1 GEN-1'!U34</f>
        <v>0</v>
      </c>
      <c r="J146" s="1131">
        <v>6</v>
      </c>
    </row>
    <row r="147" spans="1:10" ht="18">
      <c r="A147" s="1121" t="s">
        <v>326</v>
      </c>
      <c r="B147" s="126"/>
      <c r="C147" s="126"/>
      <c r="D147" s="126"/>
      <c r="E147" s="126"/>
      <c r="F147" s="126"/>
      <c r="G147" s="126"/>
      <c r="H147" s="1130"/>
      <c r="I147" s="392">
        <f>I144+I146</f>
        <v>0</v>
      </c>
      <c r="J147" s="1131">
        <v>7</v>
      </c>
    </row>
    <row r="148" spans="1:10" ht="18.75" thickBot="1">
      <c r="A148" s="1121" t="s">
        <v>60</v>
      </c>
      <c r="B148" s="126"/>
      <c r="C148" s="126"/>
      <c r="D148" s="126"/>
      <c r="E148" s="126"/>
      <c r="F148" s="126"/>
      <c r="G148" s="126"/>
      <c r="H148" s="112"/>
      <c r="I148" s="789">
        <v>22627</v>
      </c>
      <c r="J148" s="1131">
        <v>8</v>
      </c>
    </row>
    <row r="149" spans="1:10" ht="18">
      <c r="A149" s="1121" t="s">
        <v>457</v>
      </c>
      <c r="B149" s="126"/>
      <c r="C149" s="126"/>
      <c r="D149" s="126"/>
      <c r="E149" s="126"/>
      <c r="F149" s="126"/>
      <c r="G149" s="126"/>
      <c r="H149" s="112"/>
      <c r="I149" s="392">
        <f>MAXA(0,(I147-I148))</f>
        <v>0</v>
      </c>
      <c r="J149" s="1131">
        <v>9</v>
      </c>
    </row>
    <row r="150" spans="1:10" ht="18">
      <c r="A150" s="853"/>
      <c r="B150" s="112"/>
      <c r="C150" s="112"/>
      <c r="D150" s="112"/>
      <c r="E150" s="112"/>
      <c r="F150" s="112"/>
      <c r="G150" s="112"/>
      <c r="H150" s="112"/>
      <c r="I150" s="121"/>
      <c r="J150" s="121"/>
    </row>
    <row r="151" spans="1:10" ht="18">
      <c r="A151" s="878" t="s">
        <v>327</v>
      </c>
      <c r="B151" s="125"/>
      <c r="C151" s="125"/>
      <c r="D151" s="125"/>
      <c r="E151" s="125"/>
      <c r="F151" s="125"/>
      <c r="G151" s="125"/>
      <c r="H151" s="112"/>
      <c r="I151" s="392">
        <f>MINA(1022,0.25*('T1 GEN-2-3-4'!I71+Sch1!K38))</f>
        <v>0</v>
      </c>
      <c r="J151" s="1131">
        <v>10</v>
      </c>
    </row>
    <row r="152" spans="1:10" ht="18.75" thickBot="1">
      <c r="A152" s="1121" t="s">
        <v>328</v>
      </c>
      <c r="B152" s="126"/>
      <c r="C152" s="126"/>
      <c r="D152" s="126"/>
      <c r="E152" s="126"/>
      <c r="F152" s="126"/>
      <c r="G152" s="126"/>
      <c r="H152" s="112"/>
      <c r="I152" s="729">
        <f>0.05*I149</f>
        <v>0</v>
      </c>
      <c r="J152" s="1131">
        <v>11</v>
      </c>
    </row>
    <row r="153" spans="1:10" ht="18">
      <c r="A153" s="1121" t="s">
        <v>329</v>
      </c>
      <c r="B153" s="126"/>
      <c r="C153" s="126"/>
      <c r="D153" s="126"/>
      <c r="E153" s="126"/>
      <c r="F153" s="126"/>
      <c r="G153" s="126"/>
      <c r="H153" s="112"/>
      <c r="I153" s="392">
        <f>MAXA(0,(I151-I152))</f>
        <v>0</v>
      </c>
      <c r="J153" s="1131">
        <v>12</v>
      </c>
    </row>
    <row r="154" spans="1:10" ht="18">
      <c r="A154" s="133"/>
      <c r="B154" s="112"/>
      <c r="C154" s="112"/>
      <c r="D154" s="112"/>
      <c r="E154" s="112"/>
      <c r="F154" s="112"/>
      <c r="G154" s="112"/>
      <c r="H154" s="112"/>
      <c r="I154" s="121"/>
      <c r="J154" s="121"/>
    </row>
    <row r="155" spans="1:10" ht="18">
      <c r="A155" s="1136" t="s">
        <v>1577</v>
      </c>
      <c r="B155" s="112"/>
      <c r="C155" s="112"/>
      <c r="D155" s="112"/>
      <c r="E155" s="112"/>
      <c r="F155" s="112"/>
      <c r="G155" s="112"/>
      <c r="H155" s="112"/>
      <c r="I155" s="112"/>
      <c r="J155" s="124"/>
    </row>
    <row r="156" spans="1:10" ht="18">
      <c r="A156" s="1137" t="s">
        <v>2078</v>
      </c>
      <c r="B156" s="112"/>
      <c r="C156" s="112"/>
      <c r="D156" s="112"/>
      <c r="E156" s="112"/>
      <c r="F156" s="112"/>
      <c r="G156" s="112"/>
      <c r="H156" s="112"/>
      <c r="I156" s="392">
        <f>'T1 GEN-2-3-4'!I13+'T1 GEN-2-3-4'!I15</f>
        <v>0</v>
      </c>
      <c r="J156" s="124" t="s">
        <v>2079</v>
      </c>
    </row>
    <row r="157" spans="1:10" ht="18">
      <c r="A157" s="1137" t="s">
        <v>2080</v>
      </c>
      <c r="B157" s="112"/>
      <c r="C157" s="112"/>
      <c r="D157" s="112"/>
      <c r="E157" s="112"/>
      <c r="F157" s="112"/>
      <c r="G157" s="112"/>
      <c r="H157" s="112"/>
      <c r="I157" s="131">
        <v>0</v>
      </c>
      <c r="J157" s="124" t="s">
        <v>2081</v>
      </c>
    </row>
    <row r="158" spans="1:10" ht="18">
      <c r="A158" s="133" t="s">
        <v>2082</v>
      </c>
      <c r="B158" s="112"/>
      <c r="C158" s="112"/>
      <c r="D158" s="112"/>
      <c r="E158" s="112"/>
      <c r="F158" s="112"/>
      <c r="G158" s="112"/>
      <c r="H158" s="112"/>
      <c r="I158" s="392">
        <f>'T1 GEN-2-3-4'!I64+'T1 GEN-2-3-4'!I68+'T1 GEN-2-3-4'!I81+'T1 GEN-2-3-4'!I82</f>
        <v>0</v>
      </c>
      <c r="J158" s="121" t="s">
        <v>1236</v>
      </c>
    </row>
    <row r="159" spans="1:10" ht="18.75" thickBot="1">
      <c r="A159" s="133" t="s">
        <v>629</v>
      </c>
      <c r="B159" s="112"/>
      <c r="C159" s="112"/>
      <c r="D159" s="112"/>
      <c r="E159" s="112"/>
      <c r="F159" s="112"/>
      <c r="G159" s="112"/>
      <c r="H159" s="112"/>
      <c r="I159" s="789">
        <f>MAX(0,'T1 GEN-2-3-4'!I33)+MAX(0,'T1 GEN-2-3-4'!I34)+MAX(0,'T1 GEN-2-3-4'!I35)+MAX(0,'T1 GEN-2-3-4'!I36)+MAX(0,'T1 GEN-2-3-4'!I37)</f>
        <v>0</v>
      </c>
      <c r="J159" s="121" t="s">
        <v>1459</v>
      </c>
    </row>
    <row r="160" spans="1:10" ht="18">
      <c r="A160" s="133" t="s">
        <v>172</v>
      </c>
      <c r="B160" s="112"/>
      <c r="C160" s="112"/>
      <c r="D160" s="112"/>
      <c r="E160" s="112"/>
      <c r="F160" s="112"/>
      <c r="G160" s="112"/>
      <c r="H160" s="112"/>
      <c r="I160" s="392">
        <f>MAX(0,I156-I157-I158)+I159</f>
        <v>0</v>
      </c>
      <c r="J160" s="121"/>
    </row>
    <row r="161" spans="1:10" ht="15">
      <c r="A161" s="121"/>
      <c r="B161" s="112"/>
      <c r="C161" s="112"/>
      <c r="D161" s="112"/>
      <c r="E161" s="112"/>
      <c r="F161" s="112"/>
      <c r="G161" s="112"/>
      <c r="H161" s="112"/>
      <c r="I161" s="617"/>
      <c r="J161" s="617"/>
    </row>
    <row r="162" spans="1:10" ht="18">
      <c r="A162" s="1138" t="s">
        <v>681</v>
      </c>
      <c r="B162" s="1132"/>
      <c r="C162" s="1132"/>
      <c r="D162" s="1132"/>
      <c r="E162" s="1132"/>
      <c r="F162" s="1132"/>
      <c r="G162" s="112"/>
      <c r="H162" s="112"/>
      <c r="I162" s="121"/>
      <c r="J162" s="121"/>
    </row>
    <row r="163" spans="1:10" ht="18">
      <c r="A163" s="1138" t="s">
        <v>330</v>
      </c>
      <c r="B163" s="1132"/>
      <c r="C163" s="1132"/>
      <c r="D163" s="1132"/>
      <c r="E163" s="1132"/>
      <c r="F163" s="1132"/>
      <c r="G163" s="112"/>
      <c r="H163" s="112"/>
      <c r="I163" s="121"/>
      <c r="J163" s="136"/>
    </row>
    <row r="164" spans="1:10" ht="18">
      <c r="A164" s="1138" t="str">
        <f>"If not resident in Canada throughout "&amp;yeartext&amp;", set QUAL sheet line 452 parameter to NO."</f>
        <v>If not resident in Canada throughout 2007, set QUAL sheet line 452 parameter to NO.</v>
      </c>
      <c r="B164" s="1132"/>
      <c r="C164" s="1132"/>
      <c r="D164" s="1132"/>
      <c r="E164" s="1132"/>
      <c r="F164" s="1132"/>
      <c r="G164" s="112"/>
      <c r="H164" s="112"/>
      <c r="I164" s="121"/>
      <c r="J164" s="121"/>
    </row>
    <row r="165" ht="15">
      <c r="A165" s="1129"/>
    </row>
    <row r="166" ht="15">
      <c r="A166" s="1129"/>
    </row>
    <row r="167" ht="15">
      <c r="A167" s="1129" t="s">
        <v>2047</v>
      </c>
    </row>
    <row r="168" ht="15">
      <c r="A168" s="1129"/>
    </row>
    <row r="169" ht="15">
      <c r="A169" s="1129"/>
    </row>
    <row r="170" ht="15">
      <c r="A170" s="1129"/>
    </row>
    <row r="171" ht="15">
      <c r="A171" s="1129"/>
    </row>
    <row r="172" ht="15">
      <c r="A172" s="1129"/>
    </row>
    <row r="173" ht="15">
      <c r="A173" s="1129"/>
    </row>
    <row r="174" ht="15">
      <c r="A174" s="1129"/>
    </row>
    <row r="175" ht="15">
      <c r="A175" s="1129"/>
    </row>
    <row r="176" ht="15">
      <c r="A176" s="1129"/>
    </row>
    <row r="177" ht="15">
      <c r="A177" s="1129"/>
    </row>
    <row r="178" ht="15">
      <c r="A178" s="1129"/>
    </row>
    <row r="179" ht="15">
      <c r="A179" s="1129"/>
    </row>
    <row r="180" ht="15">
      <c r="A180" s="1129"/>
    </row>
    <row r="181" ht="15">
      <c r="A181" s="1129"/>
    </row>
    <row r="182" ht="15">
      <c r="A182" s="1129"/>
    </row>
    <row r="183" ht="15">
      <c r="A183" s="1129"/>
    </row>
    <row r="184" ht="15">
      <c r="A184" s="1129"/>
    </row>
    <row r="185" ht="15">
      <c r="A185" s="1129"/>
    </row>
    <row r="186" ht="15">
      <c r="A186" s="1129"/>
    </row>
    <row r="187" ht="15">
      <c r="A187" s="1129"/>
    </row>
    <row r="188" ht="15">
      <c r="A188" s="1129"/>
    </row>
    <row r="189" ht="15">
      <c r="A189" s="1129"/>
    </row>
    <row r="190" ht="15">
      <c r="A190" s="1129"/>
    </row>
    <row r="191" ht="15">
      <c r="A191" s="1129"/>
    </row>
    <row r="192" ht="15">
      <c r="A192" s="1129"/>
    </row>
    <row r="193" ht="15">
      <c r="A193" s="1129"/>
    </row>
    <row r="194" ht="15">
      <c r="A194" s="1129"/>
    </row>
    <row r="195" ht="15">
      <c r="A195" s="1129"/>
    </row>
    <row r="196" ht="15">
      <c r="A196" s="1129"/>
    </row>
    <row r="197" ht="15">
      <c r="A197" s="1129"/>
    </row>
    <row r="198" ht="15">
      <c r="A198" s="1129"/>
    </row>
    <row r="199" ht="15">
      <c r="A199" s="1129"/>
    </row>
    <row r="200" ht="15">
      <c r="A200" s="1129"/>
    </row>
    <row r="201" ht="15">
      <c r="A201" s="1129"/>
    </row>
    <row r="202" ht="15">
      <c r="A202" s="1129"/>
    </row>
    <row r="203" ht="15">
      <c r="A203" s="1129"/>
    </row>
    <row r="204" ht="15">
      <c r="A204" s="1129"/>
    </row>
    <row r="205" ht="15">
      <c r="A205" s="1129"/>
    </row>
    <row r="206" ht="15">
      <c r="A206" s="1129"/>
    </row>
    <row r="207" ht="15">
      <c r="A207" s="1129"/>
    </row>
    <row r="208" ht="15">
      <c r="A208" s="1129"/>
    </row>
    <row r="209" ht="15">
      <c r="A209" s="1129"/>
    </row>
    <row r="210" ht="15">
      <c r="A210" s="1129"/>
    </row>
    <row r="211" ht="15">
      <c r="A211" s="1129"/>
    </row>
    <row r="212" ht="15">
      <c r="A212" s="1129"/>
    </row>
    <row r="213" ht="15">
      <c r="A213" s="1129"/>
    </row>
    <row r="214" ht="15">
      <c r="A214" s="1129"/>
    </row>
    <row r="215" ht="15">
      <c r="A215" s="1129"/>
    </row>
    <row r="216" ht="15">
      <c r="A216" s="1129"/>
    </row>
    <row r="217" ht="15">
      <c r="A217" s="1129"/>
    </row>
    <row r="218" ht="15">
      <c r="A218" s="1129"/>
    </row>
    <row r="219" ht="15">
      <c r="A219" s="1129"/>
    </row>
    <row r="220" ht="15">
      <c r="A220" s="1129"/>
    </row>
    <row r="221" ht="15">
      <c r="A221" s="1129"/>
    </row>
    <row r="222" ht="15">
      <c r="A222" s="1129"/>
    </row>
    <row r="223" ht="15">
      <c r="A223" s="1129"/>
    </row>
    <row r="224" ht="15">
      <c r="A224" s="1129"/>
    </row>
    <row r="225" ht="15">
      <c r="A225" s="1129"/>
    </row>
    <row r="226" ht="15">
      <c r="A226" s="1129"/>
    </row>
    <row r="227" ht="15">
      <c r="A227" s="1129"/>
    </row>
    <row r="228" ht="15">
      <c r="A228" s="1129"/>
    </row>
    <row r="229" ht="15">
      <c r="A229" s="1129"/>
    </row>
    <row r="230" ht="15">
      <c r="A230" s="1129"/>
    </row>
    <row r="231" ht="15">
      <c r="A231" s="1129"/>
    </row>
    <row r="232" ht="15">
      <c r="A232" s="1129"/>
    </row>
    <row r="233" ht="15">
      <c r="A233" s="1129"/>
    </row>
    <row r="234" ht="15">
      <c r="A234" s="1129"/>
    </row>
    <row r="235" ht="15">
      <c r="A235" s="276"/>
    </row>
    <row r="236" ht="15">
      <c r="A236" s="276"/>
    </row>
    <row r="237" ht="15">
      <c r="A237" s="276"/>
    </row>
    <row r="238" ht="15">
      <c r="A238" s="276"/>
    </row>
    <row r="239" ht="15">
      <c r="A239" s="276"/>
    </row>
    <row r="240" ht="15">
      <c r="A240" s="276"/>
    </row>
    <row r="241" ht="15">
      <c r="A241" s="276"/>
    </row>
    <row r="242" ht="15">
      <c r="A242" s="276"/>
    </row>
    <row r="243" ht="15">
      <c r="A243" s="276"/>
    </row>
    <row r="244" ht="15">
      <c r="A244" s="276"/>
    </row>
    <row r="245" ht="15">
      <c r="A245" s="276"/>
    </row>
    <row r="246" ht="15">
      <c r="A246" s="276"/>
    </row>
    <row r="247" ht="15">
      <c r="A247" s="276"/>
    </row>
    <row r="248" ht="15">
      <c r="A248" s="276"/>
    </row>
    <row r="249" ht="15">
      <c r="A249" s="276"/>
    </row>
    <row r="250" ht="15">
      <c r="A250" s="276"/>
    </row>
    <row r="251" ht="15">
      <c r="A251" s="276"/>
    </row>
    <row r="252" ht="15">
      <c r="A252" s="276"/>
    </row>
    <row r="253" ht="15">
      <c r="A253" s="276"/>
    </row>
    <row r="254" ht="15">
      <c r="A254" s="276"/>
    </row>
    <row r="255" ht="15">
      <c r="A255" s="276"/>
    </row>
    <row r="256" ht="15">
      <c r="A256" s="276"/>
    </row>
    <row r="257" ht="15">
      <c r="A257" s="276"/>
    </row>
    <row r="258" ht="15">
      <c r="A258" s="276"/>
    </row>
    <row r="259" ht="15">
      <c r="A259" s="276"/>
    </row>
    <row r="260" ht="15">
      <c r="A260" s="276"/>
    </row>
    <row r="261" ht="15">
      <c r="A261" s="276"/>
    </row>
    <row r="262" ht="15">
      <c r="A262" s="276"/>
    </row>
    <row r="263" ht="15">
      <c r="A263" s="276"/>
    </row>
    <row r="264" ht="15">
      <c r="A264" s="276"/>
    </row>
    <row r="265" ht="15">
      <c r="A265" s="276"/>
    </row>
    <row r="266" ht="15">
      <c r="A266" s="276"/>
    </row>
    <row r="267" ht="15">
      <c r="A267" s="276"/>
    </row>
    <row r="268" ht="15">
      <c r="A268" s="276"/>
    </row>
    <row r="269" ht="15">
      <c r="A269" s="276"/>
    </row>
    <row r="270" ht="15">
      <c r="A270" s="276"/>
    </row>
    <row r="271" ht="15">
      <c r="A271" s="276"/>
    </row>
    <row r="272" ht="15">
      <c r="A272" s="276"/>
    </row>
    <row r="273" ht="15">
      <c r="A273" s="276"/>
    </row>
    <row r="274" ht="15">
      <c r="A274" s="276"/>
    </row>
    <row r="275" ht="15">
      <c r="A275" s="276"/>
    </row>
    <row r="276" ht="15">
      <c r="A276" s="276"/>
    </row>
    <row r="277" ht="15">
      <c r="A277" s="276"/>
    </row>
    <row r="278" ht="15">
      <c r="A278" s="276"/>
    </row>
    <row r="279" ht="15">
      <c r="A279" s="276"/>
    </row>
    <row r="280" ht="15">
      <c r="A280" s="276"/>
    </row>
    <row r="281" ht="15">
      <c r="A281" s="276"/>
    </row>
    <row r="282" ht="15">
      <c r="A282" s="276"/>
    </row>
    <row r="283" ht="15">
      <c r="A283" s="276"/>
    </row>
    <row r="284" ht="15">
      <c r="A284" s="276"/>
    </row>
    <row r="285" ht="15">
      <c r="A285" s="276"/>
    </row>
    <row r="286" ht="15">
      <c r="A286" s="276"/>
    </row>
    <row r="287" ht="15">
      <c r="A287" s="276"/>
    </row>
    <row r="288" ht="15">
      <c r="A288" s="276"/>
    </row>
    <row r="289" ht="15">
      <c r="A289" s="276"/>
    </row>
    <row r="290" ht="15">
      <c r="A290" s="276"/>
    </row>
    <row r="291" ht="15">
      <c r="A291" s="276"/>
    </row>
    <row r="292" ht="15">
      <c r="A292" s="276"/>
    </row>
    <row r="293" ht="15">
      <c r="A293" s="276"/>
    </row>
    <row r="294" ht="15">
      <c r="A294" s="276"/>
    </row>
    <row r="295" ht="15">
      <c r="A295" s="276"/>
    </row>
    <row r="296" ht="15">
      <c r="A296" s="276"/>
    </row>
    <row r="297" ht="15">
      <c r="A297" s="276"/>
    </row>
    <row r="298" ht="15">
      <c r="A298" s="276"/>
    </row>
    <row r="299" ht="15">
      <c r="A299" s="276"/>
    </row>
    <row r="300" ht="15">
      <c r="A300" s="276"/>
    </row>
    <row r="301" ht="15">
      <c r="A301" s="276"/>
    </row>
    <row r="302" ht="15">
      <c r="A302" s="276"/>
    </row>
    <row r="303" ht="15">
      <c r="A303" s="276"/>
    </row>
    <row r="304" ht="15">
      <c r="A304" s="276"/>
    </row>
    <row r="305" ht="15">
      <c r="A305" s="276"/>
    </row>
    <row r="306" ht="15">
      <c r="A306" s="276"/>
    </row>
    <row r="307" ht="15">
      <c r="A307" s="276"/>
    </row>
    <row r="308" ht="15">
      <c r="A308" s="276"/>
    </row>
    <row r="309" ht="15">
      <c r="A309" s="276"/>
    </row>
    <row r="310" ht="15">
      <c r="A310" s="276"/>
    </row>
    <row r="311" ht="15">
      <c r="A311" s="276"/>
    </row>
    <row r="312" ht="15">
      <c r="A312" s="276"/>
    </row>
    <row r="313" ht="15">
      <c r="A313" s="276"/>
    </row>
    <row r="314" ht="15">
      <c r="A314" s="276"/>
    </row>
    <row r="315" ht="15">
      <c r="A315" s="276"/>
    </row>
    <row r="316" ht="15">
      <c r="A316" s="276"/>
    </row>
    <row r="317" ht="15">
      <c r="A317" s="276"/>
    </row>
    <row r="318" ht="15">
      <c r="A318" s="276"/>
    </row>
    <row r="319" ht="15">
      <c r="A319" s="276"/>
    </row>
    <row r="320" ht="15">
      <c r="A320" s="276"/>
    </row>
    <row r="321" ht="15">
      <c r="A321" s="276"/>
    </row>
    <row r="322" ht="15">
      <c r="A322" s="276"/>
    </row>
    <row r="323" ht="15">
      <c r="A323" s="276"/>
    </row>
    <row r="324" ht="15">
      <c r="A324" s="276"/>
    </row>
    <row r="325" ht="15">
      <c r="A325" s="276"/>
    </row>
    <row r="326" ht="15">
      <c r="A326" s="276"/>
    </row>
    <row r="327" ht="15">
      <c r="A327" s="276"/>
    </row>
    <row r="328" ht="15">
      <c r="A328" s="276"/>
    </row>
    <row r="329" ht="15">
      <c r="A329" s="276"/>
    </row>
    <row r="330" ht="15">
      <c r="A330" s="276"/>
    </row>
    <row r="331" ht="15">
      <c r="A331" s="276"/>
    </row>
    <row r="332" ht="15">
      <c r="A332" s="276"/>
    </row>
    <row r="333" ht="15">
      <c r="A333" s="276"/>
    </row>
    <row r="334" ht="15">
      <c r="A334" s="276"/>
    </row>
    <row r="335" ht="15">
      <c r="A335" s="276"/>
    </row>
    <row r="336" ht="15">
      <c r="A336" s="276"/>
    </row>
    <row r="337" ht="15">
      <c r="A337" s="276"/>
    </row>
    <row r="338" ht="15">
      <c r="A338" s="276"/>
    </row>
    <row r="339" ht="15">
      <c r="A339" s="276"/>
    </row>
    <row r="340" ht="15">
      <c r="A340" s="276"/>
    </row>
    <row r="341" ht="15">
      <c r="A341" s="276"/>
    </row>
    <row r="342" ht="15">
      <c r="A342" s="276"/>
    </row>
    <row r="343" ht="15">
      <c r="A343" s="276"/>
    </row>
    <row r="344" ht="15">
      <c r="A344" s="276"/>
    </row>
    <row r="345" ht="15">
      <c r="A345" s="276"/>
    </row>
    <row r="346" ht="15">
      <c r="A346" s="276"/>
    </row>
    <row r="347" ht="15">
      <c r="A347" s="276"/>
    </row>
    <row r="348" ht="15">
      <c r="A348" s="276"/>
    </row>
    <row r="349" ht="15">
      <c r="A349" s="276"/>
    </row>
    <row r="350" ht="15">
      <c r="A350" s="276"/>
    </row>
    <row r="351" ht="15">
      <c r="A351" s="276"/>
    </row>
    <row r="352" ht="15">
      <c r="A352" s="276"/>
    </row>
    <row r="353" ht="15">
      <c r="A353" s="276"/>
    </row>
    <row r="354" ht="15">
      <c r="A354" s="276"/>
    </row>
    <row r="355" ht="15">
      <c r="A355" s="276"/>
    </row>
    <row r="356" ht="15">
      <c r="A356" s="276"/>
    </row>
    <row r="357" ht="15">
      <c r="A357" s="276"/>
    </row>
    <row r="358" ht="15">
      <c r="A358" s="276"/>
    </row>
    <row r="359" ht="15">
      <c r="A359" s="276"/>
    </row>
  </sheetData>
  <sheetProtection password="EC35" sheet="1" objects="1" scenarios="1"/>
  <mergeCells count="2">
    <mergeCell ref="L1:L112"/>
    <mergeCell ref="A80:J80"/>
  </mergeCells>
  <dataValidations count="4">
    <dataValidation allowBlank="1" showInputMessage="1" showErrorMessage="1" promptTitle="DEFAULT FORMULA" prompt="You will have to replace this formula with the total amount for all dependants, if you have more than 1 dependants." sqref="I61"/>
    <dataValidation allowBlank="1" showInputMessage="1" showErrorMessage="1" promptTitle="DEFAULT FORMULA" prompt="If you have more than one dependant, calculate the values one at a time using the above and when finished, enter the total amount here." sqref="I91"/>
    <dataValidation allowBlank="1" showInputMessage="1" showErrorMessage="1" promptTitle="DEFAULT FORMULA" prompt="If you have more than one eligible dependant amount to transfer, then enter the total of all the amounts on this line." sqref="I122"/>
    <dataValidation allowBlank="1" showErrorMessage="1" sqref="I123:I126"/>
  </dataValidations>
  <hyperlinks>
    <hyperlink ref="L1:L112" location="'GO TO'!B9" display=" "/>
  </hyperlinks>
  <printOptions horizontalCentered="1"/>
  <pageMargins left="0" right="0" top="0" bottom="0" header="0.5118110236220472" footer="0.5118110236220472"/>
  <pageSetup fitToHeight="0" fitToWidth="1" horizontalDpi="600" verticalDpi="600" orientation="portrait" scale="72" r:id="rId3"/>
  <rowBreaks count="2" manualBreakCount="2">
    <brk id="52" max="10" man="1"/>
    <brk id="110" max="10" man="1"/>
  </rowBreaks>
  <legacyDrawing r:id="rId2"/>
</worksheet>
</file>

<file path=xl/worksheets/sheet9.xml><?xml version="1.0" encoding="utf-8"?>
<worksheet xmlns="http://schemas.openxmlformats.org/spreadsheetml/2006/main" xmlns:r="http://schemas.openxmlformats.org/officeDocument/2006/relationships">
  <sheetPr codeName="Sheet1612" transitionEvaluation="1">
    <pageSetUpPr fitToPage="1"/>
  </sheetPr>
  <dimension ref="A1:K119"/>
  <sheetViews>
    <sheetView showGridLines="0" zoomScale="75" zoomScaleNormal="75" workbookViewId="0" topLeftCell="A1">
      <selection activeCell="A1" sqref="A1"/>
    </sheetView>
  </sheetViews>
  <sheetFormatPr defaultColWidth="9.77734375" defaultRowHeight="15"/>
  <cols>
    <col min="1" max="1" width="37.6640625" style="608" customWidth="1"/>
    <col min="2" max="2" width="5.77734375" style="608" customWidth="1"/>
    <col min="3" max="3" width="12.77734375" style="608" customWidth="1"/>
    <col min="4" max="4" width="5.77734375" style="608" customWidth="1"/>
    <col min="5" max="5" width="12.77734375" style="608" customWidth="1"/>
    <col min="6" max="6" width="4.88671875" style="608" customWidth="1"/>
    <col min="7" max="7" width="12.77734375" style="608" customWidth="1"/>
    <col min="8" max="8" width="4.3359375" style="608" customWidth="1"/>
    <col min="9" max="9" width="12.77734375" style="608" customWidth="1"/>
    <col min="10" max="10" width="3.5546875" style="608" customWidth="1"/>
    <col min="11" max="16384" width="9.77734375" style="608" customWidth="1"/>
  </cols>
  <sheetData>
    <row r="1" spans="1:10" ht="15">
      <c r="A1" s="650"/>
      <c r="B1" s="650"/>
      <c r="C1" s="650"/>
      <c r="D1" s="650"/>
      <c r="E1" s="650"/>
      <c r="F1" s="650"/>
      <c r="G1" s="650"/>
      <c r="H1" s="650"/>
      <c r="I1" s="650"/>
      <c r="J1" s="650"/>
    </row>
    <row r="2" spans="1:11" ht="24.75" customHeight="1">
      <c r="A2" s="211"/>
      <c r="B2" s="211"/>
      <c r="C2" s="233"/>
      <c r="D2" s="234" t="s">
        <v>1377</v>
      </c>
      <c r="E2" s="211"/>
      <c r="F2" s="211"/>
      <c r="G2" s="211"/>
      <c r="H2" s="211"/>
      <c r="I2" s="235" t="str">
        <f>yeartext</f>
        <v>2007</v>
      </c>
      <c r="J2" s="211"/>
      <c r="K2" s="1573" t="s">
        <v>1659</v>
      </c>
    </row>
    <row r="3" spans="1:11" ht="15" customHeight="1">
      <c r="A3" s="211"/>
      <c r="B3" s="211"/>
      <c r="C3" s="211"/>
      <c r="D3" s="234"/>
      <c r="E3" s="211"/>
      <c r="F3" s="211"/>
      <c r="G3" s="211"/>
      <c r="H3" s="211"/>
      <c r="I3" s="219" t="s">
        <v>1378</v>
      </c>
      <c r="J3" s="211"/>
      <c r="K3" s="1508"/>
    </row>
    <row r="4" spans="1:11" ht="15.75" customHeight="1">
      <c r="A4" s="211"/>
      <c r="B4" s="211"/>
      <c r="C4" s="211"/>
      <c r="D4" s="234"/>
      <c r="E4" s="211"/>
      <c r="F4" s="211"/>
      <c r="G4" s="211"/>
      <c r="H4" s="211"/>
      <c r="I4" s="219"/>
      <c r="J4" s="219"/>
      <c r="K4" s="1508"/>
    </row>
    <row r="5" spans="1:11" s="829" customFormat="1" ht="15.75" customHeight="1">
      <c r="A5" s="288" t="s">
        <v>1567</v>
      </c>
      <c r="B5" s="288"/>
      <c r="C5" s="288"/>
      <c r="D5" s="293"/>
      <c r="E5" s="288"/>
      <c r="F5" s="288"/>
      <c r="G5" s="288"/>
      <c r="H5" s="288"/>
      <c r="I5" s="282"/>
      <c r="J5" s="282"/>
      <c r="K5" s="1508"/>
    </row>
    <row r="6" spans="1:11" s="829" customFormat="1" ht="15.75" customHeight="1">
      <c r="A6" s="288" t="s">
        <v>2717</v>
      </c>
      <c r="B6" s="288"/>
      <c r="C6" s="288"/>
      <c r="D6" s="293"/>
      <c r="E6" s="288"/>
      <c r="F6" s="288"/>
      <c r="G6" s="288"/>
      <c r="H6" s="288"/>
      <c r="I6" s="282"/>
      <c r="J6" s="282"/>
      <c r="K6" s="1508"/>
    </row>
    <row r="7" spans="1:11" s="829" customFormat="1" ht="15.75" customHeight="1">
      <c r="A7" s="288" t="s">
        <v>1939</v>
      </c>
      <c r="B7" s="288"/>
      <c r="C7" s="288"/>
      <c r="D7" s="293"/>
      <c r="E7" s="288"/>
      <c r="F7" s="288"/>
      <c r="G7" s="288"/>
      <c r="H7" s="288"/>
      <c r="I7" s="282"/>
      <c r="J7" s="282"/>
      <c r="K7" s="1508"/>
    </row>
    <row r="8" spans="1:11" ht="15.75" customHeight="1">
      <c r="A8" s="211"/>
      <c r="B8" s="211"/>
      <c r="C8" s="211"/>
      <c r="D8" s="234"/>
      <c r="E8" s="211"/>
      <c r="F8" s="211"/>
      <c r="G8" s="211"/>
      <c r="H8" s="211"/>
      <c r="I8" s="219"/>
      <c r="J8" s="219"/>
      <c r="K8" s="1508"/>
    </row>
    <row r="9" spans="1:11" ht="23.25">
      <c r="A9" s="213" t="s">
        <v>991</v>
      </c>
      <c r="B9" s="211"/>
      <c r="C9" s="211"/>
      <c r="D9" s="234"/>
      <c r="E9" s="211"/>
      <c r="F9" s="211"/>
      <c r="G9" s="211"/>
      <c r="H9" s="211"/>
      <c r="I9" s="219"/>
      <c r="J9" s="219"/>
      <c r="K9" s="1508"/>
    </row>
    <row r="10" spans="1:11" ht="15.75" customHeight="1">
      <c r="A10" s="284" t="s">
        <v>730</v>
      </c>
      <c r="B10" s="214"/>
      <c r="C10" s="214"/>
      <c r="D10" s="285"/>
      <c r="E10" s="214"/>
      <c r="F10" s="214"/>
      <c r="G10" s="284"/>
      <c r="H10" s="288"/>
      <c r="I10" s="644">
        <f>IF(age&gt;64,4048*fract,0)</f>
        <v>0</v>
      </c>
      <c r="J10" s="281" t="s">
        <v>661</v>
      </c>
      <c r="K10" s="1508"/>
    </row>
    <row r="11" spans="1:11" ht="15.75" customHeight="1">
      <c r="A11" s="286" t="s">
        <v>1689</v>
      </c>
      <c r="B11" s="217"/>
      <c r="C11" s="217"/>
      <c r="D11" s="287"/>
      <c r="E11" s="217"/>
      <c r="F11" s="211"/>
      <c r="G11" s="645">
        <f>'T1 GEN-2-3-4'!$K$89</f>
        <v>0</v>
      </c>
      <c r="H11" s="281" t="s">
        <v>698</v>
      </c>
      <c r="I11" s="282">
        <v>1</v>
      </c>
      <c r="J11" s="282"/>
      <c r="K11" s="1508"/>
    </row>
    <row r="12" spans="1:11" ht="15.75" customHeight="1" thickBot="1">
      <c r="A12" s="286" t="s">
        <v>1684</v>
      </c>
      <c r="B12" s="217"/>
      <c r="C12" s="217"/>
      <c r="D12" s="287"/>
      <c r="E12" s="217"/>
      <c r="F12" s="211"/>
      <c r="G12" s="749">
        <f>30132*fract</f>
        <v>30132</v>
      </c>
      <c r="H12" s="281" t="s">
        <v>699</v>
      </c>
      <c r="I12" s="282"/>
      <c r="J12" s="282"/>
      <c r="K12" s="1508"/>
    </row>
    <row r="13" spans="1:11" ht="15.75" customHeight="1">
      <c r="A13" s="286" t="s">
        <v>2471</v>
      </c>
      <c r="B13" s="217"/>
      <c r="C13" s="217"/>
      <c r="D13" s="287"/>
      <c r="E13" s="217"/>
      <c r="F13" s="211"/>
      <c r="G13" s="493">
        <f>MAXA(0,G11-G12)</f>
        <v>0</v>
      </c>
      <c r="H13" s="281" t="s">
        <v>700</v>
      </c>
      <c r="I13" s="282"/>
      <c r="J13" s="282"/>
      <c r="K13" s="1508"/>
    </row>
    <row r="14" spans="1:11" ht="15.75" customHeight="1" thickBot="1">
      <c r="A14" s="286" t="s">
        <v>2472</v>
      </c>
      <c r="B14" s="217"/>
      <c r="C14" s="217"/>
      <c r="D14" s="287"/>
      <c r="E14" s="217"/>
      <c r="F14" s="211"/>
      <c r="G14" s="794">
        <v>0.15</v>
      </c>
      <c r="H14" s="281" t="s">
        <v>701</v>
      </c>
      <c r="I14" s="282"/>
      <c r="J14" s="282"/>
      <c r="K14" s="1508"/>
    </row>
    <row r="15" spans="1:11" ht="15.75" customHeight="1">
      <c r="A15" s="286" t="s">
        <v>1597</v>
      </c>
      <c r="B15" s="217"/>
      <c r="C15" s="217"/>
      <c r="D15" s="287"/>
      <c r="E15" s="217"/>
      <c r="F15" s="211"/>
      <c r="G15" s="493">
        <f>0.15*G13</f>
        <v>0</v>
      </c>
      <c r="H15" s="1193" t="s">
        <v>410</v>
      </c>
      <c r="I15" s="493">
        <f>G15</f>
        <v>0</v>
      </c>
      <c r="J15" s="281" t="s">
        <v>702</v>
      </c>
      <c r="K15" s="1508"/>
    </row>
    <row r="16" spans="1:11" ht="15.75" customHeight="1">
      <c r="A16" s="286" t="s">
        <v>1653</v>
      </c>
      <c r="B16" s="217"/>
      <c r="C16" s="217"/>
      <c r="D16" s="287"/>
      <c r="E16" s="217"/>
      <c r="F16" s="214"/>
      <c r="G16" s="284"/>
      <c r="H16" s="288"/>
      <c r="I16" s="745">
        <f>MAXA(0,I10-I15)</f>
        <v>0</v>
      </c>
      <c r="J16" s="281" t="s">
        <v>64</v>
      </c>
      <c r="K16" s="1508"/>
    </row>
    <row r="17" spans="1:11" ht="15.75" customHeight="1">
      <c r="A17" s="288"/>
      <c r="B17" s="211"/>
      <c r="C17" s="211"/>
      <c r="D17" s="234"/>
      <c r="E17" s="211"/>
      <c r="F17" s="211"/>
      <c r="G17" s="288"/>
      <c r="H17" s="288"/>
      <c r="I17" s="282"/>
      <c r="J17" s="282"/>
      <c r="K17" s="1508"/>
    </row>
    <row r="18" spans="1:11" ht="15.75" customHeight="1">
      <c r="A18" s="288"/>
      <c r="B18" s="211"/>
      <c r="C18" s="211"/>
      <c r="D18" s="234"/>
      <c r="E18" s="211"/>
      <c r="F18" s="211"/>
      <c r="G18" s="288"/>
      <c r="H18" s="288"/>
      <c r="I18" s="282"/>
      <c r="J18" s="282"/>
      <c r="K18" s="1508"/>
    </row>
    <row r="19" spans="1:11" ht="23.25">
      <c r="A19" s="289" t="s">
        <v>589</v>
      </c>
      <c r="B19" s="211"/>
      <c r="C19" s="211"/>
      <c r="D19" s="234"/>
      <c r="E19" s="211"/>
      <c r="F19" s="211"/>
      <c r="G19" s="288"/>
      <c r="H19" s="288"/>
      <c r="I19" s="282"/>
      <c r="J19" s="282"/>
      <c r="K19" s="1508"/>
    </row>
    <row r="20" spans="1:11" ht="15.75" customHeight="1">
      <c r="A20" s="284" t="s">
        <v>60</v>
      </c>
      <c r="B20" s="214"/>
      <c r="C20" s="214"/>
      <c r="D20" s="285"/>
      <c r="E20" s="214"/>
      <c r="F20" s="214"/>
      <c r="G20" s="284"/>
      <c r="H20" s="288"/>
      <c r="I20" s="493">
        <f>8502*fract</f>
        <v>8502</v>
      </c>
      <c r="J20" s="281" t="s">
        <v>661</v>
      </c>
      <c r="K20" s="1508"/>
    </row>
    <row r="21" spans="1:11" ht="15.75" customHeight="1">
      <c r="A21" s="286" t="s">
        <v>2567</v>
      </c>
      <c r="B21" s="217"/>
      <c r="C21" s="217"/>
      <c r="D21" s="287"/>
      <c r="E21" s="217"/>
      <c r="F21" s="217"/>
      <c r="G21" s="286"/>
      <c r="H21" s="288"/>
      <c r="I21" s="154"/>
      <c r="J21" s="281" t="s">
        <v>698</v>
      </c>
      <c r="K21" s="1508"/>
    </row>
    <row r="22" spans="1:11" ht="15.75" customHeight="1">
      <c r="A22" s="290" t="s">
        <v>1066</v>
      </c>
      <c r="B22" s="227"/>
      <c r="C22" s="227"/>
      <c r="D22" s="291"/>
      <c r="E22" s="227"/>
      <c r="F22" s="227"/>
      <c r="G22" s="290"/>
      <c r="H22" s="288"/>
      <c r="I22" s="282"/>
      <c r="J22" s="282"/>
      <c r="K22" s="1508"/>
    </row>
    <row r="23" spans="1:11" ht="15.75" customHeight="1">
      <c r="A23" s="284" t="s">
        <v>2718</v>
      </c>
      <c r="B23" s="214"/>
      <c r="C23" s="214"/>
      <c r="D23" s="285"/>
      <c r="E23" s="214"/>
      <c r="F23" s="214"/>
      <c r="G23" s="284"/>
      <c r="H23" s="288"/>
      <c r="I23" s="745">
        <f>MAXA(0,I20-I21)</f>
        <v>8502</v>
      </c>
      <c r="J23" s="281" t="s">
        <v>699</v>
      </c>
      <c r="K23" s="1508"/>
    </row>
    <row r="24" spans="1:11" ht="15.75" customHeight="1">
      <c r="A24" s="490" t="s">
        <v>1363</v>
      </c>
      <c r="B24" s="71"/>
      <c r="C24" s="71"/>
      <c r="D24" s="71"/>
      <c r="E24" s="71"/>
      <c r="F24" s="211"/>
      <c r="G24" s="288"/>
      <c r="H24" s="288"/>
      <c r="I24" s="282"/>
      <c r="J24" s="282"/>
      <c r="K24" s="1508"/>
    </row>
    <row r="25" spans="1:11" ht="15.75" customHeight="1">
      <c r="A25" s="288"/>
      <c r="B25" s="211"/>
      <c r="C25" s="211"/>
      <c r="D25" s="234"/>
      <c r="E25" s="211"/>
      <c r="F25" s="211"/>
      <c r="G25" s="288"/>
      <c r="H25" s="288"/>
      <c r="I25" s="282"/>
      <c r="J25" s="282"/>
      <c r="K25" s="1508"/>
    </row>
    <row r="26" spans="1:11" ht="23.25">
      <c r="A26" s="289" t="s">
        <v>1656</v>
      </c>
      <c r="B26" s="211"/>
      <c r="C26" s="211"/>
      <c r="D26" s="234"/>
      <c r="E26" s="211"/>
      <c r="F26" s="211"/>
      <c r="G26" s="288"/>
      <c r="H26" s="288"/>
      <c r="I26" s="282"/>
      <c r="J26" s="282"/>
      <c r="K26" s="1508"/>
    </row>
    <row r="27" spans="1:11" ht="23.25">
      <c r="A27" s="292" t="s">
        <v>1051</v>
      </c>
      <c r="B27" s="211"/>
      <c r="C27" s="211"/>
      <c r="D27" s="234"/>
      <c r="E27" s="211"/>
      <c r="F27" s="211"/>
      <c r="G27" s="288"/>
      <c r="H27" s="288"/>
      <c r="I27" s="282"/>
      <c r="J27" s="282"/>
      <c r="K27" s="1508"/>
    </row>
    <row r="28" spans="1:11" ht="15.75" customHeight="1">
      <c r="A28" s="284" t="s">
        <v>1684</v>
      </c>
      <c r="B28" s="214"/>
      <c r="C28" s="214"/>
      <c r="D28" s="285"/>
      <c r="E28" s="214"/>
      <c r="F28" s="214"/>
      <c r="G28" s="284"/>
      <c r="H28" s="288"/>
      <c r="I28" s="493">
        <f>10241*fract</f>
        <v>10241</v>
      </c>
      <c r="J28" s="281" t="s">
        <v>661</v>
      </c>
      <c r="K28" s="1508"/>
    </row>
    <row r="29" spans="1:11" ht="15.75" customHeight="1" thickBot="1">
      <c r="A29" s="286" t="s">
        <v>1657</v>
      </c>
      <c r="B29" s="217"/>
      <c r="C29" s="217"/>
      <c r="D29" s="287"/>
      <c r="E29" s="217"/>
      <c r="F29" s="217"/>
      <c r="G29" s="286"/>
      <c r="H29" s="288"/>
      <c r="I29" s="746"/>
      <c r="J29" s="281" t="s">
        <v>698</v>
      </c>
      <c r="K29" s="1508"/>
    </row>
    <row r="30" spans="1:11" ht="15.75" customHeight="1">
      <c r="A30" s="286" t="s">
        <v>2719</v>
      </c>
      <c r="B30" s="217"/>
      <c r="C30" s="217"/>
      <c r="D30" s="287"/>
      <c r="E30" s="217"/>
      <c r="F30" s="217"/>
      <c r="G30" s="286"/>
      <c r="H30" s="288"/>
      <c r="I30" s="493">
        <f>IF((I28-I29)&gt;3949,3949,MAXA(0,I28-I29))</f>
        <v>3949</v>
      </c>
      <c r="J30" s="281" t="s">
        <v>699</v>
      </c>
      <c r="K30" s="1508"/>
    </row>
    <row r="31" spans="1:11" ht="15.75" customHeight="1">
      <c r="A31" s="286" t="s">
        <v>1395</v>
      </c>
      <c r="B31" s="217"/>
      <c r="C31" s="217"/>
      <c r="D31" s="287"/>
      <c r="E31" s="217"/>
      <c r="F31" s="217"/>
      <c r="G31" s="286"/>
      <c r="H31" s="288"/>
      <c r="I31" s="154">
        <v>100</v>
      </c>
      <c r="J31" s="281" t="s">
        <v>700</v>
      </c>
      <c r="K31" s="1508"/>
    </row>
    <row r="32" spans="1:11" ht="15.75" customHeight="1">
      <c r="A32" s="286" t="s">
        <v>1781</v>
      </c>
      <c r="B32" s="217"/>
      <c r="C32" s="217"/>
      <c r="D32" s="287"/>
      <c r="E32" s="217"/>
      <c r="F32" s="217"/>
      <c r="G32" s="286"/>
      <c r="H32" s="288"/>
      <c r="I32" s="745">
        <f>MAXA(0,I30-I31)</f>
        <v>3849</v>
      </c>
      <c r="J32" s="281" t="s">
        <v>701</v>
      </c>
      <c r="K32" s="1508"/>
    </row>
    <row r="33" spans="1:11" ht="15.75" customHeight="1">
      <c r="A33" s="292" t="s">
        <v>1051</v>
      </c>
      <c r="B33" s="211"/>
      <c r="C33" s="211"/>
      <c r="D33" s="234"/>
      <c r="E33" s="211"/>
      <c r="F33" s="211"/>
      <c r="G33" s="288"/>
      <c r="H33" s="288"/>
      <c r="I33" s="282"/>
      <c r="J33" s="282"/>
      <c r="K33" s="1508"/>
    </row>
    <row r="34" spans="1:11" ht="15.75" customHeight="1">
      <c r="A34" s="71" t="s">
        <v>243</v>
      </c>
      <c r="B34" s="69"/>
      <c r="C34" s="69"/>
      <c r="D34" s="69"/>
      <c r="E34" s="69"/>
      <c r="F34" s="70" t="s">
        <v>1782</v>
      </c>
      <c r="G34" s="153">
        <f>I32</f>
        <v>3849</v>
      </c>
      <c r="H34" s="288"/>
      <c r="I34" s="282"/>
      <c r="J34" s="282"/>
      <c r="K34" s="1508"/>
    </row>
    <row r="35" spans="1:11" ht="15.75" customHeight="1">
      <c r="A35" s="288"/>
      <c r="B35" s="211"/>
      <c r="C35" s="211"/>
      <c r="D35" s="234"/>
      <c r="E35" s="211"/>
      <c r="F35" s="211"/>
      <c r="G35" s="288"/>
      <c r="H35" s="288"/>
      <c r="I35" s="282"/>
      <c r="J35" s="282"/>
      <c r="K35" s="1508"/>
    </row>
    <row r="36" spans="1:11" ht="23.25">
      <c r="A36" s="289" t="s">
        <v>2225</v>
      </c>
      <c r="B36" s="211"/>
      <c r="C36" s="211"/>
      <c r="D36" s="234"/>
      <c r="E36" s="211"/>
      <c r="F36" s="211"/>
      <c r="G36" s="288"/>
      <c r="H36" s="288"/>
      <c r="I36" s="282"/>
      <c r="J36" s="282"/>
      <c r="K36" s="1508"/>
    </row>
    <row r="37" spans="1:11" ht="23.25">
      <c r="A37" s="292" t="s">
        <v>1051</v>
      </c>
      <c r="B37" s="211"/>
      <c r="C37" s="211"/>
      <c r="D37" s="234"/>
      <c r="E37" s="211"/>
      <c r="F37" s="211"/>
      <c r="G37" s="288"/>
      <c r="H37" s="288"/>
      <c r="I37" s="282"/>
      <c r="J37" s="282"/>
      <c r="K37" s="1508"/>
    </row>
    <row r="38" spans="1:11" ht="15.75" customHeight="1">
      <c r="A38" s="284" t="s">
        <v>1684</v>
      </c>
      <c r="B38" s="214"/>
      <c r="C38" s="214"/>
      <c r="D38" s="285"/>
      <c r="E38" s="214"/>
      <c r="F38" s="214"/>
      <c r="G38" s="284"/>
      <c r="H38" s="288"/>
      <c r="I38" s="493">
        <f>17317*fract</f>
        <v>17317</v>
      </c>
      <c r="J38" s="281" t="s">
        <v>661</v>
      </c>
      <c r="K38" s="1508"/>
    </row>
    <row r="39" spans="1:11" ht="15.75" customHeight="1" thickBot="1">
      <c r="A39" s="286" t="s">
        <v>2567</v>
      </c>
      <c r="B39" s="217"/>
      <c r="C39" s="217"/>
      <c r="D39" s="287"/>
      <c r="E39" s="217"/>
      <c r="F39" s="217"/>
      <c r="G39" s="286"/>
      <c r="H39" s="288"/>
      <c r="I39" s="746"/>
      <c r="J39" s="281" t="s">
        <v>698</v>
      </c>
      <c r="K39" s="1508"/>
    </row>
    <row r="40" spans="1:11" ht="15.75" customHeight="1">
      <c r="A40" s="286" t="s">
        <v>2720</v>
      </c>
      <c r="B40" s="217"/>
      <c r="C40" s="217"/>
      <c r="D40" s="287"/>
      <c r="E40" s="217"/>
      <c r="F40" s="217"/>
      <c r="G40" s="286"/>
      <c r="H40" s="288"/>
      <c r="I40" s="493">
        <f>IF((I38-I39)&gt;3949,3949,MAXA(0,I38-I39))</f>
        <v>3949</v>
      </c>
      <c r="J40" s="281" t="s">
        <v>699</v>
      </c>
      <c r="K40" s="1508"/>
    </row>
    <row r="41" spans="1:11" ht="15.75" customHeight="1">
      <c r="A41" s="286" t="s">
        <v>1395</v>
      </c>
      <c r="B41" s="217"/>
      <c r="C41" s="217"/>
      <c r="D41" s="287"/>
      <c r="E41" s="217"/>
      <c r="F41" s="217"/>
      <c r="G41" s="286"/>
      <c r="H41" s="288"/>
      <c r="I41" s="154"/>
      <c r="J41" s="281" t="s">
        <v>700</v>
      </c>
      <c r="K41" s="1508"/>
    </row>
    <row r="42" spans="1:11" ht="15.75" customHeight="1">
      <c r="A42" s="286" t="s">
        <v>1781</v>
      </c>
      <c r="B42" s="217"/>
      <c r="C42" s="217"/>
      <c r="D42" s="287"/>
      <c r="E42" s="217"/>
      <c r="F42" s="217"/>
      <c r="G42" s="286"/>
      <c r="H42" s="288"/>
      <c r="I42" s="745">
        <f>MAXA(0,I40-I41)</f>
        <v>3949</v>
      </c>
      <c r="J42" s="281" t="s">
        <v>701</v>
      </c>
      <c r="K42" s="1508"/>
    </row>
    <row r="43" spans="1:11" ht="15.75" customHeight="1">
      <c r="A43" s="288"/>
      <c r="B43" s="211"/>
      <c r="C43" s="211"/>
      <c r="D43" s="234"/>
      <c r="E43" s="211"/>
      <c r="F43" s="211"/>
      <c r="G43" s="288"/>
      <c r="H43" s="288"/>
      <c r="I43" s="282"/>
      <c r="J43" s="282"/>
      <c r="K43" s="1508"/>
    </row>
    <row r="44" spans="1:11" ht="15.75" customHeight="1">
      <c r="A44" s="292" t="s">
        <v>1051</v>
      </c>
      <c r="B44" s="211"/>
      <c r="C44" s="211"/>
      <c r="D44" s="234"/>
      <c r="E44" s="211"/>
      <c r="F44" s="211"/>
      <c r="G44" s="288"/>
      <c r="H44" s="288"/>
      <c r="I44" s="282"/>
      <c r="J44" s="282"/>
      <c r="K44" s="1508"/>
    </row>
    <row r="45" spans="1:11" ht="15.75" customHeight="1">
      <c r="A45" s="71" t="s">
        <v>588</v>
      </c>
      <c r="B45" s="69"/>
      <c r="C45" s="69"/>
      <c r="D45" s="69"/>
      <c r="E45" s="69"/>
      <c r="F45" s="70" t="s">
        <v>1782</v>
      </c>
      <c r="G45" s="153">
        <f>I42</f>
        <v>3949</v>
      </c>
      <c r="H45" s="288"/>
      <c r="I45" s="282"/>
      <c r="J45" s="282"/>
      <c r="K45" s="1508"/>
    </row>
    <row r="46" spans="1:11" ht="30" customHeight="1">
      <c r="A46" s="288"/>
      <c r="B46" s="211"/>
      <c r="C46" s="211"/>
      <c r="D46" s="293" t="s">
        <v>1900</v>
      </c>
      <c r="E46" s="211"/>
      <c r="F46" s="211"/>
      <c r="G46" s="288"/>
      <c r="H46" s="288"/>
      <c r="I46" s="282"/>
      <c r="J46" s="282"/>
      <c r="K46" s="1508"/>
    </row>
    <row r="47" spans="1:11" ht="15.75" customHeight="1">
      <c r="A47" s="289"/>
      <c r="B47" s="288"/>
      <c r="C47" s="288"/>
      <c r="D47" s="293"/>
      <c r="E47" s="288"/>
      <c r="F47" s="288"/>
      <c r="G47" s="288"/>
      <c r="H47" s="288"/>
      <c r="I47" s="282"/>
      <c r="J47" s="282"/>
      <c r="K47" s="1508"/>
    </row>
    <row r="48" spans="1:11" ht="23.25">
      <c r="A48" s="289" t="s">
        <v>2721</v>
      </c>
      <c r="B48" s="288"/>
      <c r="C48" s="288"/>
      <c r="D48" s="293"/>
      <c r="E48" s="288"/>
      <c r="F48" s="288"/>
      <c r="G48" s="288"/>
      <c r="H48" s="288"/>
      <c r="I48" s="1471" t="str">
        <f>yeartext&amp;")"</f>
        <v>2007)</v>
      </c>
      <c r="J48" s="282"/>
      <c r="K48" s="1508"/>
    </row>
    <row r="49" spans="1:11" ht="17.25" customHeight="1">
      <c r="A49" s="289"/>
      <c r="B49" s="298" t="s">
        <v>2151</v>
      </c>
      <c r="C49" s="288"/>
      <c r="D49" s="293"/>
      <c r="E49" s="288"/>
      <c r="F49" s="288"/>
      <c r="G49" s="288"/>
      <c r="H49" s="288"/>
      <c r="I49" s="282"/>
      <c r="J49" s="282"/>
      <c r="K49" s="1508"/>
    </row>
    <row r="50" spans="1:11" ht="24" customHeight="1">
      <c r="A50" s="284" t="s">
        <v>153</v>
      </c>
      <c r="B50" s="284"/>
      <c r="C50" s="284"/>
      <c r="D50" s="294"/>
      <c r="E50" s="284"/>
      <c r="F50" s="284"/>
      <c r="G50" s="284"/>
      <c r="H50" s="288"/>
      <c r="I50" s="493">
        <v>3950</v>
      </c>
      <c r="J50" s="281" t="s">
        <v>661</v>
      </c>
      <c r="K50" s="1508"/>
    </row>
    <row r="51" spans="1:11" ht="15.75" customHeight="1">
      <c r="A51" s="286" t="s">
        <v>1901</v>
      </c>
      <c r="B51" s="286"/>
      <c r="C51" s="286"/>
      <c r="D51" s="295"/>
      <c r="E51" s="286"/>
      <c r="F51" s="288"/>
      <c r="G51" s="154"/>
      <c r="H51" s="281" t="s">
        <v>698</v>
      </c>
      <c r="I51" s="282"/>
      <c r="J51" s="282"/>
      <c r="K51" s="1508"/>
    </row>
    <row r="52" spans="1:11" ht="15.75" customHeight="1" thickBot="1">
      <c r="A52" s="286" t="s">
        <v>60</v>
      </c>
      <c r="B52" s="286"/>
      <c r="C52" s="286"/>
      <c r="D52" s="295"/>
      <c r="E52" s="286"/>
      <c r="F52" s="288"/>
      <c r="G52" s="749">
        <v>2293</v>
      </c>
      <c r="H52" s="281" t="s">
        <v>699</v>
      </c>
      <c r="I52" s="282"/>
      <c r="J52" s="282"/>
      <c r="K52" s="1508"/>
    </row>
    <row r="53" spans="1:11" ht="15.75" customHeight="1" thickBot="1">
      <c r="A53" s="286" t="s">
        <v>2471</v>
      </c>
      <c r="B53" s="286"/>
      <c r="C53" s="286"/>
      <c r="D53" s="295"/>
      <c r="E53" s="286"/>
      <c r="F53" s="288"/>
      <c r="G53" s="493">
        <f>MAXA(0,G51-G52)</f>
        <v>0</v>
      </c>
      <c r="H53" s="1193" t="s">
        <v>410</v>
      </c>
      <c r="I53" s="747">
        <f>G53</f>
        <v>0</v>
      </c>
      <c r="J53" s="281" t="s">
        <v>700</v>
      </c>
      <c r="K53" s="1508"/>
    </row>
    <row r="54" spans="1:11" ht="15.75" customHeight="1">
      <c r="A54" s="286" t="s">
        <v>630</v>
      </c>
      <c r="B54" s="286"/>
      <c r="C54" s="286"/>
      <c r="D54" s="295"/>
      <c r="E54" s="286"/>
      <c r="F54" s="288"/>
      <c r="G54" s="288"/>
      <c r="H54" s="288"/>
      <c r="I54" s="493">
        <f>MAXA(0,I50-I53)</f>
        <v>3950</v>
      </c>
      <c r="J54" s="281" t="s">
        <v>701</v>
      </c>
      <c r="K54" s="1508"/>
    </row>
    <row r="55" spans="1:11" ht="21.75" customHeight="1">
      <c r="A55" s="795" t="s">
        <v>2722</v>
      </c>
      <c r="B55" s="288"/>
      <c r="C55" s="288"/>
      <c r="D55" s="293"/>
      <c r="E55" s="288"/>
      <c r="F55" s="288"/>
      <c r="G55" s="288"/>
      <c r="H55" s="288"/>
      <c r="I55" s="282"/>
      <c r="J55" s="282"/>
      <c r="K55" s="1508"/>
    </row>
    <row r="56" spans="1:11" ht="15.75" customHeight="1">
      <c r="A56" s="288" t="s">
        <v>754</v>
      </c>
      <c r="B56" s="288"/>
      <c r="C56" s="288"/>
      <c r="D56" s="293"/>
      <c r="E56" s="288"/>
      <c r="F56" s="288"/>
      <c r="G56" s="288"/>
      <c r="H56" s="298" t="s">
        <v>1664</v>
      </c>
      <c r="I56" s="978">
        <f>6770+IF(age&gt;=18,0,I54)</f>
        <v>6770</v>
      </c>
      <c r="J56" s="282"/>
      <c r="K56" s="1508"/>
    </row>
    <row r="57" spans="1:11" ht="15.75" customHeight="1">
      <c r="A57" s="490" t="s">
        <v>706</v>
      </c>
      <c r="B57" s="71"/>
      <c r="C57" s="71"/>
      <c r="D57" s="71"/>
      <c r="E57" s="71"/>
      <c r="F57" s="71"/>
      <c r="G57" s="288"/>
      <c r="H57" s="288"/>
      <c r="I57" s="282"/>
      <c r="J57" s="282"/>
      <c r="K57" s="1508"/>
    </row>
    <row r="58" spans="1:11" ht="34.5" customHeight="1">
      <c r="A58" s="288"/>
      <c r="B58" s="288"/>
      <c r="C58" s="288"/>
      <c r="D58" s="293"/>
      <c r="E58" s="288"/>
      <c r="F58" s="288"/>
      <c r="G58" s="288"/>
      <c r="H58" s="288"/>
      <c r="I58" s="282"/>
      <c r="J58" s="282"/>
      <c r="K58" s="1508"/>
    </row>
    <row r="59" spans="1:11" ht="15.75" customHeight="1">
      <c r="A59" s="289" t="s">
        <v>209</v>
      </c>
      <c r="B59" s="288"/>
      <c r="C59" s="288"/>
      <c r="D59" s="293"/>
      <c r="E59" s="288"/>
      <c r="F59" s="288"/>
      <c r="G59" s="288"/>
      <c r="H59" s="288"/>
      <c r="I59" s="282"/>
      <c r="J59" s="282"/>
      <c r="K59" s="1508"/>
    </row>
    <row r="60" spans="1:11" ht="32.25" customHeight="1">
      <c r="A60" s="292" t="s">
        <v>874</v>
      </c>
      <c r="B60" s="288"/>
      <c r="C60" s="288"/>
      <c r="D60" s="293"/>
      <c r="E60" s="288"/>
      <c r="F60" s="288"/>
      <c r="G60" s="288"/>
      <c r="H60" s="288"/>
      <c r="I60" s="282"/>
      <c r="J60" s="282"/>
      <c r="K60" s="1508"/>
    </row>
    <row r="61" spans="1:11" ht="15.75" customHeight="1">
      <c r="A61" s="284" t="s">
        <v>60</v>
      </c>
      <c r="B61" s="284"/>
      <c r="C61" s="284"/>
      <c r="D61" s="294"/>
      <c r="E61" s="284"/>
      <c r="F61" s="284"/>
      <c r="G61" s="284"/>
      <c r="H61" s="288"/>
      <c r="I61" s="493">
        <f>6770*fract</f>
        <v>6770</v>
      </c>
      <c r="J61" s="281" t="s">
        <v>661</v>
      </c>
      <c r="K61" s="1508"/>
    </row>
    <row r="62" spans="1:11" ht="15.75" customHeight="1">
      <c r="A62" s="290" t="str">
        <f>"If the dependant was under age 18 on December 31, "&amp;yeartext&amp;", enter the amount from line 5 of the calculation for"</f>
        <v>If the dependant was under age 18 on December 31, 2007, enter the amount from line 5 of the calculation for</v>
      </c>
      <c r="B62" s="290"/>
      <c r="C62" s="290"/>
      <c r="D62" s="296"/>
      <c r="E62" s="290"/>
      <c r="F62" s="290"/>
      <c r="G62" s="290"/>
      <c r="H62" s="288"/>
      <c r="I62" s="298"/>
      <c r="J62" s="282"/>
      <c r="K62" s="1508"/>
    </row>
    <row r="63" spans="1:11" ht="15.75" customHeight="1" thickBot="1">
      <c r="A63" s="284" t="s">
        <v>738</v>
      </c>
      <c r="B63" s="284"/>
      <c r="C63" s="284"/>
      <c r="D63" s="294"/>
      <c r="E63" s="284"/>
      <c r="F63" s="284"/>
      <c r="G63" s="284"/>
      <c r="H63" s="288"/>
      <c r="I63" s="748"/>
      <c r="J63" s="281" t="s">
        <v>698</v>
      </c>
      <c r="K63" s="1508"/>
    </row>
    <row r="64" spans="1:11" ht="15.75" customHeight="1">
      <c r="A64" s="286" t="s">
        <v>1325</v>
      </c>
      <c r="B64" s="286"/>
      <c r="C64" s="286"/>
      <c r="D64" s="295"/>
      <c r="E64" s="286"/>
      <c r="F64" s="286"/>
      <c r="G64" s="286"/>
      <c r="H64" s="288"/>
      <c r="I64" s="493">
        <f>I61+I63</f>
        <v>6770</v>
      </c>
      <c r="J64" s="281" t="s">
        <v>699</v>
      </c>
      <c r="K64" s="1508"/>
    </row>
    <row r="65" spans="1:11" ht="15.75" customHeight="1" thickBot="1">
      <c r="A65" s="286" t="s">
        <v>405</v>
      </c>
      <c r="B65" s="286"/>
      <c r="C65" s="286"/>
      <c r="D65" s="295"/>
      <c r="E65" s="286"/>
      <c r="F65" s="286"/>
      <c r="G65" s="286"/>
      <c r="H65" s="288"/>
      <c r="I65" s="746"/>
      <c r="J65" s="281" t="s">
        <v>700</v>
      </c>
      <c r="K65" s="1508"/>
    </row>
    <row r="66" spans="1:11" ht="15.75" customHeight="1">
      <c r="A66" s="286" t="s">
        <v>2315</v>
      </c>
      <c r="B66" s="286"/>
      <c r="C66" s="286"/>
      <c r="D66" s="295"/>
      <c r="E66" s="286"/>
      <c r="F66" s="286"/>
      <c r="G66" s="286"/>
      <c r="H66" s="288"/>
      <c r="I66" s="493">
        <f>I64+I65</f>
        <v>6770</v>
      </c>
      <c r="J66" s="281" t="s">
        <v>701</v>
      </c>
      <c r="K66" s="1508"/>
    </row>
    <row r="67" spans="1:11" ht="15.75" customHeight="1">
      <c r="A67" s="286" t="s">
        <v>1448</v>
      </c>
      <c r="B67" s="286"/>
      <c r="C67" s="286"/>
      <c r="D67" s="295"/>
      <c r="E67" s="286"/>
      <c r="F67" s="286"/>
      <c r="G67" s="286"/>
      <c r="H67" s="288"/>
      <c r="I67" s="154"/>
      <c r="J67" s="281" t="s">
        <v>702</v>
      </c>
      <c r="K67" s="1508"/>
    </row>
    <row r="68" spans="1:11" ht="15.75" customHeight="1">
      <c r="A68" s="290" t="s">
        <v>1449</v>
      </c>
      <c r="B68" s="290"/>
      <c r="C68" s="290"/>
      <c r="D68" s="296"/>
      <c r="E68" s="290"/>
      <c r="F68" s="290"/>
      <c r="G68" s="290"/>
      <c r="H68" s="288"/>
      <c r="I68" s="298"/>
      <c r="J68" s="282"/>
      <c r="K68" s="1508"/>
    </row>
    <row r="69" spans="1:11" ht="15.75" customHeight="1">
      <c r="A69" s="284" t="s">
        <v>2112</v>
      </c>
      <c r="B69" s="284"/>
      <c r="C69" s="284"/>
      <c r="D69" s="294"/>
      <c r="E69" s="284"/>
      <c r="F69" s="284"/>
      <c r="G69" s="284"/>
      <c r="H69" s="288"/>
      <c r="I69" s="745">
        <f>MAXA(0,I66-I67)</f>
        <v>6770</v>
      </c>
      <c r="J69" s="281" t="s">
        <v>64</v>
      </c>
      <c r="K69" s="1508"/>
    </row>
    <row r="70" spans="1:11" ht="15.75" customHeight="1">
      <c r="A70" s="288"/>
      <c r="B70" s="288"/>
      <c r="C70" s="288"/>
      <c r="D70" s="293"/>
      <c r="E70" s="288"/>
      <c r="F70" s="298" t="s">
        <v>1126</v>
      </c>
      <c r="G70" s="645">
        <f>MINA(I64,I69)</f>
        <v>6770</v>
      </c>
      <c r="H70" s="288"/>
      <c r="I70" s="298"/>
      <c r="J70" s="282"/>
      <c r="K70" s="1508"/>
    </row>
    <row r="71" spans="1:11" ht="21" customHeight="1">
      <c r="A71" s="288"/>
      <c r="B71" s="288"/>
      <c r="C71" s="288"/>
      <c r="D71" s="293"/>
      <c r="E71" s="490"/>
      <c r="F71" s="979" t="s">
        <v>1782</v>
      </c>
      <c r="G71" s="153">
        <f>G70</f>
        <v>6770</v>
      </c>
      <c r="H71" s="288"/>
      <c r="I71" s="298"/>
      <c r="J71" s="282"/>
      <c r="K71" s="1508"/>
    </row>
    <row r="72" spans="1:11" ht="15.75" customHeight="1">
      <c r="A72" s="288" t="s">
        <v>1511</v>
      </c>
      <c r="B72" s="288"/>
      <c r="C72" s="288"/>
      <c r="D72" s="293"/>
      <c r="E72" s="288"/>
      <c r="F72" s="288"/>
      <c r="G72" s="288"/>
      <c r="H72" s="288"/>
      <c r="I72" s="282"/>
      <c r="J72" s="282"/>
      <c r="K72" s="1508"/>
    </row>
    <row r="73" spans="1:11" ht="15.75" customHeight="1">
      <c r="A73" s="288" t="s">
        <v>2244</v>
      </c>
      <c r="B73" s="288"/>
      <c r="C73" s="288"/>
      <c r="D73" s="293"/>
      <c r="E73" s="288"/>
      <c r="F73" s="288"/>
      <c r="G73" s="288"/>
      <c r="H73" s="288"/>
      <c r="I73" s="282"/>
      <c r="J73" s="282"/>
      <c r="K73" s="1508"/>
    </row>
    <row r="74" spans="1:11" ht="15.75" customHeight="1">
      <c r="A74" s="288" t="s">
        <v>572</v>
      </c>
      <c r="B74" s="288"/>
      <c r="C74" s="288"/>
      <c r="D74" s="293"/>
      <c r="E74" s="288"/>
      <c r="F74" s="288"/>
      <c r="G74" s="288"/>
      <c r="H74" s="288"/>
      <c r="I74" s="282"/>
      <c r="J74" s="282"/>
      <c r="K74" s="1508"/>
    </row>
    <row r="75" spans="1:11" ht="15.75" customHeight="1">
      <c r="A75" s="288"/>
      <c r="B75" s="288"/>
      <c r="C75" s="288"/>
      <c r="D75" s="293"/>
      <c r="E75" s="288"/>
      <c r="F75" s="288"/>
      <c r="G75" s="288"/>
      <c r="H75" s="288"/>
      <c r="I75" s="282"/>
      <c r="J75" s="282"/>
      <c r="K75" s="1508"/>
    </row>
    <row r="76" spans="1:11" ht="15.75" customHeight="1">
      <c r="A76" s="289" t="s">
        <v>179</v>
      </c>
      <c r="B76" s="288"/>
      <c r="C76" s="288"/>
      <c r="D76" s="293"/>
      <c r="E76" s="288"/>
      <c r="F76" s="288"/>
      <c r="G76" s="288"/>
      <c r="H76" s="288"/>
      <c r="I76" s="282"/>
      <c r="J76" s="282"/>
      <c r="K76" s="1508"/>
    </row>
    <row r="77" spans="1:11" ht="30" customHeight="1">
      <c r="A77" s="292" t="s">
        <v>874</v>
      </c>
      <c r="B77" s="288"/>
      <c r="C77" s="288"/>
      <c r="D77" s="293"/>
      <c r="E77" s="288"/>
      <c r="F77" s="288"/>
      <c r="G77" s="288"/>
      <c r="H77" s="288"/>
      <c r="I77" s="282"/>
      <c r="J77" s="282"/>
      <c r="K77" s="1508"/>
    </row>
    <row r="78" spans="1:11" ht="15.75" customHeight="1">
      <c r="A78" s="284" t="s">
        <v>180</v>
      </c>
      <c r="B78" s="284"/>
      <c r="C78" s="284"/>
      <c r="D78" s="294"/>
      <c r="E78" s="284"/>
      <c r="F78" s="284"/>
      <c r="G78" s="284"/>
      <c r="H78" s="288"/>
      <c r="I78" s="153"/>
      <c r="J78" s="281" t="s">
        <v>661</v>
      </c>
      <c r="K78" s="1508"/>
    </row>
    <row r="79" spans="1:11" ht="15.75" customHeight="1">
      <c r="A79" s="286" t="s">
        <v>453</v>
      </c>
      <c r="B79" s="284"/>
      <c r="C79" s="284"/>
      <c r="D79" s="294"/>
      <c r="E79" s="284"/>
      <c r="F79" s="284"/>
      <c r="G79" s="284"/>
      <c r="H79" s="288"/>
      <c r="I79" s="153"/>
      <c r="J79" s="281"/>
      <c r="K79" s="1508"/>
    </row>
    <row r="80" spans="1:11" ht="15.75" customHeight="1">
      <c r="A80" s="286" t="s">
        <v>2730</v>
      </c>
      <c r="B80" s="286"/>
      <c r="C80" s="286"/>
      <c r="D80" s="295"/>
      <c r="E80" s="286"/>
      <c r="F80" s="286"/>
      <c r="G80" s="286"/>
      <c r="H80" s="288"/>
      <c r="I80" s="493">
        <f>MIN(1877,0.03*I79)</f>
        <v>0</v>
      </c>
      <c r="J80" s="281" t="s">
        <v>698</v>
      </c>
      <c r="K80" s="1508"/>
    </row>
    <row r="81" spans="1:11" ht="15.75" customHeight="1">
      <c r="A81" s="286" t="s">
        <v>1360</v>
      </c>
      <c r="B81" s="286"/>
      <c r="C81" s="286"/>
      <c r="D81" s="295"/>
      <c r="E81" s="286"/>
      <c r="F81" s="286"/>
      <c r="G81" s="286"/>
      <c r="H81" s="288"/>
      <c r="I81" s="493">
        <f>IF((I78-I80)&gt;10000,10000,MAXA(0,I78-I80))</f>
        <v>0</v>
      </c>
      <c r="J81" s="281" t="s">
        <v>699</v>
      </c>
      <c r="K81" s="1508"/>
    </row>
    <row r="82" spans="1:11" ht="15.75" customHeight="1">
      <c r="A82" s="288"/>
      <c r="B82" s="288"/>
      <c r="C82" s="288"/>
      <c r="D82" s="293"/>
      <c r="E82" s="288"/>
      <c r="F82" s="288"/>
      <c r="G82" s="288"/>
      <c r="H82" s="288"/>
      <c r="I82" s="282"/>
      <c r="J82" s="282"/>
      <c r="K82" s="1508"/>
    </row>
    <row r="83" spans="1:11" ht="15.75" customHeight="1">
      <c r="A83" s="292" t="s">
        <v>874</v>
      </c>
      <c r="B83" s="288"/>
      <c r="C83" s="288"/>
      <c r="D83" s="293"/>
      <c r="E83" s="288"/>
      <c r="F83" s="288"/>
      <c r="G83" s="288"/>
      <c r="H83" s="288"/>
      <c r="I83" s="282"/>
      <c r="J83" s="282"/>
      <c r="K83" s="1508"/>
    </row>
    <row r="84" spans="1:11" ht="15.75" customHeight="1">
      <c r="A84" s="297" t="s">
        <v>1361</v>
      </c>
      <c r="B84" s="288"/>
      <c r="C84" s="288"/>
      <c r="D84" s="293"/>
      <c r="E84" s="69"/>
      <c r="F84" s="70" t="s">
        <v>1782</v>
      </c>
      <c r="G84" s="153"/>
      <c r="H84" s="288"/>
      <c r="I84" s="282"/>
      <c r="J84" s="282"/>
      <c r="K84" s="1508"/>
    </row>
    <row r="85" spans="1:11" ht="25.5" customHeight="1">
      <c r="A85" s="297"/>
      <c r="B85" s="288"/>
      <c r="C85" s="288"/>
      <c r="D85" s="293"/>
      <c r="E85" s="288"/>
      <c r="F85" s="288"/>
      <c r="G85" s="288"/>
      <c r="H85" s="288"/>
      <c r="I85" s="282"/>
      <c r="J85" s="282"/>
      <c r="K85" s="1508"/>
    </row>
    <row r="86" spans="1:11" ht="15.75" customHeight="1">
      <c r="A86" s="755" t="s">
        <v>2723</v>
      </c>
      <c r="B86" s="288"/>
      <c r="C86" s="288"/>
      <c r="D86" s="293"/>
      <c r="E86" s="288"/>
      <c r="F86" s="288"/>
      <c r="G86" s="288"/>
      <c r="H86" s="288"/>
      <c r="I86" s="282"/>
      <c r="J86" s="282"/>
      <c r="K86" s="1508"/>
    </row>
    <row r="87" spans="1:11" ht="25.5" customHeight="1">
      <c r="A87" s="288" t="s">
        <v>2006</v>
      </c>
      <c r="B87" s="288"/>
      <c r="C87" s="288"/>
      <c r="D87" s="293"/>
      <c r="E87" s="288"/>
      <c r="F87" s="288"/>
      <c r="G87" s="288"/>
      <c r="H87" s="288"/>
      <c r="I87" s="282"/>
      <c r="J87" s="282"/>
      <c r="K87" s="1508"/>
    </row>
    <row r="88" spans="1:11" ht="33" customHeight="1">
      <c r="A88" s="288" t="s">
        <v>859</v>
      </c>
      <c r="B88" s="288"/>
      <c r="C88" s="288"/>
      <c r="D88" s="293"/>
      <c r="E88" s="288"/>
      <c r="F88" s="288"/>
      <c r="G88" s="288"/>
      <c r="H88" s="288"/>
      <c r="I88" s="282"/>
      <c r="J88" s="282"/>
      <c r="K88" s="1508"/>
    </row>
    <row r="89" spans="1:11" ht="15.75" customHeight="1">
      <c r="A89" s="1194" t="s">
        <v>858</v>
      </c>
      <c r="B89" s="284"/>
      <c r="C89" s="284"/>
      <c r="D89" s="293"/>
      <c r="E89" s="493">
        <f>IF('T1 GEN-2-3-4'!G24=0,'T1 GEN-2-3-4'!I23,0)</f>
        <v>0</v>
      </c>
      <c r="F89" s="288"/>
      <c r="G89" s="478" t="s">
        <v>2008</v>
      </c>
      <c r="H89" s="288"/>
      <c r="I89" s="493">
        <f>E89*0.12</f>
        <v>0</v>
      </c>
      <c r="J89" s="282"/>
      <c r="K89" s="1508"/>
    </row>
    <row r="90" spans="1:11" ht="15.75" customHeight="1">
      <c r="A90" s="288" t="s">
        <v>2007</v>
      </c>
      <c r="B90" s="288"/>
      <c r="C90" s="288"/>
      <c r="D90" s="293"/>
      <c r="E90" s="288"/>
      <c r="F90" s="288"/>
      <c r="G90" s="288"/>
      <c r="H90" s="288"/>
      <c r="I90" s="282"/>
      <c r="J90" s="282"/>
      <c r="K90" s="1508"/>
    </row>
    <row r="91" spans="1:11" ht="15.75" customHeight="1">
      <c r="A91" s="288"/>
      <c r="B91" s="288"/>
      <c r="C91" s="288"/>
      <c r="D91" s="293"/>
      <c r="E91" s="288"/>
      <c r="F91" s="288"/>
      <c r="G91" s="288"/>
      <c r="H91" s="288"/>
      <c r="I91" s="282"/>
      <c r="J91" s="282"/>
      <c r="K91" s="1508"/>
    </row>
    <row r="92" spans="1:11" ht="15.75" customHeight="1">
      <c r="A92" s="288" t="s">
        <v>860</v>
      </c>
      <c r="B92" s="288"/>
      <c r="C92" s="288"/>
      <c r="D92" s="293"/>
      <c r="E92" s="288"/>
      <c r="F92" s="288"/>
      <c r="G92" s="288"/>
      <c r="H92" s="288"/>
      <c r="I92" s="282"/>
      <c r="J92" s="282"/>
      <c r="K92" s="1508"/>
    </row>
    <row r="93" spans="1:11" ht="15.75" customHeight="1">
      <c r="A93" s="284" t="s">
        <v>858</v>
      </c>
      <c r="B93" s="284"/>
      <c r="C93" s="284"/>
      <c r="D93" s="293"/>
      <c r="E93" s="493">
        <f>IF('T1 GEN-2-3-4'!G24&gt;0,'T1 GEN-2-3-4'!I23,0)</f>
        <v>0</v>
      </c>
      <c r="F93" s="996" t="s">
        <v>661</v>
      </c>
      <c r="G93" s="288"/>
      <c r="H93" s="288"/>
      <c r="I93" s="282"/>
      <c r="J93" s="282"/>
      <c r="K93" s="1508"/>
    </row>
    <row r="94" spans="1:11" ht="15.75" customHeight="1" thickBot="1">
      <c r="A94" s="286" t="s">
        <v>861</v>
      </c>
      <c r="B94" s="286"/>
      <c r="C94" s="286"/>
      <c r="D94" s="293"/>
      <c r="E94" s="749">
        <f>'T1 GEN-2-3-4'!G24</f>
        <v>0</v>
      </c>
      <c r="F94" s="996" t="s">
        <v>698</v>
      </c>
      <c r="G94" s="478" t="s">
        <v>624</v>
      </c>
      <c r="H94" s="288"/>
      <c r="I94" s="493">
        <f>E94*0.051</f>
        <v>0</v>
      </c>
      <c r="J94" s="996" t="s">
        <v>700</v>
      </c>
      <c r="K94" s="1508"/>
    </row>
    <row r="95" spans="1:11" ht="15.75" customHeight="1">
      <c r="A95" s="286" t="s">
        <v>862</v>
      </c>
      <c r="B95" s="286"/>
      <c r="C95" s="286"/>
      <c r="D95" s="293"/>
      <c r="E95" s="493">
        <f>MAX(0,(E93-E94))</f>
        <v>0</v>
      </c>
      <c r="F95" s="281" t="s">
        <v>699</v>
      </c>
      <c r="G95" s="469" t="s">
        <v>625</v>
      </c>
      <c r="H95" s="288"/>
      <c r="I95" s="493">
        <f>E95*0.12</f>
        <v>0</v>
      </c>
      <c r="J95" s="996" t="s">
        <v>701</v>
      </c>
      <c r="K95" s="1508"/>
    </row>
    <row r="96" spans="1:11" ht="15.75" customHeight="1">
      <c r="A96" s="288" t="s">
        <v>863</v>
      </c>
      <c r="B96" s="288"/>
      <c r="C96" s="288"/>
      <c r="D96" s="293"/>
      <c r="E96" s="288"/>
      <c r="F96" s="288"/>
      <c r="G96" s="288"/>
      <c r="H96" s="288"/>
      <c r="I96" s="282"/>
      <c r="J96" s="281"/>
      <c r="K96" s="1508"/>
    </row>
    <row r="97" spans="1:11" ht="15.75" customHeight="1">
      <c r="A97" s="284" t="s">
        <v>1439</v>
      </c>
      <c r="B97" s="284"/>
      <c r="C97" s="284"/>
      <c r="D97" s="294"/>
      <c r="E97" s="284"/>
      <c r="F97" s="284"/>
      <c r="G97" s="284"/>
      <c r="H97" s="288"/>
      <c r="I97" s="745">
        <f>I94+I95</f>
        <v>0</v>
      </c>
      <c r="J97" s="281" t="s">
        <v>702</v>
      </c>
      <c r="K97" s="1508"/>
    </row>
    <row r="98" spans="1:11" ht="15.75" customHeight="1">
      <c r="A98" s="297"/>
      <c r="B98" s="288"/>
      <c r="C98" s="288"/>
      <c r="D98" s="293"/>
      <c r="E98" s="288"/>
      <c r="F98" s="288"/>
      <c r="G98" s="288"/>
      <c r="H98" s="288"/>
      <c r="I98" s="282"/>
      <c r="J98" s="282"/>
      <c r="K98" s="1508"/>
    </row>
    <row r="99" spans="1:11" ht="15.75" customHeight="1">
      <c r="A99" s="297"/>
      <c r="B99" s="288"/>
      <c r="C99" s="288"/>
      <c r="D99" s="293"/>
      <c r="E99" s="288"/>
      <c r="F99" s="288"/>
      <c r="G99" s="288"/>
      <c r="H99" s="288"/>
      <c r="I99" s="282"/>
      <c r="J99" s="282"/>
      <c r="K99" s="1508"/>
    </row>
    <row r="100" spans="1:11" ht="15.75" customHeight="1">
      <c r="A100" s="297"/>
      <c r="B100" s="288"/>
      <c r="C100" s="288"/>
      <c r="D100" s="293" t="s">
        <v>1900</v>
      </c>
      <c r="E100" s="288"/>
      <c r="F100" s="288"/>
      <c r="G100" s="288"/>
      <c r="H100" s="288"/>
      <c r="I100" s="282"/>
      <c r="J100" s="282"/>
      <c r="K100" s="1508"/>
    </row>
    <row r="101" spans="1:11" ht="15.75" customHeight="1">
      <c r="A101" s="297"/>
      <c r="B101" s="288"/>
      <c r="C101" s="288"/>
      <c r="D101" s="293"/>
      <c r="E101" s="288"/>
      <c r="F101" s="288"/>
      <c r="G101" s="288"/>
      <c r="H101" s="288"/>
      <c r="I101" s="282"/>
      <c r="J101" s="282"/>
      <c r="K101" s="1508"/>
    </row>
    <row r="102" spans="1:11" ht="23.25">
      <c r="A102" s="289" t="s">
        <v>2726</v>
      </c>
      <c r="B102" s="288"/>
      <c r="C102" s="288"/>
      <c r="D102" s="293"/>
      <c r="E102" s="288"/>
      <c r="F102" s="288"/>
      <c r="G102" s="288"/>
      <c r="H102" s="288"/>
      <c r="I102" s="282"/>
      <c r="J102" s="282"/>
      <c r="K102" s="1508"/>
    </row>
    <row r="103" spans="1:11" ht="15.75" customHeight="1">
      <c r="A103" s="288" t="s">
        <v>571</v>
      </c>
      <c r="B103" s="288"/>
      <c r="C103" s="288"/>
      <c r="D103" s="293"/>
      <c r="E103" s="288"/>
      <c r="F103" s="288"/>
      <c r="G103" s="288"/>
      <c r="H103" s="288"/>
      <c r="I103" s="282"/>
      <c r="J103" s="282"/>
      <c r="K103" s="1508"/>
    </row>
    <row r="104" spans="1:11" ht="15.75" customHeight="1">
      <c r="A104" s="288" t="s">
        <v>1440</v>
      </c>
      <c r="B104" s="288"/>
      <c r="C104" s="288"/>
      <c r="D104" s="293"/>
      <c r="E104" s="288"/>
      <c r="F104" s="288"/>
      <c r="G104" s="288"/>
      <c r="H104" s="288"/>
      <c r="I104" s="282"/>
      <c r="J104" s="282"/>
      <c r="K104" s="1508"/>
    </row>
    <row r="105" spans="1:11" ht="40.5" customHeight="1">
      <c r="A105" s="972" t="s">
        <v>1237</v>
      </c>
      <c r="B105" s="288"/>
      <c r="C105" s="215"/>
      <c r="D105" s="215"/>
      <c r="E105" s="753" t="s">
        <v>1414</v>
      </c>
      <c r="F105" s="215"/>
      <c r="G105" s="215"/>
      <c r="H105" s="588"/>
      <c r="I105" s="215"/>
      <c r="J105" s="282"/>
      <c r="K105" s="1508"/>
    </row>
    <row r="106" spans="1:11" ht="15.75" customHeight="1">
      <c r="A106" s="976" t="s">
        <v>1238</v>
      </c>
      <c r="B106" s="288"/>
      <c r="C106" s="447">
        <f>'BC428'!J64-'BC428'!H68-'BC428'!H70</f>
        <v>-514.54</v>
      </c>
      <c r="D106" s="1586" t="s">
        <v>2131</v>
      </c>
      <c r="E106" s="218" t="s">
        <v>1415</v>
      </c>
      <c r="F106" s="214"/>
      <c r="G106" s="447">
        <f>Sch1!I68</f>
        <v>0</v>
      </c>
      <c r="H106" s="230" t="s">
        <v>1416</v>
      </c>
      <c r="I106" s="447">
        <f>C106*G106/(C107+0.0001)</f>
        <v>0</v>
      </c>
      <c r="J106" s="281" t="s">
        <v>661</v>
      </c>
      <c r="K106" s="1508"/>
    </row>
    <row r="107" spans="1:11" ht="15.75" customHeight="1">
      <c r="A107" s="972" t="s">
        <v>1239</v>
      </c>
      <c r="B107" s="288"/>
      <c r="C107" s="799">
        <f>Sch1!I63-Sch1!K43-Sch1!I67</f>
        <v>-1440</v>
      </c>
      <c r="D107" s="1587"/>
      <c r="E107" s="215"/>
      <c r="F107" s="215"/>
      <c r="G107" s="215"/>
      <c r="H107" s="588"/>
      <c r="I107" s="215"/>
      <c r="J107" s="281"/>
      <c r="K107" s="1508"/>
    </row>
    <row r="108" spans="1:11" ht="15.75" customHeight="1">
      <c r="A108" s="972" t="s">
        <v>1240</v>
      </c>
      <c r="B108" s="288"/>
      <c r="C108" s="288"/>
      <c r="D108" s="293"/>
      <c r="E108" s="288"/>
      <c r="F108" s="288"/>
      <c r="G108" s="288"/>
      <c r="H108" s="288"/>
      <c r="I108" s="282"/>
      <c r="J108" s="281"/>
      <c r="K108" s="1508"/>
    </row>
    <row r="109" spans="1:11" ht="36" customHeight="1">
      <c r="A109" s="244" t="s">
        <v>2724</v>
      </c>
      <c r="B109" s="288"/>
      <c r="C109" s="288"/>
      <c r="D109" s="293"/>
      <c r="E109" s="288"/>
      <c r="F109" s="288"/>
      <c r="G109" s="288"/>
      <c r="H109" s="288"/>
      <c r="I109" s="282"/>
      <c r="J109" s="281"/>
      <c r="K109" s="1508"/>
    </row>
    <row r="110" spans="1:11" ht="15.75" customHeight="1">
      <c r="A110" s="244" t="s">
        <v>2725</v>
      </c>
      <c r="B110" s="288"/>
      <c r="C110" s="288"/>
      <c r="D110" s="293"/>
      <c r="E110" s="288"/>
      <c r="F110" s="288"/>
      <c r="G110" s="288"/>
      <c r="H110" s="288"/>
      <c r="I110" s="282"/>
      <c r="J110" s="281"/>
      <c r="K110" s="1508"/>
    </row>
    <row r="111" spans="1:11" ht="15.75" customHeight="1">
      <c r="A111" s="244" t="s">
        <v>1241</v>
      </c>
      <c r="B111" s="288"/>
      <c r="C111" s="288"/>
      <c r="D111" s="293"/>
      <c r="E111" s="288"/>
      <c r="F111" s="288"/>
      <c r="G111" s="288"/>
      <c r="H111" s="288"/>
      <c r="I111" s="282"/>
      <c r="J111" s="281"/>
      <c r="K111" s="1508"/>
    </row>
    <row r="112" spans="1:11" ht="38.25" customHeight="1">
      <c r="A112" s="1225" t="s">
        <v>2727</v>
      </c>
      <c r="B112" s="288"/>
      <c r="C112" s="288"/>
      <c r="D112" s="293"/>
      <c r="E112" s="288"/>
      <c r="F112" s="288"/>
      <c r="G112" s="288"/>
      <c r="H112" s="288"/>
      <c r="I112" s="282"/>
      <c r="J112" s="282"/>
      <c r="K112" s="1508"/>
    </row>
    <row r="113" spans="1:11" ht="30.75" customHeight="1">
      <c r="A113" s="288" t="s">
        <v>2729</v>
      </c>
      <c r="B113" s="288"/>
      <c r="C113" s="288"/>
      <c r="D113" s="293"/>
      <c r="E113" s="288"/>
      <c r="F113" s="288"/>
      <c r="G113" s="288"/>
      <c r="H113" s="288"/>
      <c r="I113" s="282"/>
      <c r="J113" s="282"/>
      <c r="K113" s="1508"/>
    </row>
    <row r="114" spans="1:11" ht="15.75" customHeight="1">
      <c r="A114" s="288"/>
      <c r="B114" s="288"/>
      <c r="C114" s="288"/>
      <c r="D114" s="293"/>
      <c r="E114" s="288"/>
      <c r="F114" s="288"/>
      <c r="G114" s="288"/>
      <c r="H114" s="288"/>
      <c r="I114" s="282"/>
      <c r="J114" s="282"/>
      <c r="K114" s="1508"/>
    </row>
    <row r="115" spans="1:11" ht="15.75" customHeight="1">
      <c r="A115" s="284" t="s">
        <v>659</v>
      </c>
      <c r="B115" s="284"/>
      <c r="C115" s="284"/>
      <c r="D115" s="294"/>
      <c r="E115" s="284"/>
      <c r="F115" s="284"/>
      <c r="G115" s="284"/>
      <c r="H115" s="288"/>
      <c r="I115" s="153"/>
      <c r="J115" s="283" t="s">
        <v>661</v>
      </c>
      <c r="K115" s="1508"/>
    </row>
    <row r="116" spans="1:11" ht="15.75" customHeight="1">
      <c r="A116" s="288"/>
      <c r="B116" s="288"/>
      <c r="C116" s="288"/>
      <c r="D116" s="293"/>
      <c r="E116" s="288"/>
      <c r="F116" s="288"/>
      <c r="G116" s="288"/>
      <c r="H116" s="288"/>
      <c r="I116" s="282"/>
      <c r="J116" s="282"/>
      <c r="K116" s="1508"/>
    </row>
    <row r="117" spans="1:11" ht="15.75" customHeight="1">
      <c r="A117" s="284" t="s">
        <v>2728</v>
      </c>
      <c r="B117" s="284"/>
      <c r="C117" s="284"/>
      <c r="D117" s="294"/>
      <c r="E117" s="284"/>
      <c r="F117" s="284"/>
      <c r="G117" s="284"/>
      <c r="H117" s="288"/>
      <c r="I117" s="750">
        <f>(3/12)*MINA(I115+0,100)+(2/12)*MINA(I115+0,550)+(4/12)*MINA(I115+0,1150)</f>
        <v>0</v>
      </c>
      <c r="J117" s="283" t="s">
        <v>64</v>
      </c>
      <c r="K117" s="1508"/>
    </row>
    <row r="118" spans="1:11" ht="15.75" customHeight="1">
      <c r="A118" s="288"/>
      <c r="B118" s="288"/>
      <c r="C118" s="288"/>
      <c r="D118" s="293"/>
      <c r="E118" s="288"/>
      <c r="F118" s="288"/>
      <c r="G118" s="288"/>
      <c r="H118" s="288"/>
      <c r="I118" s="282"/>
      <c r="J118" s="282"/>
      <c r="K118" s="1508"/>
    </row>
    <row r="119" spans="1:11" ht="15.75" customHeight="1">
      <c r="A119" s="288"/>
      <c r="B119" s="288"/>
      <c r="C119" s="288"/>
      <c r="D119" s="293"/>
      <c r="E119" s="288"/>
      <c r="F119" s="288"/>
      <c r="G119" s="288"/>
      <c r="H119" s="288"/>
      <c r="I119" s="282"/>
      <c r="J119" s="282"/>
      <c r="K119" s="1508"/>
    </row>
  </sheetData>
  <sheetProtection password="EC35" sheet="1" objects="1" scenarios="1"/>
  <mergeCells count="2">
    <mergeCell ref="D106:D107"/>
    <mergeCell ref="K2:K119"/>
  </mergeCells>
  <dataValidations count="3">
    <dataValidation allowBlank="1" showInputMessage="1" showErrorMessage="1" promptTitle="DEFAULT FORMULA" prompt="You will need to replace this formula with the total amount for all infirm dependants if you have more than one." sqref="G34"/>
    <dataValidation allowBlank="1" showInputMessage="1" showErrorMessage="1" promptTitle="DEFAULT FORMULA" prompt="You will need to replace this formula with the total amount for all dependants if you have more than one." sqref="G45"/>
    <dataValidation allowBlank="1" showInputMessage="1" showErrorMessage="1" promptTitle="DEFAULT FORMULA" prompt="You will have to replace this formula with the total amount for all &#10;dependants if you have more than one dependant that you are transferring amounts for." sqref="G71"/>
  </dataValidations>
  <hyperlinks>
    <hyperlink ref="K2:K119" location="'GO TO'!B36" display=" "/>
  </hyperlinks>
  <printOptions horizontalCentered="1"/>
  <pageMargins left="0.11811023622047245" right="0.11811023622047245" top="0.31496062992125984" bottom="0.31496062992125984" header="0.5118110236220472" footer="0.2362204724409449"/>
  <pageSetup fitToHeight="0" fitToWidth="1" horizontalDpi="600" verticalDpi="600" orientation="portrait" scale="75" r:id="rId4"/>
  <headerFooter alignWithMargins="0">
    <oddFooter>&amp;L5010-D</oddFooter>
  </headerFooter>
  <rowBreaks count="2" manualBreakCount="2">
    <brk id="45" max="9" man="1"/>
    <brk id="98" max="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Peel Technologies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MyTAX 2007 Version 1.0c</dc:title>
  <dc:subject>Live Version, March 17, 2008</dc:subject>
  <dc:creator>Egbert Verbrugge</dc:creator>
  <cp:keywords/>
  <dc:description/>
  <cp:lastModifiedBy>Egbert Verbrugge</cp:lastModifiedBy>
  <cp:lastPrinted>2008-03-18T01:05:31Z</cp:lastPrinted>
  <dcterms:created xsi:type="dcterms:W3CDTF">1999-03-31T00:46:13Z</dcterms:created>
  <dcterms:modified xsi:type="dcterms:W3CDTF">2008-03-18T11:02:49Z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Peel Technologies</vt:lpwstr>
  </property>
  <property fmtid="{D5CDD505-2E9C-101B-9397-08002B2CF9AE}" pid="3" name="Date completed">
    <vt:lpwstr>Peel Technologies</vt:lpwstr>
  </property>
</Properties>
</file>