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drawings/drawing9.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drawings/drawing10.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11.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12.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13.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drawings/drawing14.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6710" windowHeight="10650" activeTab="0"/>
  </bookViews>
  <sheets>
    <sheet name="README" sheetId="1" r:id="rId1"/>
    <sheet name="What's New" sheetId="2" r:id="rId2"/>
    <sheet name="HELP" sheetId="3" r:id="rId3"/>
    <sheet name="GO TO" sheetId="4" r:id="rId4"/>
    <sheet name="QUAL" sheetId="5" r:id="rId5"/>
    <sheet name="T1 GEN-1" sheetId="6" r:id="rId6"/>
    <sheet name="T1 GEN-2-3-4" sheetId="7" r:id="rId7"/>
    <sheet name="FED WRK" sheetId="8" r:id="rId8"/>
    <sheet name="AB WRK" sheetId="9" r:id="rId9"/>
    <sheet name="AB428" sheetId="10" r:id="rId10"/>
    <sheet name="AB479" sheetId="11" r:id="rId11"/>
    <sheet name="AB(S2)" sheetId="12" r:id="rId12"/>
    <sheet name="AB(S11)" sheetId="13" r:id="rId13"/>
    <sheet name="Sch1" sheetId="14" r:id="rId14"/>
    <sheet name="Sch2" sheetId="15" r:id="rId15"/>
    <sheet name="Sch3" sheetId="16" r:id="rId16"/>
    <sheet name="Sch4" sheetId="17" r:id="rId17"/>
    <sheet name="Sch4-2" sheetId="18" r:id="rId18"/>
    <sheet name="Sch5" sheetId="19" r:id="rId19"/>
    <sheet name="Sch6" sheetId="20" r:id="rId20"/>
    <sheet name="Sch7" sheetId="21" r:id="rId21"/>
    <sheet name="Sch8" sheetId="22" r:id="rId22"/>
    <sheet name="Sch9" sheetId="23" r:id="rId23"/>
    <sheet name="Sch11" sheetId="24" r:id="rId24"/>
    <sheet name="Sch12" sheetId="25" r:id="rId25"/>
    <sheet name="T4" sheetId="26" r:id="rId26"/>
    <sheet name="T4A" sheetId="27" r:id="rId27"/>
    <sheet name="T4A(P)" sheetId="28" r:id="rId28"/>
    <sheet name="T4A(OAS)" sheetId="29" r:id="rId29"/>
    <sheet name="T4E" sheetId="30" r:id="rId30"/>
    <sheet name="T4PS" sheetId="31" r:id="rId31"/>
    <sheet name="T4RIF" sheetId="32" r:id="rId32"/>
    <sheet name="T4RSP" sheetId="33" r:id="rId33"/>
    <sheet name="T778" sheetId="34" r:id="rId34"/>
    <sheet name="T1032E" sheetId="35" r:id="rId35"/>
    <sheet name="T2204" sheetId="36" r:id="rId36"/>
    <sheet name="T2205" sheetId="37" r:id="rId37"/>
    <sheet name="T3" sheetId="38" state="hidden" r:id="rId38"/>
    <sheet name="T5" sheetId="39" state="hidden" r:id="rId39"/>
    <sheet name="T2209" sheetId="40" r:id="rId40"/>
    <sheet name="T5007" sheetId="41" r:id="rId41"/>
    <sheet name="MISC" sheetId="42" r:id="rId42"/>
    <sheet name="SANDBOX" sheetId="43" r:id="rId43"/>
  </sheets>
  <definedNames>
    <definedName name="age">'SANDBOX'!$A$23</definedName>
    <definedName name="alphaifz">" (if negative, enter ""0"")"</definedName>
    <definedName name="basicfedtax">'Sch1'!$K$74</definedName>
    <definedName name="BCTEXT">'SANDBOX'!$B$4</definedName>
    <definedName name="birthmonth">'T1 GEN-1'!$U$14</definedName>
    <definedName name="birthyear">'T1 GEN-1'!$T$14</definedName>
    <definedName name="daysinyear">'SANDBOX'!$A$24</definedName>
    <definedName name="exemption">'T4A'!$J$46</definedName>
    <definedName name="fract">'SANDBOX'!$A$25</definedName>
    <definedName name="fract1">'SANDBOX'!$A$26</definedName>
    <definedName name="fract2">'SANDBOX'!$A$27</definedName>
    <definedName name="givenname1">'T1 GEN-1'!$D$12</definedName>
    <definedName name="givenname2">'T1 GEN-1'!$S$28</definedName>
    <definedName name="lastyear">'SANDBOX'!$A$11</definedName>
    <definedName name="lastyeartext">'SANDBOX'!$B$11</definedName>
    <definedName name="line117">'T1 GEN-2-3-4'!$I$21</definedName>
    <definedName name="line125">'T1 GEN-2-3-4'!$I$27</definedName>
    <definedName name="line213">'T1 GEN-2-3-4'!$I$70</definedName>
    <definedName name="line234">'T1 GEN-2-3-4'!$K$86</definedName>
    <definedName name="line244">'T1 GEN-2-3-4'!$I$93</definedName>
    <definedName name="line248">'T1 GEN-2-3-4'!$I$94</definedName>
    <definedName name="line249">'T1 GEN-2-3-4'!$I$95</definedName>
    <definedName name="line250">'T1 GEN-2-3-4'!$I$96</definedName>
    <definedName name="line253">'T1 GEN-2-3-4'!$I$99</definedName>
    <definedName name="line254">'T1 GEN-2-3-4'!$I$100</definedName>
    <definedName name="line256">'T1 GEN-2-3-4'!$I$102</definedName>
    <definedName name="line312">'Sch1'!$K$19</definedName>
    <definedName name="line313">'Sch1'!$K$26</definedName>
    <definedName name="line425">'Sch1'!$I$70</definedName>
    <definedName name="line426">'Sch1'!$I$71</definedName>
    <definedName name="netincome">'T1 GEN-2-3-4'!$K$90</definedName>
    <definedName name="nextyear">'SANDBOX'!$A$8</definedName>
    <definedName name="nextyeartext">'SANDBOX'!$B$8</definedName>
    <definedName name="numchildren">'T778'!$E$25</definedName>
    <definedName name="numchildren17andless">'T778'!$T$25</definedName>
    <definedName name="numchildren18andless">'T778'!$S$25</definedName>
    <definedName name="nummonths">'SANDBOX'!$E$35</definedName>
    <definedName name="ONTEXT">'SANDBOX'!$B$3</definedName>
    <definedName name="OTHERTEXT">'SANDBOX'!$B$5</definedName>
    <definedName name="PG1TEXT">'SANDBOX'!$B$6</definedName>
    <definedName name="_xlnm.Print_Area" localSheetId="8">'AB WRK'!$A$1:$J$115</definedName>
    <definedName name="_xlnm.Print_Area" localSheetId="12">'AB(S11)'!$A$1:$J$56</definedName>
    <definedName name="_xlnm.Print_Area" localSheetId="11">'AB(S2)'!$A$1:$K$34</definedName>
    <definedName name="_xlnm.Print_Area" localSheetId="9">'AB428'!$A$1:$L$92</definedName>
    <definedName name="_xlnm.Print_Area" localSheetId="10">'AB479'!$A$1:$J$15</definedName>
    <definedName name="_xlnm.Print_Area" localSheetId="7">'FED WRK'!$A$1:$K$176</definedName>
    <definedName name="_xlnm.Print_Area" localSheetId="3">'GO TO'!$A$1:$R$64</definedName>
    <definedName name="_xlnm.Print_Area" localSheetId="2">'HELP'!$A$1:$I$80</definedName>
    <definedName name="_xlnm.Print_Area" localSheetId="41">'MISC'!$A$1:$M$95</definedName>
    <definedName name="_xlnm.Print_Area" localSheetId="4">'QUAL'!$A$1:$H$30</definedName>
    <definedName name="_xlnm.Print_Area" localSheetId="0">'README'!$A$1:$H$77</definedName>
    <definedName name="_xlnm.Print_Area" localSheetId="13">'Sch1'!$B$1:$L$92</definedName>
    <definedName name="_xlnm.Print_Area" localSheetId="23">'Sch11'!$A$1:$L$61</definedName>
    <definedName name="_xlnm.Print_Area" localSheetId="24">'Sch12'!$A$1:$I$39</definedName>
    <definedName name="_xlnm.Print_Area" localSheetId="14">'Sch2'!$A$1:$K$35</definedName>
    <definedName name="_xlnm.Print_Area" localSheetId="15">'Sch3'!$A$1:$M$60</definedName>
    <definedName name="_xlnm.Print_Area" localSheetId="16">'Sch4'!$A$1:$F$31</definedName>
    <definedName name="_xlnm.Print_Area" localSheetId="17">'Sch4-2'!$A$1:$F$84</definedName>
    <definedName name="_xlnm.Print_Area" localSheetId="18">'Sch5'!$A$1:$H$38</definedName>
    <definedName name="_xlnm.Print_Area" localSheetId="19">'Sch6'!$A$1:$N$124</definedName>
    <definedName name="_xlnm.Print_Area" localSheetId="20">'Sch7'!$A$1:$J$57</definedName>
    <definedName name="_xlnm.Print_Area" localSheetId="21">'Sch8'!$A$1:$J$32</definedName>
    <definedName name="_xlnm.Print_Area" localSheetId="22">'Sch9'!$A$1:$J$31</definedName>
    <definedName name="_xlnm.Print_Area" localSheetId="5">'T1 GEN-1'!$A$1:$Z$63</definedName>
    <definedName name="_xlnm.Print_Area" localSheetId="6">'T1 GEN-2-3-4'!$A$1:$L$171</definedName>
    <definedName name="_xlnm.Print_Area" localSheetId="34">'T1032E'!$A$1:$Q$144</definedName>
    <definedName name="_xlnm.Print_Area" localSheetId="35">'T2204'!$A$1:$K$100</definedName>
    <definedName name="_xlnm.Print_Area" localSheetId="36">'T2205'!$A$1:$I$55</definedName>
    <definedName name="_xlnm.Print_Area" localSheetId="39">'T2209'!$A$1:$J$120</definedName>
    <definedName name="_xlnm.Print_Area" localSheetId="25">'T4'!$A$1:$K$126</definedName>
    <definedName name="_xlnm.Print_Area" localSheetId="26">'T4A'!$A$1:$K$65</definedName>
    <definedName name="_xlnm.Print_Area" localSheetId="28">'T4A(OAS)'!$A$1:$K$39</definedName>
    <definedName name="_xlnm.Print_Area" localSheetId="27">'T4A(P)'!$A$1:$K$35</definedName>
    <definedName name="_xlnm.Print_Area" localSheetId="29">'T4E'!$A$1:$K$85</definedName>
    <definedName name="_xlnm.Print_Area" localSheetId="30">'T4PS'!$A$1:$K$61</definedName>
    <definedName name="_xlnm.Print_Area" localSheetId="33">'T778'!$A$1:$O$141</definedName>
    <definedName name="_xlnm.Print_Area" localSheetId="1">'What''s New'!$A$2:$D$75</definedName>
    <definedName name="Province">'T1 GEN-1'!$V$7</definedName>
    <definedName name="qual452">'FED WRK'!$I$173</definedName>
    <definedName name="sinn">'T1 GEN-1'!$T$12</definedName>
    <definedName name="sinn2">'T1 GEN-1'!$T$26</definedName>
    <definedName name="surname">'T1 GEN-1'!$D$14</definedName>
    <definedName name="taxinc">'T1 GEN-2-3-4'!$K$104</definedName>
    <definedName name="year">'T1 GEN-1'!$V$4</definedName>
    <definedName name="year16">'SANDBOX'!$A$16</definedName>
    <definedName name="year16text">'SANDBOX'!$B$16</definedName>
    <definedName name="year17">'SANDBOX'!$A$17</definedName>
    <definedName name="year17text">'SANDBOX'!$B$17</definedName>
    <definedName name="year18">'SANDBOX'!$A$18</definedName>
    <definedName name="year18text">'SANDBOX'!$B$18</definedName>
    <definedName name="year6">'SANDBOX'!$A$14</definedName>
    <definedName name="year65">'SANDBOX'!$A$22</definedName>
    <definedName name="year65text">'SANDBOX'!$B$22</definedName>
    <definedName name="year6text">'SANDBOX'!$B$14</definedName>
    <definedName name="year7">'SANDBOX'!$A$15</definedName>
    <definedName name="year70">'SANDBOX'!$A$19</definedName>
    <definedName name="year70text">'SANDBOX'!$B$19</definedName>
    <definedName name="year7text">'SANDBOX'!$B$15</definedName>
    <definedName name="yearminus2">'SANDBOX'!$A$12</definedName>
    <definedName name="yearminus2text">'SANDBOX'!$B$12</definedName>
    <definedName name="yearminus3">'SANDBOX'!$A$13</definedName>
    <definedName name="yearminus3text">'SANDBOX'!$B$13</definedName>
    <definedName name="yearplus1">'SANDBOX'!$A$9</definedName>
    <definedName name="yearplus1text">'SANDBOX'!$B$9</definedName>
    <definedName name="yeartext">'SANDBOX'!$B$10</definedName>
  </definedNames>
  <calcPr fullCalcOnLoad="1" fullPrecision="0"/>
</workbook>
</file>

<file path=xl/comments1.xml><?xml version="1.0" encoding="utf-8"?>
<comments xmlns="http://schemas.openxmlformats.org/spreadsheetml/2006/main">
  <authors>
    <author>Egbert Verbrugge</author>
  </authors>
  <commentList>
    <comment ref="A2" authorId="0">
      <text>
        <r>
          <rPr>
            <b/>
            <sz val="12"/>
            <rFont val="Tahoma"/>
            <family val="2"/>
          </rPr>
          <t xml:space="preserve">Revision History
</t>
        </r>
      </text>
    </comment>
  </commentList>
</comments>
</file>

<file path=xl/comments10.xml><?xml version="1.0" encoding="utf-8"?>
<comments xmlns="http://schemas.openxmlformats.org/spreadsheetml/2006/main">
  <authors>
    <author>Egbert Verbrugge</author>
  </authors>
  <commentList>
    <comment ref="I16" authorId="0">
      <text>
        <r>
          <rPr>
            <b/>
            <sz val="10"/>
            <rFont val="Tahoma"/>
            <family val="2"/>
          </rPr>
          <t>For deduction to be picked up here, you  must set the Qualification option to YES on QUAL spreadsheet</t>
        </r>
      </text>
    </comment>
    <comment ref="F10" authorId="0">
      <text>
        <r>
          <rPr>
            <b/>
            <sz val="12"/>
            <rFont val="Tahoma"/>
            <family val="2"/>
          </rPr>
          <t>Default Formula:
If resident in Canada for a different number of days than you, you may need to change this amount.</t>
        </r>
        <r>
          <rPr>
            <sz val="8"/>
            <rFont val="Tahoma"/>
            <family val="2"/>
          </rPr>
          <t xml:space="preserve">
</t>
        </r>
      </text>
    </comment>
  </commentList>
</comments>
</file>

<file path=xl/comments13.xml><?xml version="1.0" encoding="utf-8"?>
<comments xmlns="http://schemas.openxmlformats.org/spreadsheetml/2006/main">
  <authors>
    <author>Egbert Verbrugge</author>
  </authors>
  <commentList>
    <comment ref="I50" authorId="0">
      <text>
        <r>
          <rPr>
            <b/>
            <sz val="12"/>
            <rFont val="Tahoma"/>
            <family val="2"/>
          </rPr>
          <t xml:space="preserve">Default formula. You can change the value.
</t>
        </r>
      </text>
    </comment>
  </commentList>
</comments>
</file>

<file path=xl/comments14.xml><?xml version="1.0" encoding="utf-8"?>
<comments xmlns="http://schemas.openxmlformats.org/spreadsheetml/2006/main">
  <authors>
    <author>Egbert Verbrugge</author>
  </authors>
  <commentList>
    <comment ref="K15" authorId="0">
      <text>
        <r>
          <rPr>
            <b/>
            <sz val="8"/>
            <rFont val="Tahoma"/>
            <family val="2"/>
          </rPr>
          <t>From Federal Worksheet</t>
        </r>
        <r>
          <rPr>
            <sz val="8"/>
            <rFont val="Tahoma"/>
            <family val="2"/>
          </rPr>
          <t xml:space="preserve">
</t>
        </r>
      </text>
    </comment>
    <comment ref="K28" authorId="0">
      <text>
        <r>
          <rPr>
            <b/>
            <sz val="10"/>
            <rFont val="Tahoma"/>
            <family val="2"/>
          </rPr>
          <t>From Federal Worksheet if option set on QUAL sheet</t>
        </r>
        <r>
          <rPr>
            <sz val="8"/>
            <rFont val="Tahoma"/>
            <family val="2"/>
          </rPr>
          <t xml:space="preserve">
</t>
        </r>
      </text>
    </comment>
    <comment ref="K31" authorId="0">
      <text>
        <r>
          <rPr>
            <b/>
            <sz val="10"/>
            <rFont val="Tahoma"/>
            <family val="2"/>
          </rPr>
          <t>From Federal Worksheet.  Option must be set to YES on line 318 of QUAL sheet.</t>
        </r>
      </text>
    </comment>
    <comment ref="K8" authorId="0">
      <text>
        <r>
          <rPr>
            <b/>
            <sz val="8"/>
            <rFont val="Tahoma"/>
            <family val="2"/>
          </rPr>
          <t>Enter date of birth on the T1 GEN-1 sheet and this amount here will be picked up automatically if you qualify.</t>
        </r>
      </text>
    </comment>
    <comment ref="K17" authorId="0">
      <text>
        <r>
          <rPr>
            <b/>
            <sz val="10"/>
            <rFont val="Tahoma"/>
            <family val="2"/>
          </rPr>
          <t>From T2204 if it applies</t>
        </r>
      </text>
    </comment>
    <comment ref="K12" authorId="0">
      <text>
        <r>
          <rPr>
            <b/>
            <sz val="10"/>
            <rFont val="Tahoma"/>
            <family val="2"/>
          </rPr>
          <t>If option set on QUAL sheet</t>
        </r>
      </text>
    </comment>
    <comment ref="K29" authorId="0">
      <text>
        <r>
          <rPr>
            <b/>
            <sz val="10"/>
            <rFont val="Tahoma"/>
            <family val="2"/>
          </rPr>
          <t>From FED WRK if option set on QUAL sheet</t>
        </r>
      </text>
    </comment>
    <comment ref="I37" authorId="0">
      <text>
        <r>
          <rPr>
            <b/>
            <sz val="12"/>
            <rFont val="Tahoma"/>
            <family val="2"/>
          </rPr>
          <t>Guide RC4064 gives detailed information about allowable medical expenses.</t>
        </r>
        <r>
          <rPr>
            <sz val="12"/>
            <rFont val="Tahoma"/>
            <family val="2"/>
          </rPr>
          <t xml:space="preserve">
</t>
        </r>
      </text>
    </comment>
    <comment ref="K10" authorId="0">
      <text>
        <r>
          <rPr>
            <b/>
            <sz val="10"/>
            <rFont val="Tahoma"/>
            <family val="2"/>
          </rPr>
          <t>If Qual option set on Qual Sheet.</t>
        </r>
      </text>
    </comment>
    <comment ref="G13" authorId="0">
      <text>
        <r>
          <rPr>
            <b/>
            <sz val="10"/>
            <rFont val="Tahoma"/>
            <family val="2"/>
          </rPr>
          <t>Default formula.
See guide for conditions for either parent to claim this.</t>
        </r>
      </text>
    </comment>
    <comment ref="K21" authorId="0">
      <text>
        <r>
          <rPr>
            <b/>
            <sz val="12"/>
            <rFont val="Tahoma"/>
            <family val="2"/>
          </rPr>
          <t>Default Formulae</t>
        </r>
      </text>
    </comment>
  </commentList>
</comments>
</file>

<file path=xl/comments16.xml><?xml version="1.0" encoding="utf-8"?>
<comments xmlns="http://schemas.openxmlformats.org/spreadsheetml/2006/main">
  <authors>
    <author>Egbert Verbrugge</author>
  </authors>
  <commentList>
    <comment ref="L58" authorId="0">
      <text>
        <r>
          <rPr>
            <b/>
            <sz val="12"/>
            <rFont val="Tahoma"/>
            <family val="2"/>
          </rPr>
          <t>If this is negative you will need to change what is automatically posted on line 127</t>
        </r>
        <r>
          <rPr>
            <sz val="8"/>
            <rFont val="Tahoma"/>
            <family val="2"/>
          </rPr>
          <t xml:space="preserve">
</t>
        </r>
      </text>
    </comment>
  </commentList>
</comments>
</file>

<file path=xl/comments17.xml><?xml version="1.0" encoding="utf-8"?>
<comments xmlns="http://schemas.openxmlformats.org/spreadsheetml/2006/main">
  <authors>
    <author>Egbert Verbrugge</author>
  </authors>
  <commentList>
    <comment ref="B12" authorId="0">
      <text>
        <r>
          <rPr>
            <b/>
            <sz val="10"/>
            <rFont val="Tahoma"/>
            <family val="2"/>
          </rPr>
          <t>Enter you detailed data for here on Sch4-2</t>
        </r>
      </text>
    </comment>
    <comment ref="B17" authorId="0">
      <text>
        <r>
          <rPr>
            <b/>
            <sz val="10"/>
            <rFont val="Tahoma"/>
            <family val="2"/>
          </rPr>
          <t>Enter the detailed data for here on Sch4-2</t>
        </r>
      </text>
    </comment>
    <comment ref="B22" authorId="0">
      <text>
        <r>
          <rPr>
            <b/>
            <sz val="10"/>
            <rFont val="Tahoma"/>
            <family val="2"/>
          </rPr>
          <t>Enter the detailed data for here on Sch4-2</t>
        </r>
      </text>
    </comment>
    <comment ref="B8" authorId="0">
      <text>
        <r>
          <rPr>
            <b/>
            <sz val="10"/>
            <rFont val="Tahoma"/>
            <family val="2"/>
          </rPr>
          <t xml:space="preserve">Enter your detailed data for here on Sch4-2
</t>
        </r>
      </text>
    </comment>
  </commentList>
</comments>
</file>

<file path=xl/comments20.xml><?xml version="1.0" encoding="utf-8"?>
<comments xmlns="http://schemas.openxmlformats.org/spreadsheetml/2006/main">
  <authors>
    <author>Egbert Verbrugge</author>
  </authors>
  <commentList>
    <comment ref="E21" authorId="0">
      <text>
        <r>
          <rPr>
            <b/>
            <sz val="10"/>
            <rFont val="Tahoma"/>
            <family val="2"/>
          </rPr>
          <t>See the guide at line 453 for the definition</t>
        </r>
      </text>
    </comment>
    <comment ref="E23" authorId="0">
      <text>
        <r>
          <rPr>
            <b/>
            <sz val="10"/>
            <rFont val="Tahoma"/>
            <family val="2"/>
          </rPr>
          <t>See the guide at line 453 for the definition.</t>
        </r>
      </text>
    </comment>
  </commentList>
</comments>
</file>

<file path=xl/comments21.xml><?xml version="1.0" encoding="utf-8"?>
<comments xmlns="http://schemas.openxmlformats.org/spreadsheetml/2006/main">
  <authors>
    <author>Egbert Verbrugge</author>
  </authors>
  <commentList>
    <comment ref="G37" authorId="0">
      <text>
        <r>
          <rPr>
            <b/>
            <sz val="12"/>
            <rFont val="Tahoma"/>
            <family val="2"/>
          </rPr>
          <t>This amount is picked up from line 9 above.  You may have to change this amount depending on your last year's Notice of Assessment</t>
        </r>
        <r>
          <rPr>
            <b/>
            <sz val="10"/>
            <rFont val="Tahoma"/>
            <family val="2"/>
          </rPr>
          <t xml:space="preserve">
</t>
        </r>
      </text>
    </comment>
  </commentList>
</comments>
</file>

<file path=xl/comments22.xml><?xml version="1.0" encoding="utf-8"?>
<comments xmlns="http://schemas.openxmlformats.org/spreadsheetml/2006/main">
  <authors>
    <author>Egbert Verbrugge</author>
  </authors>
  <commentList>
    <comment ref="I11" authorId="0">
      <text>
        <r>
          <rPr>
            <b/>
            <sz val="8"/>
            <rFont val="Tahoma"/>
            <family val="2"/>
          </rPr>
          <t>Default Formulae.
You can change it.</t>
        </r>
        <r>
          <rPr>
            <sz val="8"/>
            <rFont val="Tahoma"/>
            <family val="2"/>
          </rPr>
          <t xml:space="preserve">
</t>
        </r>
      </text>
    </comment>
  </commentList>
</comments>
</file>

<file path=xl/comments23.xml><?xml version="1.0" encoding="utf-8"?>
<comments xmlns="http://schemas.openxmlformats.org/spreadsheetml/2006/main">
  <authors>
    <author>Egbert Verbrugge</author>
  </authors>
  <commentList>
    <comment ref="I6" authorId="0">
      <text>
        <r>
          <rPr>
            <b/>
            <sz val="12"/>
            <rFont val="Tahoma"/>
            <family val="2"/>
          </rPr>
          <t>Enter your donation data on the MISC sheet.  Go to the line labeled Sch9 Line 1.</t>
        </r>
      </text>
    </comment>
  </commentList>
</comments>
</file>

<file path=xl/comments24.xml><?xml version="1.0" encoding="utf-8"?>
<comments xmlns="http://schemas.openxmlformats.org/spreadsheetml/2006/main">
  <authors>
    <author>Egbert Verbrugge</author>
  </authors>
  <commentList>
    <comment ref="K57" authorId="0">
      <text>
        <r>
          <rPr>
            <b/>
            <sz val="10"/>
            <rFont val="Tahoma"/>
            <family val="2"/>
          </rPr>
          <t>Default
Formula.
You can
change it.</t>
        </r>
      </text>
    </comment>
  </commentList>
</comments>
</file>

<file path=xl/comments26.xml><?xml version="1.0" encoding="utf-8"?>
<comments xmlns="http://schemas.openxmlformats.org/spreadsheetml/2006/main">
  <authors>
    <author>Egbert Verbrugge</author>
  </authors>
  <commentList>
    <comment ref="J26" authorId="0">
      <text>
        <r>
          <rPr>
            <b/>
            <sz val="12"/>
            <rFont val="Tahoma"/>
            <family val="2"/>
          </rPr>
          <t>If Items 74 or 75 are non-zero, this value is set to zero.
The calculation Form in T4040 guide must be completed for that case.</t>
        </r>
        <r>
          <rPr>
            <sz val="8"/>
            <rFont val="Tahoma"/>
            <family val="2"/>
          </rPr>
          <t xml:space="preserve">
</t>
        </r>
      </text>
    </comment>
  </commentList>
</comments>
</file>

<file path=xl/comments27.xml><?xml version="1.0" encoding="utf-8"?>
<comments xmlns="http://schemas.openxmlformats.org/spreadsheetml/2006/main">
  <authors>
    <author>Egbert Verbrugge</author>
  </authors>
  <commentList>
    <comment ref="J20" authorId="0">
      <text>
        <r>
          <rPr>
            <b/>
            <sz val="12"/>
            <rFont val="Tahoma"/>
            <family val="2"/>
          </rPr>
          <t>Default Formula.  You must calculate these amounts.  They are not on your T4A slip. Use form T2124C.</t>
        </r>
        <r>
          <rPr>
            <b/>
            <sz val="10"/>
            <rFont val="Tahoma"/>
            <family val="2"/>
          </rPr>
          <t xml:space="preserve">
</t>
        </r>
      </text>
    </comment>
    <comment ref="C20" authorId="0">
      <text>
        <r>
          <rPr>
            <b/>
            <sz val="12"/>
            <rFont val="Tahoma"/>
            <family val="2"/>
          </rPr>
          <t>Default Formula. You must calculate these amounts.  They are not on your T4A slip. Use form T2124C.</t>
        </r>
      </text>
    </comment>
    <comment ref="C45" authorId="0">
      <text>
        <r>
          <rPr>
            <b/>
            <sz val="12"/>
            <rFont val="Tahoma"/>
            <family val="2"/>
          </rPr>
          <t xml:space="preserve">Please enter the codes if they exist on your paper T4A's.These codes (where they exist) tell MyTAX to send the data to where it properly belongs.  </t>
        </r>
      </text>
    </comment>
    <comment ref="J46" authorId="0">
      <text>
        <r>
          <rPr>
            <b/>
            <sz val="10"/>
            <rFont val="Tahoma"/>
            <family val="2"/>
          </rPr>
          <t>YOU MAY NOT QUALIFY FOR THE FULL EXEMPTION.  SEE LINE 130 IN GUIDE.  IF NOT, CHANGE THIS TO THE VALID EXEMPTION AMOUNT.</t>
        </r>
      </text>
    </comment>
  </commentList>
</comments>
</file>

<file path=xl/comments30.xml><?xml version="1.0" encoding="utf-8"?>
<comments xmlns="http://schemas.openxmlformats.org/spreadsheetml/2006/main">
  <authors>
    <author>Egbert Verbrugge</author>
  </authors>
  <commentList>
    <comment ref="C27" authorId="0">
      <text>
        <r>
          <rPr>
            <b/>
            <sz val="12"/>
            <rFont val="Tahoma"/>
            <family val="2"/>
          </rPr>
          <t>This amount will end up on line 323 of Schedule 1 through the T2202 or T2202A data you enter in Schedule 11</t>
        </r>
      </text>
    </comment>
  </commentList>
</comments>
</file>

<file path=xl/comments31.xml><?xml version="1.0" encoding="utf-8"?>
<comments xmlns="http://schemas.openxmlformats.org/spreadsheetml/2006/main">
  <authors>
    <author>Egbert Verbrugge</author>
  </authors>
  <commentList>
    <comment ref="C17" authorId="0">
      <text>
        <r>
          <rPr>
            <b/>
            <sz val="10"/>
            <rFont val="Tahoma"/>
            <family val="2"/>
          </rPr>
          <t xml:space="preserve">From bottom right corner of T4PS form
</t>
        </r>
      </text>
    </comment>
  </commentList>
</comments>
</file>

<file path=xl/comments32.xml><?xml version="1.0" encoding="utf-8"?>
<comments xmlns="http://schemas.openxmlformats.org/spreadsheetml/2006/main">
  <authors>
    <author>Egbert Verbrugge</author>
  </authors>
  <commentList>
    <comment ref="J35" authorId="0">
      <text>
        <r>
          <rPr>
            <b/>
            <sz val="12"/>
            <rFont val="Tahoma"/>
            <family val="2"/>
          </rPr>
          <t>If this amount is non-zero, refer to CRA info sheet RC4178.</t>
        </r>
      </text>
    </comment>
    <comment ref="J62" authorId="0">
      <text>
        <r>
          <rPr>
            <b/>
            <sz val="12"/>
            <rFont val="Tahoma"/>
            <family val="2"/>
          </rPr>
          <t>If this amount is non-zero, then refer to CRA info sheet RC4178.</t>
        </r>
        <r>
          <rPr>
            <sz val="8"/>
            <rFont val="Tahoma"/>
            <family val="2"/>
          </rPr>
          <t xml:space="preserve">
</t>
        </r>
      </text>
    </comment>
  </commentList>
</comments>
</file>

<file path=xl/comments33.xml><?xml version="1.0" encoding="utf-8"?>
<comments xmlns="http://schemas.openxmlformats.org/spreadsheetml/2006/main">
  <authors>
    <author>Egbert Verbrugge</author>
  </authors>
  <commentList>
    <comment ref="J54" authorId="0">
      <text>
        <r>
          <rPr>
            <b/>
            <sz val="12"/>
            <rFont val="Tahoma"/>
            <family val="2"/>
          </rPr>
          <t>Enter date of birth on the T1 GEN-1 sheet and this amount here will be picked up automatically if you qualify.</t>
        </r>
      </text>
    </comment>
    <comment ref="J73" authorId="0">
      <text>
        <r>
          <rPr>
            <b/>
            <sz val="12"/>
            <rFont val="Tahoma"/>
            <family val="2"/>
          </rPr>
          <t>If this is non-zero, you need to go to form T2205 and complete it</t>
        </r>
      </text>
    </comment>
    <comment ref="C22" authorId="0">
      <text>
        <r>
          <rPr>
            <b/>
            <sz val="11"/>
            <rFont val="Tahoma"/>
            <family val="2"/>
          </rPr>
          <t>In order to answer Yes, you must 
meet the conditions on the back of form T3012A</t>
        </r>
      </text>
    </comment>
    <comment ref="J76" authorId="0">
      <text>
        <r>
          <rPr>
            <b/>
            <sz val="12"/>
            <rFont val="Tahoma"/>
            <family val="2"/>
          </rPr>
          <t>If this amount is non-zero, you must refer to the CRA Guide T4040 and transfer this value as directed therein.</t>
        </r>
      </text>
    </comment>
  </commentList>
</comments>
</file>

<file path=xl/comments34.xml><?xml version="1.0" encoding="utf-8"?>
<comments xmlns="http://schemas.openxmlformats.org/spreadsheetml/2006/main">
  <authors>
    <author>Egbert Verbrugge</author>
  </authors>
  <commentList>
    <comment ref="K56" authorId="0">
      <text>
        <r>
          <rPr>
            <b/>
            <sz val="10"/>
            <rFont val="Tahoma"/>
            <family val="2"/>
          </rPr>
          <t>Refer to the Child Care Expenses Deduction Information Sheet for the definition of earned income</t>
        </r>
        <r>
          <rPr>
            <b/>
            <sz val="8"/>
            <rFont val="Tahoma"/>
            <family val="2"/>
          </rPr>
          <t xml:space="preserve">
</t>
        </r>
      </text>
    </comment>
    <comment ref="N65" authorId="0">
      <text>
        <r>
          <rPr>
            <b/>
            <sz val="10"/>
            <rFont val="Tahoma"/>
            <family val="2"/>
          </rPr>
          <t>if &amp; when you enter a name of a supporting person in part C below, this will change to zero</t>
        </r>
      </text>
    </comment>
    <comment ref="N63" authorId="0">
      <text>
        <r>
          <rPr>
            <b/>
            <sz val="10"/>
            <rFont val="Tahoma"/>
            <family val="2"/>
          </rPr>
          <t xml:space="preserve">if you put in an amount here, then you are the supporting person with the lower net income
</t>
        </r>
      </text>
    </comment>
    <comment ref="B79" authorId="0">
      <text>
        <r>
          <rPr>
            <sz val="10"/>
            <rFont val="Tahoma"/>
            <family val="2"/>
          </rPr>
          <t xml:space="preserve">leave this blank if you are the supporting person with the lower income
</t>
        </r>
      </text>
    </comment>
    <comment ref="K134" authorId="0">
      <text>
        <r>
          <rPr>
            <b/>
            <sz val="10"/>
            <rFont val="Tahoma"/>
            <family val="2"/>
          </rPr>
          <t xml:space="preserve">Special: Same as line 236 without line 214 &amp; line 235
</t>
        </r>
      </text>
    </comment>
    <comment ref="K48" authorId="0">
      <text>
        <r>
          <rPr>
            <sz val="12"/>
            <rFont val="Tahoma"/>
            <family val="2"/>
          </rPr>
          <t xml:space="preserve">Default Formula
You can change
as necessary
</t>
        </r>
        <r>
          <rPr>
            <sz val="8"/>
            <rFont val="Tahoma"/>
            <family val="2"/>
          </rPr>
          <t xml:space="preserve">
</t>
        </r>
      </text>
    </comment>
    <comment ref="K51" authorId="0">
      <text>
        <r>
          <rPr>
            <b/>
            <sz val="12"/>
            <rFont val="Tahoma"/>
            <family val="2"/>
          </rPr>
          <t>Default formula. You can change as needed</t>
        </r>
      </text>
    </comment>
  </commentList>
</comments>
</file>

<file path=xl/comments35.xml><?xml version="1.0" encoding="utf-8"?>
<comments xmlns="http://schemas.openxmlformats.org/spreadsheetml/2006/main">
  <authors>
    <author>Egbert Verbrugge</author>
  </authors>
  <commentList>
    <comment ref="N75" authorId="0">
      <text>
        <r>
          <rPr>
            <b/>
            <sz val="10"/>
            <rFont val="Tahoma"/>
            <family val="2"/>
          </rPr>
          <t>Default Formulae.
Enter manually calculated value if note applies.</t>
        </r>
      </text>
    </comment>
    <comment ref="N57" authorId="0">
      <text>
        <r>
          <rPr>
            <b/>
            <sz val="10"/>
            <rFont val="Tahoma"/>
            <family val="2"/>
          </rPr>
          <t>Complete Step 7 (bottom) on Form T1032E in the Pensioner Transferee's MyTAX workbork.
DON'T complete Step 7 on the Pensioner's MyTAX workbook.</t>
        </r>
      </text>
    </comment>
  </commentList>
</comments>
</file>

<file path=xl/comments36.xml><?xml version="1.0" encoding="utf-8"?>
<comments xmlns="http://schemas.openxmlformats.org/spreadsheetml/2006/main">
  <authors>
    <author>Egbert Verbrugge</author>
  </authors>
  <commentList>
    <comment ref="I68" authorId="0">
      <text>
        <r>
          <rPr>
            <b/>
            <sz val="8"/>
            <rFont val="Tahoma"/>
            <family val="2"/>
          </rPr>
          <t>Enter Data Manually</t>
        </r>
      </text>
    </comment>
    <comment ref="I70" authorId="0">
      <text>
        <r>
          <rPr>
            <b/>
            <sz val="8"/>
            <rFont val="Tahoma"/>
            <family val="2"/>
          </rPr>
          <t>Enter Data Manually</t>
        </r>
      </text>
    </comment>
  </commentList>
</comments>
</file>

<file path=xl/comments37.xml><?xml version="1.0" encoding="utf-8"?>
<comments xmlns="http://schemas.openxmlformats.org/spreadsheetml/2006/main">
  <authors>
    <author>Egbert Verbrugge</author>
  </authors>
  <commentList>
    <comment ref="G51" authorId="0">
      <text>
        <r>
          <rPr>
            <b/>
            <sz val="10"/>
            <rFont val="Tahoma"/>
            <family val="2"/>
          </rPr>
          <t>If this is for the same year as this income tax return is being prepared, it will be transferred automatically to line 115 or line 130</t>
        </r>
      </text>
    </comment>
    <comment ref="G47" authorId="0">
      <text>
        <r>
          <rPr>
            <b/>
            <sz val="10"/>
            <rFont val="Tahoma"/>
            <family val="2"/>
          </rPr>
          <t>From summary section of T4RIF input form</t>
        </r>
      </text>
    </comment>
    <comment ref="C33" authorId="0">
      <text>
        <r>
          <rPr>
            <b/>
            <sz val="10"/>
            <rFont val="Tahoma"/>
            <family val="2"/>
          </rPr>
          <t>From summary section of T4RIF input form</t>
        </r>
      </text>
    </comment>
    <comment ref="E30" authorId="0">
      <text>
        <r>
          <rPr>
            <sz val="10"/>
            <rFont val="Tahoma"/>
            <family val="2"/>
          </rPr>
          <t>From summary section of T4RIF input form</t>
        </r>
        <r>
          <rPr>
            <sz val="8"/>
            <rFont val="Tahoma"/>
            <family val="2"/>
          </rPr>
          <t xml:space="preserve">
</t>
        </r>
      </text>
    </comment>
  </commentList>
</comments>
</file>

<file path=xl/comments40.xml><?xml version="1.0" encoding="utf-8"?>
<comments xmlns="http://schemas.openxmlformats.org/spreadsheetml/2006/main">
  <authors>
    <author>Egbert Verbrugge</author>
  </authors>
  <commentList>
    <comment ref="I28" authorId="0">
      <text>
        <r>
          <rPr>
            <b/>
            <sz val="10"/>
            <rFont val="Tahoma"/>
            <family val="2"/>
          </rPr>
          <t>Default Formula</t>
        </r>
      </text>
    </comment>
    <comment ref="E15" authorId="0">
      <text>
        <r>
          <rPr>
            <b/>
            <sz val="10"/>
            <rFont val="Tahoma"/>
            <family val="2"/>
          </rPr>
          <t>Default
Formula</t>
        </r>
      </text>
    </comment>
    <comment ref="E24" authorId="0">
      <text>
        <r>
          <rPr>
            <b/>
            <sz val="10"/>
            <rFont val="Tahoma"/>
            <family val="2"/>
          </rPr>
          <t>Default
Formula</t>
        </r>
      </text>
    </comment>
    <comment ref="G14" authorId="0">
      <text>
        <r>
          <rPr>
            <b/>
            <sz val="10"/>
            <rFont val="Tahoma"/>
            <family val="2"/>
          </rPr>
          <t>Default
Formula</t>
        </r>
      </text>
    </comment>
    <comment ref="E14" authorId="0">
      <text>
        <r>
          <rPr>
            <b/>
            <sz val="10"/>
            <rFont val="Tahoma"/>
            <family val="2"/>
          </rPr>
          <t>Default
Formula</t>
        </r>
      </text>
    </comment>
    <comment ref="I12" authorId="0">
      <text>
        <r>
          <rPr>
            <b/>
            <sz val="10"/>
            <rFont val="Tahoma"/>
            <family val="2"/>
          </rPr>
          <t>Default
Formula</t>
        </r>
      </text>
    </comment>
  </commentList>
</comments>
</file>

<file path=xl/comments42.xml><?xml version="1.0" encoding="utf-8"?>
<comments xmlns="http://schemas.openxmlformats.org/spreadsheetml/2006/main">
  <authors>
    <author>Egbert Verbrugge</author>
  </authors>
  <commentList>
    <comment ref="D51" authorId="0">
      <text>
        <r>
          <rPr>
            <b/>
            <sz val="12"/>
            <rFont val="Tahoma"/>
            <family val="2"/>
          </rPr>
          <t>If you are not allowed to transfer full amount from line 147, then put in  -ve amount on one of the cells in this row</t>
        </r>
      </text>
    </comment>
    <comment ref="D54" authorId="0">
      <text>
        <r>
          <rPr>
            <b/>
            <sz val="12"/>
            <rFont val="Tahoma"/>
            <family val="2"/>
          </rPr>
          <t>Data from box 16 of your T4RSP slip only if you were age 65 or older on Dec 31</t>
        </r>
      </text>
    </comment>
    <comment ref="J56" authorId="0">
      <text>
        <r>
          <rPr>
            <b/>
            <sz val="10"/>
            <rFont val="Tahoma"/>
            <family val="2"/>
          </rPr>
          <t>From T2204 if it applies</t>
        </r>
      </text>
    </comment>
    <comment ref="D57" authorId="0">
      <text>
        <r>
          <rPr>
            <sz val="12"/>
            <rFont val="Tahoma"/>
            <family val="2"/>
          </rPr>
          <t>Guide RC4064 gives detailed information about what medical expenses are allowed.</t>
        </r>
      </text>
    </comment>
  </commentList>
</comments>
</file>

<file path=xl/comments7.xml><?xml version="1.0" encoding="utf-8"?>
<comments xmlns="http://schemas.openxmlformats.org/spreadsheetml/2006/main">
  <authors>
    <author>Egbert Verbrugge</author>
  </authors>
  <commentList>
    <comment ref="I13" authorId="0">
      <text>
        <r>
          <rPr>
            <sz val="12"/>
            <rFont val="Tahoma"/>
            <family val="2"/>
          </rPr>
          <t>from MISC sheet</t>
        </r>
        <r>
          <rPr>
            <sz val="8"/>
            <rFont val="Tahoma"/>
            <family val="2"/>
          </rPr>
          <t xml:space="preserve">
</t>
        </r>
      </text>
    </comment>
    <comment ref="I29" authorId="0">
      <text>
        <r>
          <rPr>
            <b/>
            <sz val="12"/>
            <rFont val="Tahoma"/>
            <family val="2"/>
          </rPr>
          <t xml:space="preserve">from Schedule 3:
</t>
        </r>
      </text>
    </comment>
    <comment ref="G14" authorId="0">
      <text>
        <r>
          <rPr>
            <b/>
            <sz val="12"/>
            <rFont val="Tahoma"/>
            <family val="2"/>
          </rPr>
          <t>from MISC sheet</t>
        </r>
      </text>
    </comment>
    <comment ref="I19" authorId="0">
      <text>
        <r>
          <rPr>
            <b/>
            <sz val="10"/>
            <rFont val="Tahoma"/>
            <family val="2"/>
          </rPr>
          <t xml:space="preserve">from MISC.
This amount may qualify for the pension income amount. See line 314 in the guide.
See also FED WRK
</t>
        </r>
      </text>
    </comment>
    <comment ref="I32" authorId="0">
      <text>
        <r>
          <rPr>
            <b/>
            <sz val="10"/>
            <rFont val="Tahoma"/>
            <family val="2"/>
          </rPr>
          <t>from MISC</t>
        </r>
        <r>
          <rPr>
            <sz val="8"/>
            <rFont val="Tahoma"/>
            <family val="2"/>
          </rPr>
          <t xml:space="preserve">
</t>
        </r>
      </text>
    </comment>
    <comment ref="I36" authorId="0">
      <text>
        <r>
          <rPr>
            <sz val="10"/>
            <rFont val="Tahoma"/>
            <family val="2"/>
          </rPr>
          <t>from MISC</t>
        </r>
        <r>
          <rPr>
            <sz val="8"/>
            <rFont val="Tahoma"/>
            <family val="2"/>
          </rPr>
          <t xml:space="preserve">
</t>
        </r>
      </text>
    </comment>
    <comment ref="G40" authorId="0">
      <text>
        <r>
          <rPr>
            <sz val="10"/>
            <rFont val="Tahoma"/>
            <family val="2"/>
          </rPr>
          <t>from MISC</t>
        </r>
        <r>
          <rPr>
            <sz val="8"/>
            <rFont val="Tahoma"/>
            <family val="2"/>
          </rPr>
          <t xml:space="preserve">
</t>
        </r>
      </text>
    </comment>
    <comment ref="G41" authorId="0">
      <text>
        <r>
          <rPr>
            <sz val="10"/>
            <rFont val="Tahoma"/>
            <family val="2"/>
          </rPr>
          <t>from MISC</t>
        </r>
        <r>
          <rPr>
            <sz val="8"/>
            <rFont val="Tahoma"/>
            <family val="2"/>
          </rPr>
          <t xml:space="preserve">
</t>
        </r>
      </text>
    </comment>
    <comment ref="G42" authorId="0">
      <text>
        <r>
          <rPr>
            <sz val="10"/>
            <rFont val="Tahoma"/>
            <family val="2"/>
          </rPr>
          <t>from MISC</t>
        </r>
        <r>
          <rPr>
            <sz val="8"/>
            <rFont val="Tahoma"/>
            <family val="2"/>
          </rPr>
          <t xml:space="preserve">
</t>
        </r>
      </text>
    </comment>
    <comment ref="I121" authorId="0">
      <text>
        <r>
          <rPr>
            <b/>
            <sz val="10"/>
            <rFont val="Tahoma"/>
            <family val="2"/>
          </rPr>
          <t>From T2204</t>
        </r>
      </text>
    </comment>
    <comment ref="I123" authorId="0">
      <text>
        <r>
          <rPr>
            <b/>
            <sz val="10"/>
            <rFont val="Tahoma"/>
            <family val="2"/>
          </rPr>
          <t>from Federal Worksheet</t>
        </r>
      </text>
    </comment>
    <comment ref="I81" authorId="0">
      <text>
        <r>
          <rPr>
            <b/>
            <sz val="12"/>
            <rFont val="Tahoma"/>
            <family val="2"/>
          </rPr>
          <t>Enter from your paper sheet into MISC sheet.  There is a Line labelled 224 in MISC.</t>
        </r>
      </text>
    </comment>
    <comment ref="I21" authorId="0">
      <text>
        <r>
          <rPr>
            <b/>
            <sz val="10"/>
            <rFont val="Tahoma"/>
            <family val="2"/>
          </rPr>
          <t>If you had a spouse or common-law partner on Dec 31, the one with the lower net income must report the UCCB.  Otherwise you have to report the UCCB you received.</t>
        </r>
        <r>
          <rPr>
            <sz val="8"/>
            <rFont val="Tahoma"/>
            <family val="2"/>
          </rPr>
          <t xml:space="preserve">
</t>
        </r>
      </text>
    </comment>
    <comment ref="E34" authorId="0">
      <text>
        <r>
          <rPr>
            <sz val="12"/>
            <rFont val="Tahoma"/>
            <family val="2"/>
          </rPr>
          <t>Use paper form T2124 for calculations.</t>
        </r>
        <r>
          <rPr>
            <b/>
            <sz val="12"/>
            <rFont val="Tahoma"/>
            <family val="2"/>
          </rPr>
          <t xml:space="preserve">
</t>
        </r>
        <r>
          <rPr>
            <sz val="8"/>
            <rFont val="Tahoma"/>
            <family val="2"/>
          </rPr>
          <t xml:space="preserve">
</t>
        </r>
      </text>
    </comment>
    <comment ref="E35" authorId="0">
      <text>
        <r>
          <rPr>
            <sz val="12"/>
            <rFont val="Tahoma"/>
            <family val="2"/>
          </rPr>
          <t>Use paper form T2032 for calculations</t>
        </r>
        <r>
          <rPr>
            <b/>
            <sz val="8"/>
            <rFont val="Tahoma"/>
            <family val="2"/>
          </rPr>
          <t xml:space="preserve">
</t>
        </r>
      </text>
    </comment>
    <comment ref="E37" authorId="0">
      <text>
        <r>
          <rPr>
            <sz val="12"/>
            <rFont val="Tahoma"/>
            <family val="2"/>
          </rPr>
          <t>Use paper form T2042 for calculations.</t>
        </r>
      </text>
    </comment>
    <comment ref="E38" authorId="0">
      <text>
        <r>
          <rPr>
            <sz val="12"/>
            <rFont val="Tahoma"/>
            <family val="2"/>
          </rPr>
          <t>Use paper form T2121 for calculations.</t>
        </r>
      </text>
    </comment>
  </commentList>
</comments>
</file>

<file path=xl/comments8.xml><?xml version="1.0" encoding="utf-8"?>
<comments xmlns="http://schemas.openxmlformats.org/spreadsheetml/2006/main">
  <authors>
    <author>Egbert Verbrugge</author>
  </authors>
  <commentList>
    <comment ref="I81" authorId="0">
      <text>
        <r>
          <rPr>
            <b/>
            <sz val="10"/>
            <rFont val="Tahoma"/>
            <family val="2"/>
          </rPr>
          <t>DEFAULT FORMULA: 
THIS AMOUNT COMES FROM THE MISC SHEET</t>
        </r>
      </text>
    </comment>
    <comment ref="G34" authorId="0">
      <text>
        <r>
          <rPr>
            <b/>
            <sz val="8"/>
            <rFont val="Tahoma"/>
            <family val="2"/>
          </rPr>
          <t>Manually Add the Amount</t>
        </r>
      </text>
    </comment>
  </commentList>
</comments>
</file>

<file path=xl/comments9.xml><?xml version="1.0" encoding="utf-8"?>
<comments xmlns="http://schemas.openxmlformats.org/spreadsheetml/2006/main">
  <authors>
    <author>Egbert Verbrugge</author>
  </authors>
  <commentList>
    <comment ref="G61" authorId="0">
      <text>
        <r>
          <rPr>
            <b/>
            <sz val="10"/>
            <rFont val="Tahoma"/>
            <family val="2"/>
          </rPr>
          <t>You must set the option for line 5848 to YES on the QUAL sheet for this amount to be transferred to line 5848</t>
        </r>
        <r>
          <rPr>
            <b/>
            <sz val="8"/>
            <rFont val="Tahoma"/>
            <family val="2"/>
          </rPr>
          <t xml:space="preserve">
</t>
        </r>
      </text>
    </comment>
  </commentList>
</comments>
</file>

<file path=xl/sharedStrings.xml><?xml version="1.0" encoding="utf-8"?>
<sst xmlns="http://schemas.openxmlformats.org/spreadsheetml/2006/main" count="4056" uniqueCount="2689">
  <si>
    <r>
      <t xml:space="preserve">(g)  </t>
    </r>
    <r>
      <rPr>
        <b/>
        <sz val="12"/>
        <rFont val="Arial MT"/>
        <family val="0"/>
      </rPr>
      <t>Net foreign business income</t>
    </r>
    <r>
      <rPr>
        <sz val="12"/>
        <rFont val="Arial MT"/>
        <family val="0"/>
      </rPr>
      <t xml:space="preserve"> (see note below) is the net amount by which the business income you earned in a foreign country is more</t>
    </r>
  </si>
  <si>
    <r>
      <t>Note:</t>
    </r>
    <r>
      <rPr>
        <sz val="12"/>
        <rFont val="Arial MT"/>
        <family val="0"/>
      </rPr>
      <t xml:space="preserve"> Include only the foreign business income for the part of the year you were a resident of Canada.</t>
    </r>
  </si>
  <si>
    <t>Line 318 - Disability amount transferred from a dependant</t>
  </si>
  <si>
    <t>Dependant's taxable income from line 260 of his or her return</t>
  </si>
  <si>
    <r>
      <t xml:space="preserve">Enter on line 318 of Schedule 1 the amount on line 3 or 7, whichever is </t>
    </r>
    <r>
      <rPr>
        <b/>
        <sz val="14"/>
        <color indexed="8"/>
        <rFont val="Arial"/>
        <family val="2"/>
      </rPr>
      <t>less</t>
    </r>
    <r>
      <rPr>
        <sz val="14"/>
        <color indexed="8"/>
        <rFont val="Arial"/>
        <family val="2"/>
      </rPr>
      <t>.</t>
    </r>
  </si>
  <si>
    <r>
      <t>and Benefit Guide</t>
    </r>
    <r>
      <rPr>
        <sz val="14"/>
        <color indexed="8"/>
        <rFont val="Arial"/>
        <family val="2"/>
      </rPr>
      <t xml:space="preserve">.  Keep this worksheet for your records.  </t>
    </r>
    <r>
      <rPr>
        <b/>
        <sz val="14"/>
        <color indexed="8"/>
        <rFont val="Arial"/>
        <family val="2"/>
      </rPr>
      <t>Do not attach it to the return you send us.</t>
    </r>
  </si>
  <si>
    <r>
      <t xml:space="preserve">Use the following charts to make your calculations according to the line instructions contained in your </t>
    </r>
    <r>
      <rPr>
        <i/>
        <sz val="14"/>
        <color indexed="8"/>
        <rFont val="Arial"/>
        <family val="2"/>
      </rPr>
      <t xml:space="preserve">General Income Tax </t>
    </r>
  </si>
  <si>
    <t>Line 410 - Federal political contribution tax credit</t>
  </si>
  <si>
    <t>Line 452 - Refundable medical expense supplement</t>
  </si>
  <si>
    <t>Capital loss from a reduction in your business investment loss</t>
  </si>
  <si>
    <r>
      <t xml:space="preserve">Enter the amount from line 4 or line 7, whichever is </t>
    </r>
    <r>
      <rPr>
        <b/>
        <sz val="9"/>
        <color indexed="8"/>
        <rFont val="Arial"/>
        <family val="2"/>
      </rPr>
      <t>greater</t>
    </r>
  </si>
  <si>
    <r>
      <t>4.</t>
    </r>
    <r>
      <rPr>
        <sz val="14"/>
        <color indexed="8"/>
        <rFont val="Arial"/>
        <family val="2"/>
      </rPr>
      <t xml:space="preserve">  To enter data into a schedule, go to the desired schedule, position the cursor to the appropriate box / cell and</t>
    </r>
  </si>
  <si>
    <t>Your net Income from line 236 of your return</t>
  </si>
  <si>
    <t xml:space="preserve">Taxable amount of dividends eligible Subtotal </t>
  </si>
  <si>
    <t>Add lines 1 to 3 and enter this amount on line 180 of your return</t>
  </si>
  <si>
    <t>Add lines 4 to 7 and enter this amount on line 120 of your return</t>
  </si>
  <si>
    <t xml:space="preserve">Other than eligible dividends Subtotal </t>
  </si>
  <si>
    <r>
      <t>5.</t>
    </r>
    <r>
      <rPr>
        <sz val="14"/>
        <color indexed="8"/>
        <rFont val="Arial"/>
        <family val="2"/>
      </rPr>
      <t xml:space="preserve"> Then proceed to enter your data into the T1 General sheet, Federal worksheet, provincial worksheet &amp; the schedules.</t>
    </r>
  </si>
  <si>
    <t>Line 3 minus line 4</t>
  </si>
  <si>
    <t>If you have more than five T3 forms, you can add the data from the extra ones as a sum rather than a single #.</t>
  </si>
  <si>
    <t>or her chart for line 316.  Otherwise, enter "0".</t>
  </si>
  <si>
    <t>Usage Tips:</t>
  </si>
  <si>
    <t>Sch6</t>
  </si>
  <si>
    <t>Step 3 - Calculating your WITB disability supplement</t>
  </si>
  <si>
    <r>
      <t xml:space="preserve">Enter the amount from line 20 or line 21, whichever is </t>
    </r>
    <r>
      <rPr>
        <b/>
        <sz val="12"/>
        <rFont val="Arial MT"/>
        <family val="0"/>
      </rPr>
      <t>less.</t>
    </r>
  </si>
  <si>
    <t>If your spouse or common-law partner is not filing a return, use the amounts that he or she would enter on his or her return, schedules,</t>
  </si>
  <si>
    <t>T1206</t>
  </si>
  <si>
    <t>AB479</t>
  </si>
  <si>
    <t>170</t>
  </si>
  <si>
    <t>STATEMENT OF FISHING INCOME</t>
  </si>
  <si>
    <t>Line 5820 - Amount for infirm dependants age 18 or older</t>
  </si>
  <si>
    <t>Provincial Amounts Transferred</t>
  </si>
  <si>
    <t>From Your Spouse or Common-law Partner</t>
  </si>
  <si>
    <t>Alberta Tax and Credits</t>
  </si>
  <si>
    <t>Tax on taxable income</t>
  </si>
  <si>
    <t xml:space="preserve"> </t>
  </si>
  <si>
    <r>
      <t>Sheet Names Below are Hyperlinks</t>
    </r>
    <r>
      <rPr>
        <sz val="12"/>
        <rFont val="Arial MT"/>
        <family val="0"/>
      </rPr>
      <t>.  Click once on a Sheet Name to go to that sheet.</t>
    </r>
  </si>
  <si>
    <r>
      <t xml:space="preserve">The column adjacent to the right side of </t>
    </r>
    <r>
      <rPr>
        <b/>
        <sz val="12"/>
        <rFont val="Arial MT"/>
        <family val="0"/>
      </rPr>
      <t>each sheet</t>
    </r>
    <r>
      <rPr>
        <sz val="12"/>
        <rFont val="Arial MT"/>
        <family val="0"/>
      </rPr>
      <t xml:space="preserve"> is a hyperlink to bring you back to this sheet</t>
    </r>
  </si>
  <si>
    <t>Ontario Opportunities Fund</t>
  </si>
  <si>
    <t xml:space="preserve">   Base amount</t>
  </si>
  <si>
    <t>Amount for line 5844:</t>
  </si>
  <si>
    <t xml:space="preserve">Total amount claimed for all dependants: </t>
  </si>
  <si>
    <t>Disability amount transferred</t>
  </si>
  <si>
    <t>Note:  For the amount above to be transferred to line 318</t>
  </si>
  <si>
    <t>set the option  for line 318 to YES in the QUAL sheet</t>
  </si>
  <si>
    <t xml:space="preserve"> (from box 16 and box 17 on all T4 slips)</t>
  </si>
  <si>
    <t>X 2 =</t>
  </si>
  <si>
    <t>Donations and Gifts</t>
  </si>
  <si>
    <t xml:space="preserve">   </t>
  </si>
  <si>
    <t>Enter the result on line 428 of your return.</t>
  </si>
  <si>
    <t>pick up otherwise from 19 above</t>
  </si>
  <si>
    <t>if and but from 19 above</t>
  </si>
  <si>
    <r>
      <t xml:space="preserve">You were the </t>
    </r>
    <r>
      <rPr>
        <b/>
        <sz val="12"/>
        <rFont val="Arial MT"/>
        <family val="0"/>
      </rPr>
      <t>person with the higher net income,</t>
    </r>
    <r>
      <rPr>
        <sz val="12"/>
        <rFont val="Arial MT"/>
        <family val="0"/>
      </rPr>
      <t xml:space="preserve"> line 7 equals line 6 in Part B, and, at the same time in</t>
    </r>
  </si>
  <si>
    <t>110</t>
  </si>
  <si>
    <t>174</t>
  </si>
  <si>
    <t>Sch4</t>
  </si>
  <si>
    <t>Sch7</t>
  </si>
  <si>
    <t>337</t>
  </si>
  <si>
    <t>339</t>
  </si>
  <si>
    <t>342</t>
  </si>
  <si>
    <t>T1129</t>
  </si>
  <si>
    <t xml:space="preserve"> 5000-S7</t>
  </si>
  <si>
    <t>This form not used by Alberta this year.</t>
  </si>
  <si>
    <t>Alberta overseas employment tax credit:</t>
  </si>
  <si>
    <t>x 35%</t>
  </si>
  <si>
    <t>Employment earnings not shown on a T4 slip on which you elect to pay additional CPP contributions</t>
  </si>
  <si>
    <t>Do not report these amounts on your tax return - Canada Revenue Agency use only</t>
  </si>
  <si>
    <t>30, 31, 32, 33, 34, 36, 38, 40, 70, 71</t>
  </si>
  <si>
    <r>
      <t xml:space="preserve">is up to date.  It updates either empty or populated MyTAX workbooks.  </t>
    </r>
    <r>
      <rPr>
        <b/>
        <sz val="14"/>
        <color indexed="8"/>
        <rFont val="Arial"/>
        <family val="2"/>
      </rPr>
      <t xml:space="preserve">Excel Macros must be enabled </t>
    </r>
    <r>
      <rPr>
        <sz val="14"/>
        <color indexed="8"/>
        <rFont val="Arial"/>
        <family val="2"/>
      </rPr>
      <t>to run it.</t>
    </r>
  </si>
  <si>
    <t>The update features uses Macros.  The updater may not run on Mac versions of Excel.</t>
  </si>
  <si>
    <t>CANADA REVENUE AGENCY HELP</t>
  </si>
  <si>
    <t>(an internet connection is required for the above link to work)</t>
  </si>
  <si>
    <r>
      <t>306, 315, and/or 331, provide the details requested below.</t>
    </r>
    <r>
      <rPr>
        <b/>
        <sz val="12"/>
        <color indexed="8"/>
        <rFont val="Arial"/>
        <family val="2"/>
      </rPr>
      <t xml:space="preserve">  Attach a copy of this schedule to your return.</t>
    </r>
  </si>
  <si>
    <r>
      <t>To calculate the amount for line 331, read the instructions for line 331 in the guide.</t>
    </r>
    <r>
      <rPr>
        <sz val="12"/>
        <color indexed="8"/>
        <rFont val="Arial"/>
        <family val="2"/>
      </rPr>
      <t xml:space="preserve">  For each dependant claimed on lines 305,</t>
    </r>
  </si>
  <si>
    <t>404</t>
  </si>
  <si>
    <t>Actual amount of dividends other than eligible dividends</t>
  </si>
  <si>
    <t>Taxable amount of dividends other than eligible dividends</t>
  </si>
  <si>
    <r>
      <t xml:space="preserve">HBP Withdrawal                   </t>
    </r>
    <r>
      <rPr>
        <sz val="14"/>
        <color indexed="8"/>
        <rFont val="Arial"/>
        <family val="2"/>
      </rPr>
      <t>Sch7</t>
    </r>
  </si>
  <si>
    <r>
      <t>LLP withdrawal</t>
    </r>
    <r>
      <rPr>
        <sz val="14"/>
        <color indexed="8"/>
        <rFont val="Arial"/>
        <family val="2"/>
      </rPr>
      <t xml:space="preserve">                   Sch 7</t>
    </r>
  </si>
  <si>
    <t>Transfers on breakdown of marriage or common-law partnership</t>
  </si>
  <si>
    <t>Total EI insurable earnings (box 24 or, if blank, box 14 of your T4 slips)</t>
  </si>
  <si>
    <t>Amount from line 17</t>
  </si>
  <si>
    <t>Allowable amount for this dependant: Line 3 minus line 4 (if negative, enter "0")</t>
  </si>
  <si>
    <t>Enter the total here:</t>
  </si>
  <si>
    <t>Number of weeks for</t>
  </si>
  <si>
    <t xml:space="preserve"> unless this chart is being completed for the calculation for line 318.</t>
  </si>
  <si>
    <t xml:space="preserve">Add lines 420 to 428. </t>
  </si>
  <si>
    <r>
      <t xml:space="preserve">Elected split-pension amount (see the guide and </t>
    </r>
    <r>
      <rPr>
        <b/>
        <sz val="12"/>
        <color indexed="8"/>
        <rFont val="Arial"/>
        <family val="2"/>
      </rPr>
      <t>attach</t>
    </r>
    <r>
      <rPr>
        <sz val="12"/>
        <color indexed="8"/>
        <rFont val="Arial"/>
        <family val="2"/>
      </rPr>
      <t xml:space="preserve"> Form T1032)</t>
    </r>
  </si>
  <si>
    <t>Additional deductions      Specify:</t>
  </si>
  <si>
    <t>Other deductions              Specify:</t>
  </si>
  <si>
    <t>Free support via email is available:               support@peeltech.ca</t>
  </si>
  <si>
    <t>Situation Index for boxes, 16,20,24</t>
  </si>
  <si>
    <t>Situation index for box 22</t>
  </si>
  <si>
    <t>If your spouse or common-law partner made more than one contribution to your RRSPs in the two preceding years, he or she</t>
  </si>
  <si>
    <t>has to include the contributions in income in the order he or she contributed them.</t>
  </si>
  <si>
    <t>Example: James makes the following contributions to Tania's RRSP.</t>
  </si>
  <si>
    <t>Tania made the following withdrawals from her spousal or common-law partner RRSP.</t>
  </si>
  <si>
    <t>Unused contributions</t>
  </si>
  <si>
    <t>Part of the amount your spouse or common-law partner includes in income for the year, based on this completed form, may</t>
  </si>
  <si>
    <t>be for RRSP contributions that were not deducted for any year. Your spouse or common-law partner may be able to claim a</t>
  </si>
  <si>
    <t>deduction on his or her return. To determine the deductible amount, your spouse or common-law partner can complete</t>
  </si>
  <si>
    <t>●  You have transferred to your RRSP certain amounts you included in your income.</t>
  </si>
  <si>
    <r>
      <t>Unused</t>
    </r>
    <r>
      <rPr>
        <sz val="12"/>
        <color indexed="8"/>
        <rFont val="Arial"/>
        <family val="2"/>
      </rPr>
      <t xml:space="preserve"> RRSP contributions: </t>
    </r>
    <r>
      <rPr>
        <b/>
        <sz val="12"/>
        <color indexed="8"/>
        <rFont val="Arial"/>
        <family val="2"/>
      </rPr>
      <t>amount B</t>
    </r>
    <r>
      <rPr>
        <sz val="12"/>
        <color indexed="8"/>
        <rFont val="Arial"/>
        <family val="2"/>
      </rPr>
      <t xml:space="preserve"> of your</t>
    </r>
  </si>
  <si>
    <r>
      <t xml:space="preserve">line 9, </t>
    </r>
    <r>
      <rPr>
        <b/>
        <sz val="12"/>
        <color indexed="8"/>
        <rFont val="Arial"/>
        <family val="2"/>
      </rPr>
      <t>excluding transfers</t>
    </r>
    <r>
      <rPr>
        <sz val="12"/>
        <color indexed="8"/>
        <rFont val="Arial"/>
        <family val="2"/>
      </rPr>
      <t>, and your RRSP deduction limit for</t>
    </r>
  </si>
  <si>
    <t>Add lines 10 and 11.</t>
  </si>
  <si>
    <r>
      <t xml:space="preserve">enter the amount from line 9 or line 12, whichever is </t>
    </r>
    <r>
      <rPr>
        <b/>
        <sz val="12"/>
        <color indexed="8"/>
        <rFont val="Arial"/>
        <family val="2"/>
      </rPr>
      <t>less</t>
    </r>
  </si>
  <si>
    <t>Your unused RRSP contributions available to carry forward to a future year:  line 9 minus line 13</t>
  </si>
  <si>
    <r>
      <t>Do</t>
    </r>
    <r>
      <rPr>
        <b/>
        <sz val="12"/>
        <color indexed="8"/>
        <rFont val="Arial"/>
        <family val="2"/>
      </rPr>
      <t xml:space="preserve"> not</t>
    </r>
    <r>
      <rPr>
        <sz val="12"/>
        <color indexed="8"/>
        <rFont val="Arial"/>
        <family val="2"/>
      </rPr>
      <t xml:space="preserve"> include an amount you deducted or designated as a</t>
    </r>
  </si>
  <si>
    <t>Dependant's net income</t>
  </si>
  <si>
    <t>Spousal or common-law partner RRIF</t>
  </si>
  <si>
    <t>Social Insurance Number</t>
  </si>
  <si>
    <t>Line 4 minus line 5 (if negative, enter "0")</t>
  </si>
  <si>
    <t>Total child care and attendant care expenses claimed for you by anyone</t>
  </si>
  <si>
    <t>T1 GEN-2</t>
  </si>
  <si>
    <t>Spreadsheet</t>
  </si>
  <si>
    <t>Total Amt</t>
  </si>
  <si>
    <t>104</t>
  </si>
  <si>
    <t>T1 GEN-3</t>
  </si>
  <si>
    <t>314</t>
  </si>
  <si>
    <t>416</t>
  </si>
  <si>
    <t>417</t>
  </si>
  <si>
    <t>418</t>
  </si>
  <si>
    <t>19</t>
  </si>
  <si>
    <t>420</t>
  </si>
  <si>
    <t>5824</t>
  </si>
  <si>
    <t>5828</t>
  </si>
  <si>
    <t>15</t>
  </si>
  <si>
    <t>21</t>
  </si>
  <si>
    <t>23</t>
  </si>
  <si>
    <t>Amounts deemed received on</t>
  </si>
  <si>
    <t>deregistration</t>
  </si>
  <si>
    <t>Other income or deductions</t>
  </si>
  <si>
    <t>129,232</t>
  </si>
  <si>
    <t>Withdrawal and commutation</t>
  </si>
  <si>
    <t xml:space="preserve"> payments</t>
  </si>
  <si>
    <t>BC</t>
  </si>
  <si>
    <t>AB</t>
  </si>
  <si>
    <t>NS</t>
  </si>
  <si>
    <t>L428</t>
  </si>
  <si>
    <t>L479</t>
  </si>
  <si>
    <t>Schedule 2</t>
  </si>
  <si>
    <t>Destination Spreadsheet</t>
  </si>
  <si>
    <t>Allocated Slip # 1</t>
  </si>
  <si>
    <t>Allocated Slip # 2</t>
  </si>
  <si>
    <t>Allocated Slip # 3</t>
  </si>
  <si>
    <t>Allocated Slip # 4</t>
  </si>
  <si>
    <t>Attach Schedule 5 to your return to provide details for each dependant.</t>
  </si>
  <si>
    <t>CPP Contributions</t>
  </si>
  <si>
    <t xml:space="preserve">  (amount from line 308 of your federal Schedule 1)</t>
  </si>
  <si>
    <t xml:space="preserve">Employment Insurance premiums </t>
  </si>
  <si>
    <r>
      <t xml:space="preserve">Keep this </t>
    </r>
    <r>
      <rPr>
        <i/>
        <sz val="12"/>
        <color indexed="8"/>
        <rFont val="Arial"/>
        <family val="2"/>
      </rPr>
      <t xml:space="preserve">Provincial Worksheet </t>
    </r>
    <r>
      <rPr>
        <sz val="12"/>
        <color indexed="8"/>
        <rFont val="Arial"/>
        <family val="2"/>
      </rPr>
      <t xml:space="preserve">for your records.  </t>
    </r>
    <r>
      <rPr>
        <b/>
        <sz val="12"/>
        <color indexed="8"/>
        <rFont val="Arial"/>
        <family val="2"/>
      </rPr>
      <t xml:space="preserve">Do not attach </t>
    </r>
    <r>
      <rPr>
        <sz val="12"/>
        <color indexed="8"/>
        <rFont val="Arial"/>
        <family val="2"/>
      </rPr>
      <t>it to the return you send us.</t>
    </r>
    <r>
      <rPr>
        <i/>
        <sz val="12"/>
        <color indexed="8"/>
        <rFont val="Arial"/>
        <family val="2"/>
      </rPr>
      <t xml:space="preserve"> </t>
    </r>
  </si>
  <si>
    <t>Tuition, Educational and Textbook Amounts</t>
  </si>
  <si>
    <t>attached is correct, complete, and fully discloses all my income.</t>
  </si>
  <si>
    <t>Sign here</t>
  </si>
  <si>
    <t>Refundable medical expense supplement (use federal worksheet)</t>
  </si>
  <si>
    <t>Schedule 6</t>
  </si>
  <si>
    <t>It is important that you set each QUALIFICATION correctly because MyTAX uses these settings for its calculations.</t>
  </si>
  <si>
    <t>received as an emergency volunteer.</t>
  </si>
  <si>
    <t>Add lines 9, 10, and 11.</t>
  </si>
  <si>
    <t>Part B – Adjusted family net income</t>
  </si>
  <si>
    <t>Step 1 – Calculating your working income and adjusted family net income</t>
  </si>
  <si>
    <t>You</t>
  </si>
  <si>
    <t>Your eligible</t>
  </si>
  <si>
    <t>spouse</t>
  </si>
  <si>
    <t>Part A – Working income</t>
  </si>
  <si>
    <t>Complete columns 1 and 2 if you had an eligible spouse on</t>
  </si>
  <si>
    <t>Multiply line 18 by line 19.</t>
  </si>
  <si>
    <t>Step 2 – Calculating your basic WITB</t>
  </si>
  <si>
    <t>Enter the amount from line 8 in Step 1.</t>
  </si>
  <si>
    <t>Enter the amount from line 15 in Step 1.</t>
  </si>
  <si>
    <t>Base amount:</t>
  </si>
  <si>
    <t>Multiply line 25 by line 26.</t>
  </si>
  <si>
    <t>Line 22 minus line 27 (if negative, enter "0")</t>
  </si>
  <si>
    <t>Line 34 minus line 39 (if negative, enter "0")</t>
  </si>
  <si>
    <t>Multiply line 37 by line 38.</t>
  </si>
  <si>
    <t>Line 29 minus line 30 (if negative, enter "0")</t>
  </si>
  <si>
    <t>Multiply line 31 by line 32.</t>
  </si>
  <si>
    <t>Add lines 40 and 41.</t>
  </si>
  <si>
    <t xml:space="preserve">Taxable amount of dividends (eligible and other than eligible) Total </t>
  </si>
  <si>
    <t xml:space="preserve">Enter this amount on line 121 of your return. </t>
  </si>
  <si>
    <t xml:space="preserve">Enter this amount on line 122 of your return. </t>
  </si>
  <si>
    <t xml:space="preserve">Enter this amount on line 221 of your return. </t>
  </si>
  <si>
    <t>Interest and other investment income Total</t>
  </si>
  <si>
    <t xml:space="preserve">Net partnership income (loss) Total </t>
  </si>
  <si>
    <t xml:space="preserve">Carrying charges and interest expenses Total </t>
  </si>
  <si>
    <t>Details of Statement of Investment Income for Schedule 4</t>
  </si>
  <si>
    <t>Details of Statement of Investment Income for Schedule 4 Cont'd</t>
  </si>
  <si>
    <t>Federal Amounts Transferred From</t>
  </si>
  <si>
    <t>Tuition, education and textbook amounts:</t>
  </si>
  <si>
    <r>
      <t xml:space="preserve">Q3. </t>
    </r>
    <r>
      <rPr>
        <sz val="14"/>
        <color indexed="8"/>
        <rFont val="Arial"/>
        <family val="2"/>
      </rPr>
      <t>Can I still use MyTAX if the form I need is not included in MyTAX?</t>
    </r>
  </si>
  <si>
    <t xml:space="preserve">of paper forms mailed by Canada Customs and Revenue to taxpayers.  Just as in the manual preparation case </t>
  </si>
  <si>
    <t xml:space="preserve">enter the "bottom line" data from that form into the appropriate line in MyTAX which will crunch the arithmetic </t>
  </si>
  <si>
    <t>Basic personal amount</t>
  </si>
  <si>
    <t>5804</t>
  </si>
  <si>
    <t>5808</t>
  </si>
  <si>
    <t>9</t>
  </si>
  <si>
    <t>Amount enclosed</t>
  </si>
  <si>
    <t>Federal Worksheet</t>
  </si>
  <si>
    <t>1 No</t>
  </si>
  <si>
    <t>Schedule AB(S2)</t>
  </si>
  <si>
    <t>Gain (or loss)</t>
  </si>
  <si>
    <t>acquisition</t>
  </si>
  <si>
    <t>disposition</t>
  </si>
  <si>
    <t>X 75% =</t>
  </si>
  <si>
    <t>Gifts of depreciable property</t>
  </si>
  <si>
    <t>Add lines 3 and 4</t>
  </si>
  <si>
    <t>X 25% =</t>
  </si>
  <si>
    <t>From Box 20 for T2205</t>
  </si>
  <si>
    <t>From Box 22 for T2205</t>
  </si>
  <si>
    <t>Situation Index for boxes 20,22,26</t>
  </si>
  <si>
    <t>From Box 26 for T2205</t>
  </si>
  <si>
    <t>Situation Index for box 16</t>
  </si>
  <si>
    <t>AND</t>
  </si>
  <si>
    <t>PROV SWITCH AREA</t>
  </si>
  <si>
    <t>Foreign busniess income</t>
  </si>
  <si>
    <t>Foreign non-business income</t>
  </si>
  <si>
    <t>Capital gains eligible for deduction</t>
  </si>
  <si>
    <t>Qualifying pension income</t>
  </si>
  <si>
    <t>Foreign business income paid</t>
  </si>
  <si>
    <t xml:space="preserve">Insurance segragated </t>
  </si>
  <si>
    <t>fund capital losses</t>
  </si>
  <si>
    <t>Part XII.2 tax credit</t>
  </si>
  <si>
    <t>Investment tax credit</t>
  </si>
  <si>
    <t>Investment cost or expenditures</t>
  </si>
  <si>
    <t>Employment Insurance overpayment (enter your excess contributions)</t>
  </si>
  <si>
    <r>
      <t xml:space="preserve">T5, T5013, T5013A and T4PS information slips - </t>
    </r>
    <r>
      <rPr>
        <sz val="12"/>
        <color indexed="8"/>
        <rFont val="Arial"/>
        <family val="2"/>
      </rPr>
      <t>Capital gains (or losses)</t>
    </r>
  </si>
  <si>
    <r>
      <t>T3 information slips</t>
    </r>
    <r>
      <rPr>
        <sz val="12"/>
        <color indexed="8"/>
        <rFont val="Arial"/>
        <family val="2"/>
      </rPr>
      <t xml:space="preserve"> - Capital gains (or losses)</t>
    </r>
  </si>
  <si>
    <r>
      <t xml:space="preserve">Line 16 minus line 20                                   </t>
    </r>
    <r>
      <rPr>
        <b/>
        <sz val="12"/>
        <color indexed="8"/>
        <rFont val="Arial"/>
        <family val="2"/>
      </rPr>
      <t>Unused provincial amount available to carry forward to a future year</t>
    </r>
  </si>
  <si>
    <t>5912</t>
  </si>
  <si>
    <t>Provincial amounts transferred from</t>
  </si>
  <si>
    <t>(details on following sheet,  Sch4-2)</t>
  </si>
  <si>
    <r>
      <t xml:space="preserve">Multiply the amount on line 10 by the number of </t>
    </r>
    <r>
      <rPr>
        <b/>
        <sz val="12"/>
        <rFont val="Arial MT"/>
        <family val="0"/>
      </rPr>
      <t>months</t>
    </r>
  </si>
  <si>
    <r>
      <t xml:space="preserve">Multiply the amount on line 10 by the number of </t>
    </r>
    <r>
      <rPr>
        <b/>
        <sz val="12"/>
        <rFont val="Arial MT"/>
        <family val="0"/>
      </rPr>
      <t>weeks</t>
    </r>
    <r>
      <rPr>
        <sz val="12"/>
        <rFont val="Arial MT"/>
        <family val="0"/>
      </rPr>
      <t xml:space="preserve"> </t>
    </r>
  </si>
  <si>
    <t>(not to exceed the amount on line 236 of your return)</t>
  </si>
  <si>
    <r>
      <t>Q2</t>
    </r>
    <r>
      <rPr>
        <sz val="14"/>
        <color indexed="8"/>
        <rFont val="Arial"/>
        <family val="2"/>
      </rPr>
      <t>.  I have a "T" slip for which MyTAX doesn't have a "T" input form.  What do I do?</t>
    </r>
  </si>
  <si>
    <t>If you have more than five T5007 forms, you can add the data from the extra ones as a sum rather than a single #.</t>
  </si>
  <si>
    <t>All Except BC</t>
  </si>
  <si>
    <t>This Form</t>
  </si>
  <si>
    <t>This table takes care of that</t>
  </si>
  <si>
    <t>Value</t>
  </si>
  <si>
    <t>Text</t>
  </si>
  <si>
    <t xml:space="preserve">              If you are completing a final return for a deceased person who met the above conditions, you can claim the WITB for that</t>
  </si>
  <si>
    <r>
      <t>specify the provincial amount</t>
    </r>
    <r>
      <rPr>
        <sz val="12"/>
        <color indexed="8"/>
        <rFont val="Arial"/>
        <family val="2"/>
      </rPr>
      <t xml:space="preserve"> that you are transferring to him or her on Form T2202, T2202A, or TL11A,</t>
    </r>
  </si>
  <si>
    <t>TL11b, or TL11C.  Enter the amount on line 20 below.</t>
  </si>
  <si>
    <r>
      <t xml:space="preserve">Enter, on line 5820 of Form AB428, the total amount claimed for </t>
    </r>
    <r>
      <rPr>
        <b/>
        <sz val="12"/>
        <color indexed="8"/>
        <rFont val="Arial"/>
        <family val="2"/>
      </rPr>
      <t>all</t>
    </r>
    <r>
      <rPr>
        <sz val="12"/>
        <color indexed="8"/>
        <rFont val="Arial"/>
        <family val="2"/>
      </rPr>
      <t xml:space="preserve"> dependants.</t>
    </r>
  </si>
  <si>
    <t>●53</t>
  </si>
  <si>
    <r>
      <t xml:space="preserve">Enter the province or territory where you
</t>
    </r>
    <r>
      <rPr>
        <b/>
        <sz val="10"/>
        <rFont val="Arial"/>
        <family val="2"/>
      </rPr>
      <t>currently</t>
    </r>
    <r>
      <rPr>
        <sz val="10"/>
        <rFont val="Arial"/>
        <family val="0"/>
      </rPr>
      <t xml:space="preserve"> reside if it is not the same as
that shown above for your mailing address:</t>
    </r>
  </si>
  <si>
    <t>Spouse's or common-law partner's taxable income:</t>
  </si>
  <si>
    <t>Are you applying for the GST/HST or the Ontario Sales Tax (OST) credit?</t>
  </si>
  <si>
    <t>OTHERS</t>
  </si>
  <si>
    <t>Are you applying for the GST/HST credit (including any related provincial credit)?</t>
  </si>
  <si>
    <t>Are you applying for the GST/HST credit?</t>
  </si>
  <si>
    <t>Text Table for Page 1 of T1 GEN-1 Sheet</t>
  </si>
  <si>
    <t>Page 1 txt</t>
  </si>
  <si>
    <t>PO Box</t>
  </si>
  <si>
    <t>Enter his or her SIN if it is not on the label,</t>
  </si>
  <si>
    <t>or if you are not attaching a label:</t>
  </si>
  <si>
    <r>
      <t>Elections Canada</t>
    </r>
    <r>
      <rPr>
        <b/>
        <sz val="12"/>
        <color indexed="57"/>
        <rFont val="Arial"/>
        <family val="2"/>
      </rPr>
      <t xml:space="preserve"> </t>
    </r>
    <r>
      <rPr>
        <b/>
        <sz val="14"/>
        <rFont val="Arial"/>
        <family val="2"/>
      </rPr>
      <t xml:space="preserve"> </t>
    </r>
    <r>
      <rPr>
        <sz val="12"/>
        <rFont val="Arial"/>
        <family val="2"/>
      </rPr>
      <t xml:space="preserve">(see the Elections Canada page in the guide for details or visit </t>
    </r>
    <r>
      <rPr>
        <b/>
        <sz val="12"/>
        <rFont val="Arial"/>
        <family val="2"/>
      </rPr>
      <t>www.elections.ca)</t>
    </r>
  </si>
  <si>
    <t>B)   As a Canadian citizen, do you authorize the Canada Revenue Agency to give your name,</t>
  </si>
  <si>
    <t xml:space="preserve">       political parties, as well as candidates at election time.</t>
  </si>
  <si>
    <t>See the guide for details.</t>
  </si>
  <si>
    <t>Complete all the sections that apply to you in order to benefit from amounts to which you are entitled.</t>
  </si>
  <si>
    <r>
      <t xml:space="preserve">       Your authorization is valid until you file your next return.  Your information will only be used for purposes permitted under the </t>
    </r>
    <r>
      <rPr>
        <i/>
        <sz val="12"/>
        <rFont val="Arial"/>
        <family val="2"/>
      </rPr>
      <t>Canada</t>
    </r>
  </si>
  <si>
    <r>
      <t xml:space="preserve">       </t>
    </r>
    <r>
      <rPr>
        <i/>
        <sz val="12"/>
        <rFont val="Arial"/>
        <family val="2"/>
      </rPr>
      <t>Elections Act</t>
    </r>
    <r>
      <rPr>
        <sz val="12"/>
        <rFont val="Arial"/>
        <family val="2"/>
      </rPr>
      <t xml:space="preserve"> which includes sharing the information with provincial/territorial election agencies.  Members of Parliament and registered</t>
    </r>
  </si>
  <si>
    <t>(see the "Foreign income" section in the guide for details) . . .. . . . . . . . . . . . . . . . . . . . . . . . .</t>
  </si>
  <si>
    <t>Registered disability savings plan income (see the guide)</t>
  </si>
  <si>
    <r>
      <t>You do not have to complete this area every year</t>
    </r>
    <r>
      <rPr>
        <sz val="12"/>
        <color indexed="8"/>
        <rFont val="Arial"/>
        <family val="2"/>
      </rPr>
      <t>.  Do not complete it this year if your direct deoposit information has not changed.</t>
    </r>
  </si>
  <si>
    <r>
      <t>Refund, GST/HST credit, and WITB advance payments, and any other deemed overpayment of tax -</t>
    </r>
    <r>
      <rPr>
        <sz val="12"/>
        <color indexed="8"/>
        <rFont val="Arial"/>
        <family val="2"/>
      </rPr>
      <t>To start direct deposit or to</t>
    </r>
  </si>
  <si>
    <r>
      <t xml:space="preserve">change account information only, </t>
    </r>
    <r>
      <rPr>
        <b/>
        <sz val="12"/>
        <color indexed="8"/>
        <rFont val="Arial"/>
        <family val="2"/>
      </rPr>
      <t>attach</t>
    </r>
    <r>
      <rPr>
        <sz val="12"/>
        <color indexed="8"/>
        <rFont val="Arial"/>
        <family val="2"/>
      </rPr>
      <t xml:space="preserve"> a "void" cheque or complete lines 460, 461, and 462.</t>
    </r>
  </si>
  <si>
    <r>
      <t>Notes:</t>
    </r>
    <r>
      <rPr>
        <sz val="12"/>
        <color indexed="8"/>
        <rFont val="Arial"/>
        <family val="2"/>
      </rPr>
      <t xml:space="preserve"> To deposit your </t>
    </r>
    <r>
      <rPr>
        <b/>
        <sz val="12"/>
        <color indexed="8"/>
        <rFont val="Arial"/>
        <family val="2"/>
      </rPr>
      <t>CCTB</t>
    </r>
    <r>
      <rPr>
        <sz val="12"/>
        <color indexed="8"/>
        <rFont val="Arial"/>
        <family val="2"/>
      </rPr>
      <t xml:space="preserve"> payments (including certain related provincial or territorial payments) into the </t>
    </r>
    <r>
      <rPr>
        <b/>
        <sz val="12"/>
        <color indexed="8"/>
        <rFont val="Arial"/>
        <family val="2"/>
      </rPr>
      <t>same</t>
    </r>
    <r>
      <rPr>
        <sz val="12"/>
        <color indexed="8"/>
        <rFont val="Arial"/>
        <family val="2"/>
      </rPr>
      <t xml:space="preserve"> account, also tick</t>
    </r>
  </si>
  <si>
    <r>
      <t xml:space="preserve">              box 463.  To deposit your </t>
    </r>
    <r>
      <rPr>
        <b/>
        <sz val="12"/>
        <color indexed="8"/>
        <rFont val="Arial"/>
        <family val="2"/>
      </rPr>
      <t>UCCB</t>
    </r>
    <r>
      <rPr>
        <sz val="12"/>
        <color indexed="8"/>
        <rFont val="Arial"/>
        <family val="2"/>
      </rPr>
      <t xml:space="preserve"> payments into the </t>
    </r>
    <r>
      <rPr>
        <b/>
        <sz val="12"/>
        <color indexed="8"/>
        <rFont val="Arial"/>
        <family val="2"/>
      </rPr>
      <t>same</t>
    </r>
    <r>
      <rPr>
        <sz val="12"/>
        <color indexed="8"/>
        <rFont val="Arial"/>
        <family val="2"/>
      </rPr>
      <t xml:space="preserve"> account, also tick box 491.</t>
    </r>
  </si>
  <si>
    <t>Your donation to the</t>
  </si>
  <si>
    <t>Privacy Act Personal Information Bank number CRA PPU 005</t>
  </si>
  <si>
    <r>
      <t xml:space="preserve">Net federal tax: enter the amount from line 55 of Schedule 1 </t>
    </r>
    <r>
      <rPr>
        <b/>
        <sz val="12"/>
        <color indexed="8"/>
        <rFont val="Arial"/>
        <family val="2"/>
      </rPr>
      <t>(attach</t>
    </r>
    <r>
      <rPr>
        <sz val="12"/>
        <color indexed="8"/>
        <rFont val="Arial"/>
        <family val="2"/>
      </rPr>
      <t xml:space="preserve"> Schedule 1, even if the result is "0")</t>
    </r>
  </si>
  <si>
    <r>
      <t>Provincial or territorial tax</t>
    </r>
    <r>
      <rPr>
        <sz val="12"/>
        <rFont val="Arial MT"/>
        <family val="2"/>
      </rPr>
      <t xml:space="preserve"> </t>
    </r>
    <r>
      <rPr>
        <sz val="12"/>
        <rFont val="Arial MT"/>
        <family val="0"/>
      </rPr>
      <t>(</t>
    </r>
    <r>
      <rPr>
        <b/>
        <sz val="12"/>
        <rFont val="Arial MT"/>
        <family val="0"/>
      </rPr>
      <t>attach</t>
    </r>
    <r>
      <rPr>
        <sz val="12"/>
        <rFont val="Arial MT"/>
        <family val="2"/>
      </rPr>
      <t xml:space="preserve"> Form 428, even if the result is "0")</t>
    </r>
  </si>
  <si>
    <r>
      <t xml:space="preserve">Provincial or territorial credits </t>
    </r>
    <r>
      <rPr>
        <sz val="12"/>
        <rFont val="Arial MT"/>
        <family val="0"/>
      </rPr>
      <t>(</t>
    </r>
    <r>
      <rPr>
        <b/>
        <sz val="12"/>
        <rFont val="Arial MT"/>
        <family val="0"/>
      </rPr>
      <t>attach</t>
    </r>
    <r>
      <rPr>
        <sz val="12"/>
        <rFont val="Arial MT"/>
        <family val="2"/>
      </rPr>
      <t xml:space="preserve"> Form 479 if it applies)</t>
    </r>
  </si>
  <si>
    <r>
      <t>Step 1 – Federal non-refundable tax credits</t>
    </r>
    <r>
      <rPr>
        <b/>
        <sz val="14"/>
        <color indexed="57"/>
        <rFont val="Arial"/>
        <family val="2"/>
      </rPr>
      <t xml:space="preserve"> </t>
    </r>
    <r>
      <rPr>
        <sz val="14"/>
        <color indexed="57"/>
        <rFont val="Arial"/>
        <family val="2"/>
      </rPr>
      <t>(for details, see the related lines in the guide)</t>
    </r>
  </si>
  <si>
    <t>(maximum $6,408)</t>
  </si>
  <si>
    <r>
      <t xml:space="preserve">$10,320 </t>
    </r>
    <r>
      <rPr>
        <b/>
        <sz val="12"/>
        <rFont val="Arial"/>
        <family val="2"/>
      </rPr>
      <t>minus(</t>
    </r>
    <r>
      <rPr>
        <sz val="12"/>
        <rFont val="Arial"/>
        <family val="2"/>
      </rPr>
      <t xml:space="preserve">  </t>
    </r>
  </si>
  <si>
    <t>$10,320 minus (</t>
  </si>
  <si>
    <t>x $2,089</t>
  </si>
  <si>
    <t>(maximum $2,118.60)</t>
  </si>
  <si>
    <t>(maximum $731.79)</t>
  </si>
  <si>
    <t>(maximum $1044)</t>
  </si>
  <si>
    <t>●38</t>
  </si>
  <si>
    <t>●43</t>
  </si>
  <si>
    <t>●49</t>
  </si>
  <si>
    <t>Use the amount on line 29 to determine</t>
  </si>
  <si>
    <t>Enter the amount from line 29.</t>
  </si>
  <si>
    <t>Line 30 minus line 31 (cannot be negative)</t>
  </si>
  <si>
    <t>Multiply line 32 by line 33.</t>
  </si>
  <si>
    <t>Enter the amount from line 36 above.</t>
  </si>
  <si>
    <t>Enter your non-refundable tax credits from line 28.</t>
  </si>
  <si>
    <t xml:space="preserve">Add lines 1 to 24. </t>
  </si>
  <si>
    <r>
      <t xml:space="preserve">Total federal non-refundable tax credits: </t>
    </r>
    <r>
      <rPr>
        <sz val="12"/>
        <color indexed="8"/>
        <rFont val="Arial"/>
        <family val="2"/>
      </rPr>
      <t>Add Lines 26 and 27.</t>
    </r>
  </si>
  <si>
    <t xml:space="preserve">Add lines 37 and 38. </t>
  </si>
  <si>
    <t>Add lines 40 to 43.</t>
  </si>
  <si>
    <r>
      <t>Basic federal tax</t>
    </r>
    <r>
      <rPr>
        <sz val="12"/>
        <color indexed="8"/>
        <rFont val="Arial"/>
        <family val="2"/>
      </rPr>
      <t xml:space="preserve">: Line 39 minus line 44 (if negative, enter "0")  </t>
    </r>
  </si>
  <si>
    <r>
      <t>Federal tax</t>
    </r>
    <r>
      <rPr>
        <sz val="12"/>
        <color indexed="8"/>
        <rFont val="Arial"/>
        <family val="2"/>
      </rPr>
      <t>: Line 45 minus line 46 (if negative, enter "0")</t>
    </r>
  </si>
  <si>
    <t>Add lines 48 to 50.</t>
  </si>
  <si>
    <t>Line 47 minus line 51 (if negative, enter "0")</t>
  </si>
  <si>
    <t>(if you have an amount on line 38 above, see Form T1206)</t>
  </si>
  <si>
    <r>
      <t xml:space="preserve">Disability amount (for self) (claim </t>
    </r>
    <r>
      <rPr>
        <b/>
        <sz val="12"/>
        <color indexed="8"/>
        <rFont val="Arial"/>
        <family val="2"/>
      </rPr>
      <t xml:space="preserve">$7,196 </t>
    </r>
    <r>
      <rPr>
        <sz val="12"/>
        <color indexed="8"/>
        <rFont val="Arial"/>
        <family val="2"/>
      </rPr>
      <t>or if you were under age 18, use federal worksheet)</t>
    </r>
  </si>
  <si>
    <r>
      <t xml:space="preserve">  Minus: $2,011 or 3% of line 236, whichever is </t>
    </r>
    <r>
      <rPr>
        <b/>
        <sz val="12"/>
        <color indexed="8"/>
        <rFont val="Arial"/>
        <family val="2"/>
      </rPr>
      <t>less</t>
    </r>
  </si>
  <si>
    <t xml:space="preserve">Multiply the amount on line 25 by 15%. </t>
  </si>
  <si>
    <t>Home renovation expenses (see line 368 in the guide and attach Schedule 12)</t>
  </si>
  <si>
    <t>Home buyers' amount (see line 369 in the guide)</t>
  </si>
  <si>
    <t>If line 29 is</t>
  </si>
  <si>
    <t>If line 29 is more</t>
  </si>
  <si>
    <t>Add lines 34 and 36.</t>
  </si>
  <si>
    <t xml:space="preserve"> $40,726 or less</t>
  </si>
  <si>
    <t>than $40,726 but</t>
  </si>
  <si>
    <t>$81,452</t>
  </si>
  <si>
    <t>than $81,452 but</t>
  </si>
  <si>
    <t>$126,264</t>
  </si>
  <si>
    <t>than $126,264</t>
  </si>
  <si>
    <r>
      <t>Net federal tax:</t>
    </r>
    <r>
      <rPr>
        <sz val="12"/>
        <color indexed="8"/>
        <rFont val="Arial"/>
        <family val="2"/>
      </rPr>
      <t xml:space="preserve"> add lines 52 to 54</t>
    </r>
  </si>
  <si>
    <t xml:space="preserve">claim $10,320 </t>
  </si>
  <si>
    <r>
      <t>Minimum tax carryover (</t>
    </r>
    <r>
      <rPr>
        <b/>
        <sz val="12"/>
        <color indexed="8"/>
        <rFont val="Arial"/>
        <family val="2"/>
      </rPr>
      <t>attach</t>
    </r>
    <r>
      <rPr>
        <sz val="12"/>
        <color indexed="8"/>
        <rFont val="Arial"/>
        <family val="2"/>
      </rPr>
      <t xml:space="preserve"> Form T691)</t>
    </r>
  </si>
  <si>
    <t>Complete this schedule if you had eligible home renovation expenses and you are claiming the Home Renovation Tax Credit (HRTC).</t>
  </si>
  <si>
    <t>For more information, see line 368 in the guide.</t>
  </si>
  <si>
    <t>Eligible expenses are those incurred after January 27, 2009 and before February 1, 2010, under an agreement entered into after</t>
  </si>
  <si>
    <r>
      <rPr>
        <b/>
        <sz val="12"/>
        <rFont val="Arial MT"/>
        <family val="0"/>
      </rPr>
      <t>Attach a copy of this schedule to your return.</t>
    </r>
    <r>
      <rPr>
        <sz val="12"/>
        <rFont val="Arial MT"/>
        <family val="0"/>
      </rPr>
      <t xml:space="preserve"> Do not include receipts, but keep them in case we ask to see them.</t>
    </r>
  </si>
  <si>
    <r>
      <rPr>
        <b/>
        <sz val="12"/>
        <rFont val="Arial MT"/>
        <family val="0"/>
      </rPr>
      <t>Note:</t>
    </r>
    <r>
      <rPr>
        <sz val="12"/>
        <rFont val="Arial MT"/>
        <family val="0"/>
      </rPr>
      <t xml:space="preserve"> Attach a separate sheet of paper if you need more space.</t>
    </r>
  </si>
  <si>
    <t>Amount paid</t>
  </si>
  <si>
    <t>(including all</t>
  </si>
  <si>
    <t>applicable taxes)</t>
  </si>
  <si>
    <t>Description
(indicate if labour is included)</t>
  </si>
  <si>
    <t>Supplier or Contractor</t>
  </si>
  <si>
    <t>Name</t>
  </si>
  <si>
    <t>GST/HST No.</t>
  </si>
  <si>
    <t>(if applicable)</t>
  </si>
  <si>
    <t>Date on sales
slip or contract</t>
  </si>
  <si>
    <t>Portion of expenses incurred and related to rental and/or business use, if any</t>
  </si>
  <si>
    <t>(maximum $10,000)</t>
  </si>
  <si>
    <t>Amount claimed on line 368 of Schedule 1 by other eligible family members (see line 368 in the guide)</t>
  </si>
  <si>
    <t>Enter this amount on line 368 of your Schedule 1.</t>
  </si>
  <si>
    <t>Home renovation expenses</t>
  </si>
  <si>
    <t xml:space="preserve">Total eligible expenses </t>
  </si>
  <si>
    <t>Schedule 12</t>
  </si>
  <si>
    <t>Home Renovation Expenses</t>
  </si>
  <si>
    <t>January 27, 2009, for work performed or goods acquired in respect of an eligible dwelling.</t>
  </si>
  <si>
    <t>Sch12</t>
  </si>
  <si>
    <t>If his or her net income is $32,312 or less, enter $6,408; otherwise enter his or her amount for line 301.</t>
  </si>
  <si>
    <t>Enter his or her amount for line 314.</t>
  </si>
  <si>
    <t>Enter the total of lines 300, 308, 310, 312, 363, 364, 365, 368, 369, and 313 of his or her</t>
  </si>
  <si>
    <r>
      <t>claim on lines 306, or 315, complete the applicable chart on the</t>
    </r>
    <r>
      <rPr>
        <i/>
        <sz val="12"/>
        <color indexed="8"/>
        <rFont val="Arial"/>
        <family val="2"/>
      </rPr>
      <t xml:space="preserve"> </t>
    </r>
    <r>
      <rPr>
        <sz val="12"/>
        <color indexed="8"/>
        <rFont val="Arial"/>
        <family val="2"/>
      </rPr>
      <t>federal worksheet, which you will find in the forms book.</t>
    </r>
  </si>
  <si>
    <t>or AB</t>
  </si>
  <si>
    <r>
      <t xml:space="preserve">●  </t>
    </r>
    <r>
      <rPr>
        <sz val="12"/>
        <rFont val="Arial MT"/>
        <family val="0"/>
      </rPr>
      <t>at the end of the year, you were 19 years of age or older, or you resided with your spouse or common-law partner or your child.</t>
    </r>
  </si>
  <si>
    <t xml:space="preserve">    you had an eligible dependant at the end of the year; or</t>
  </si>
  <si>
    <t>Employment income and other employment income reported on line 101</t>
  </si>
  <si>
    <t>claim the basic WITB for that same eligible dependant.</t>
  </si>
  <si>
    <r>
      <t xml:space="preserve">If you had an eligible spouse, </t>
    </r>
    <r>
      <rPr>
        <b/>
        <sz val="12"/>
        <rFont val="Arial MT"/>
        <family val="0"/>
      </rPr>
      <t>only one of you</t>
    </r>
    <r>
      <rPr>
        <sz val="12"/>
        <rFont val="Arial MT"/>
        <family val="0"/>
      </rPr>
      <t xml:space="preserve"> can claim the basic WITB. However, the individual who received the WITB advance payment</t>
    </r>
  </si>
  <si>
    <t>Line 23 minus line 24 (if negative, enter "0")</t>
  </si>
  <si>
    <r>
      <t xml:space="preserve">Enter the amount from line 28 on line 453 of your return, </t>
    </r>
    <r>
      <rPr>
        <b/>
        <sz val="12"/>
        <rFont val="Arial MT"/>
        <family val="0"/>
      </rPr>
      <t>unless you complete Step 3.</t>
    </r>
  </si>
  <si>
    <r>
      <t xml:space="preserve">eligible spouse and </t>
    </r>
    <r>
      <rPr>
        <b/>
        <sz val="12"/>
        <rFont val="Arial MT"/>
        <family val="0"/>
      </rPr>
      <t>both</t>
    </r>
    <r>
      <rPr>
        <sz val="12"/>
        <rFont val="Arial MT"/>
        <family val="0"/>
      </rPr>
      <t xml:space="preserve"> of you qualify for the disability amount, your spouse must complete steps 1 and 3 on a separate Schedule 6</t>
    </r>
  </si>
  <si>
    <t>to calculate his or her WITB disability supplement and enter the amount on line 453 of his or her return.</t>
  </si>
  <si>
    <t>If you completed Step 2, enter on this line the amount from line 28.  Otherwise, enter "0".</t>
  </si>
  <si>
    <t>Enter this amount on line 453 of your return.</t>
  </si>
  <si>
    <t>5009-S6</t>
  </si>
  <si>
    <t>5010-S6</t>
  </si>
  <si>
    <t>country or to a political subdivision of that country for the year, minus any part of this tax that is deductible under subsection 20(11) or</t>
  </si>
  <si>
    <t>deducted under subsection 20(12) of the Canadian Income Tax Act. Non-business income tax paid to a foreign country does not include</t>
  </si>
  <si>
    <t>tax that can reasonably be attributed to an amount that:</t>
  </si>
  <si>
    <r>
      <t>●</t>
    </r>
    <r>
      <rPr>
        <sz val="9"/>
        <rFont val="Arial MT"/>
        <family val="0"/>
      </rPr>
      <t xml:space="preserve">   </t>
    </r>
    <r>
      <rPr>
        <sz val="12"/>
        <rFont val="Arial MT"/>
        <family val="0"/>
      </rPr>
      <t>any other person or partnership has received, or is entitled to receive from the foreign country;</t>
    </r>
  </si>
  <si>
    <t>●   relates to employment income from that country, and you claimed an overseas employment tax credit for that income;</t>
  </si>
  <si>
    <t>●   relates to taxable capital gains from that country, and you or your spouse or common-law partner claimed a capital gains deduction</t>
  </si>
  <si>
    <t>●   was deductible as income exempt from tax under a tax treaty between Canada and that country; or</t>
  </si>
  <si>
    <t>●   was taxable in the foreign country because you were a citizen of that country, and relates to income from a source within Canada.</t>
  </si>
  <si>
    <t>voluntary contribution and does not qualify as foreign taxes paid.</t>
  </si>
  <si>
    <r>
      <t>Note:</t>
    </r>
    <r>
      <rPr>
        <sz val="12"/>
        <rFont val="Arial MT"/>
        <family val="0"/>
      </rPr>
      <t xml:space="preserve"> Any amount of tax you paid to a foreign government in excess of the amount you had to pay according to a tax treaty is considered a</t>
    </r>
  </si>
  <si>
    <t xml:space="preserve">           see line 217 in the General guide.</t>
  </si>
  <si>
    <t xml:space="preserve"> (from dispositions)</t>
  </si>
  <si>
    <t>Adjusted cost</t>
  </si>
  <si>
    <t>base</t>
  </si>
  <si>
    <t>PE428</t>
  </si>
  <si>
    <r>
      <t>This is your</t>
    </r>
    <r>
      <rPr>
        <b/>
        <sz val="12"/>
        <color indexed="8"/>
        <rFont val="Arial"/>
        <family val="2"/>
      </rPr>
      <t xml:space="preserve"> </t>
    </r>
    <r>
      <rPr>
        <b/>
        <sz val="12"/>
        <color indexed="57"/>
        <rFont val="Arial"/>
        <family val="2"/>
      </rPr>
      <t>net income.</t>
    </r>
  </si>
  <si>
    <t>Line 2 minus line 3 (if negative, enter "0")</t>
  </si>
  <si>
    <t>Applicable rate</t>
  </si>
  <si>
    <t>Personal Income Tax Calculator for Canadians</t>
  </si>
  <si>
    <t>MyTAX</t>
  </si>
  <si>
    <t>Types of Fields</t>
  </si>
  <si>
    <t>350</t>
  </si>
  <si>
    <t>426</t>
  </si>
  <si>
    <t>F</t>
  </si>
  <si>
    <t>G</t>
  </si>
  <si>
    <t>H</t>
  </si>
  <si>
    <t>J</t>
  </si>
  <si>
    <t>K</t>
  </si>
  <si>
    <t>L</t>
  </si>
  <si>
    <t>Step 5: Income tax deducted (line 437)</t>
  </si>
  <si>
    <t>6804</t>
  </si>
  <si>
    <r>
      <t>●</t>
    </r>
    <r>
      <rPr>
        <b/>
        <sz val="12"/>
        <rFont val="Arial MT"/>
        <family val="0"/>
      </rPr>
      <t>M</t>
    </r>
  </si>
  <si>
    <t>6805</t>
  </si>
  <si>
    <t>●N</t>
  </si>
  <si>
    <t>Enter the difference on line 437 of your return.</t>
  </si>
  <si>
    <t>slips. Enter the result on line 437 of your return.</t>
  </si>
  <si>
    <t>Step 6: Joint Certification</t>
  </si>
  <si>
    <t>Pensioner</t>
  </si>
  <si>
    <t>Date</t>
  </si>
  <si>
    <t>It is a serious offence to make a false statement.</t>
  </si>
  <si>
    <t>Pension Transferee</t>
  </si>
  <si>
    <t>Spouse or common-law partner's signature</t>
  </si>
  <si>
    <t>Line 1 minus line 2</t>
  </si>
  <si>
    <t>Add lines 5 and 6</t>
  </si>
  <si>
    <t>Column 2</t>
  </si>
  <si>
    <t>Column 1</t>
  </si>
  <si>
    <t>Schedule 8</t>
  </si>
  <si>
    <t>on Self-Employment and Other Earnings</t>
  </si>
  <si>
    <t>Complete this schedule to determine the amount of your Canada Pension Plan (CPP) contributions if:</t>
  </si>
  <si>
    <t>NS428</t>
  </si>
  <si>
    <t>Line 14 minus line 15</t>
  </si>
  <si>
    <r>
      <t xml:space="preserve">*  Attach Form T2201, </t>
    </r>
    <r>
      <rPr>
        <i/>
        <sz val="12"/>
        <rFont val="Arial MT"/>
        <family val="0"/>
      </rPr>
      <t>Disability Tax Credit Certificate</t>
    </r>
    <r>
      <rPr>
        <sz val="12"/>
        <rFont val="Arial MT"/>
        <family val="0"/>
      </rPr>
      <t>. If this form has already been filed for the child, attach a note to your return</t>
    </r>
  </si>
  <si>
    <t>ON</t>
  </si>
  <si>
    <t>Enter his or her first name:</t>
  </si>
  <si>
    <r>
      <t xml:space="preserve">  </t>
    </r>
    <r>
      <rPr>
        <b/>
        <sz val="12"/>
        <color indexed="8"/>
        <rFont val="Arial"/>
        <family val="2"/>
      </rPr>
      <t xml:space="preserve">Minus </t>
    </r>
    <r>
      <rPr>
        <sz val="12"/>
        <color indexed="8"/>
        <rFont val="Arial"/>
        <family val="2"/>
      </rPr>
      <t>his or her net income from line 236 of the return</t>
    </r>
  </si>
  <si>
    <r>
      <t xml:space="preserve">Complete this schedule </t>
    </r>
    <r>
      <rPr>
        <b/>
        <sz val="12"/>
        <color indexed="8"/>
        <rFont val="Arial"/>
        <family val="2"/>
      </rPr>
      <t>to</t>
    </r>
    <r>
      <rPr>
        <sz val="12"/>
        <color indexed="8"/>
        <rFont val="Arial"/>
        <family val="2"/>
      </rPr>
      <t xml:space="preserve"> </t>
    </r>
    <r>
      <rPr>
        <b/>
        <sz val="12"/>
        <color indexed="8"/>
        <rFont val="Arial"/>
        <family val="2"/>
      </rPr>
      <t>claim</t>
    </r>
    <r>
      <rPr>
        <sz val="12"/>
        <color indexed="8"/>
        <rFont val="Arial"/>
        <family val="2"/>
      </rPr>
      <t xml:space="preserve"> a transfer of the unused part of your spouse or common-law partner's provincial amounts indicated</t>
    </r>
  </si>
  <si>
    <t>Revenue Agency for more details.</t>
  </si>
  <si>
    <t xml:space="preserve">Social assistance payments </t>
  </si>
  <si>
    <t>150</t>
  </si>
  <si>
    <t>Pension adjustment</t>
  </si>
  <si>
    <t xml:space="preserve">Saskatchewan Pension Plan deduction </t>
  </si>
  <si>
    <t>(maximum $600)</t>
  </si>
  <si>
    <t>where they are needed.  If you have more than one T4 slip, then enter the amounts from each T4 into one set of columns.</t>
  </si>
  <si>
    <t>If you have more than five T4 forms, you can add the data from the extra ones as a sum rather than a single #.</t>
  </si>
  <si>
    <t>THIS</t>
  </si>
  <si>
    <t>SUMMARY</t>
  </si>
  <si>
    <t>DATA</t>
  </si>
  <si>
    <t>IS</t>
  </si>
  <si>
    <t>PICKED</t>
  </si>
  <si>
    <t>UP</t>
  </si>
  <si>
    <t>BY</t>
  </si>
  <si>
    <t>UP BY</t>
  </si>
  <si>
    <t>THE</t>
  </si>
  <si>
    <t>SHEET</t>
  </si>
  <si>
    <t>DATA IS</t>
  </si>
  <si>
    <t>THE MISC</t>
  </si>
  <si>
    <t>MISC TOTALS</t>
  </si>
  <si>
    <t>UP THE DATA</t>
  </si>
  <si>
    <t>SHEETS AND</t>
  </si>
  <si>
    <t>ALLOCATES</t>
  </si>
  <si>
    <t>IT.</t>
  </si>
  <si>
    <t>&amp; T2205</t>
  </si>
  <si>
    <t>THE INPUT</t>
  </si>
  <si>
    <t>FROM ALL</t>
  </si>
  <si>
    <t>Employer's Name</t>
  </si>
  <si>
    <t>death</t>
  </si>
  <si>
    <t>From Box 40 (See T4040 Guide)</t>
  </si>
  <si>
    <t>From Box 34 for T1 GEN-2</t>
  </si>
  <si>
    <t>From Box 28 for T1 GEN-2</t>
  </si>
  <si>
    <t>From Box 28 for T1 GEN-3</t>
  </si>
  <si>
    <r>
      <t>3.</t>
    </r>
    <r>
      <rPr>
        <sz val="14"/>
        <color indexed="8"/>
        <rFont val="Arial"/>
        <family val="2"/>
      </rPr>
      <t xml:space="preserve">  You can click the sheet name on the GO TO sheet to activate it.  From there you can use Excel's print command.</t>
    </r>
  </si>
  <si>
    <t>you can copy a cell in the source window, switch to destination spreadsheet window and then paste.</t>
  </si>
  <si>
    <t>MyTAX upgrades throughout the year are free.  Visit www.peeltech.ca to download the appropriate update procedure.</t>
  </si>
  <si>
    <r>
      <t xml:space="preserve">If it looks like you have hit a </t>
    </r>
    <r>
      <rPr>
        <b/>
        <sz val="14"/>
        <color indexed="8"/>
        <rFont val="Arial"/>
        <family val="2"/>
      </rPr>
      <t>bug,</t>
    </r>
    <r>
      <rPr>
        <sz val="14"/>
        <color indexed="8"/>
        <rFont val="Arial"/>
        <family val="2"/>
      </rPr>
      <t xml:space="preserve"> then please email us with a few details at the email address above.</t>
    </r>
  </si>
  <si>
    <t xml:space="preserve">You must enter your T3 data into this form.  As your enter data, it is posted to the cells in the schedules and forms </t>
  </si>
  <si>
    <t>where they are needed.  If you have more than one T3 slip, then enter the amounts from each T3 into one set of columns.</t>
  </si>
  <si>
    <t>Amount from line 12</t>
  </si>
  <si>
    <r>
      <t xml:space="preserve">  Enter the number of months from Column </t>
    </r>
    <r>
      <rPr>
        <b/>
        <sz val="12"/>
        <color indexed="8"/>
        <rFont val="Arial"/>
        <family val="2"/>
      </rPr>
      <t>B</t>
    </r>
    <r>
      <rPr>
        <sz val="12"/>
        <color indexed="8"/>
        <rFont val="Arial"/>
        <family val="2"/>
      </rPr>
      <t xml:space="preserve"> </t>
    </r>
  </si>
  <si>
    <t>Taxable income from line 260 of your return</t>
  </si>
  <si>
    <t xml:space="preserve">Line 9 minus line 10  </t>
  </si>
  <si>
    <t>5832</t>
  </si>
  <si>
    <t>5836</t>
  </si>
  <si>
    <t>5840</t>
  </si>
  <si>
    <t>5844</t>
  </si>
  <si>
    <t>5848</t>
  </si>
  <si>
    <t>5852</t>
  </si>
  <si>
    <t>5856</t>
  </si>
  <si>
    <t>5860</t>
  </si>
  <si>
    <t>5864</t>
  </si>
  <si>
    <t xml:space="preserve">entry </t>
  </si>
  <si>
    <t>Sched 8</t>
  </si>
  <si>
    <t>columns 3 and 4)</t>
  </si>
  <si>
    <t>Date:</t>
  </si>
  <si>
    <t>490</t>
  </si>
  <si>
    <t>For</t>
  </si>
  <si>
    <t>Professional</t>
  </si>
  <si>
    <t>tax preparers</t>
  </si>
  <si>
    <t>only.</t>
  </si>
  <si>
    <t>Name:</t>
  </si>
  <si>
    <t>Account number</t>
  </si>
  <si>
    <t xml:space="preserve"> For example, if you have the following amounts in three box 11's:  21500.00, 1467.33, 991.56, </t>
  </si>
  <si>
    <t>you would position the cursor the data entry line 120 below, and then key in</t>
  </si>
  <si>
    <r>
      <t xml:space="preserve">Enter, on line 5848 the total amount claimed for </t>
    </r>
    <r>
      <rPr>
        <b/>
        <sz val="12"/>
        <color indexed="8"/>
        <rFont val="Arial"/>
        <family val="2"/>
      </rPr>
      <t>all</t>
    </r>
    <r>
      <rPr>
        <sz val="12"/>
        <color indexed="8"/>
        <rFont val="Arial"/>
        <family val="2"/>
      </rPr>
      <t xml:space="preserve"> disabled dependants.</t>
    </r>
  </si>
  <si>
    <t>Amount for this dependant:</t>
  </si>
  <si>
    <t xml:space="preserve">Eligible amount of cultural and ecological gifts  </t>
  </si>
  <si>
    <t>Allowable amount of medical expenses for other dependants</t>
  </si>
  <si>
    <r>
      <t xml:space="preserve">calculated for line 5872 on the </t>
    </r>
    <r>
      <rPr>
        <i/>
        <sz val="12"/>
        <color indexed="8"/>
        <rFont val="Arial"/>
        <family val="2"/>
      </rPr>
      <t>Provincial Worksheet</t>
    </r>
  </si>
  <si>
    <t xml:space="preserve">You must enter your T4RSP data into this form.  As your enter data, it is posted to the cells in the schedules and forms </t>
  </si>
  <si>
    <r>
      <t>This is your</t>
    </r>
    <r>
      <rPr>
        <b/>
        <sz val="12"/>
        <color indexed="8"/>
        <rFont val="Arial"/>
        <family val="2"/>
      </rPr>
      <t xml:space="preserve"> </t>
    </r>
    <r>
      <rPr>
        <b/>
        <sz val="12"/>
        <color indexed="57"/>
        <rFont val="Arial"/>
        <family val="2"/>
      </rPr>
      <t>taxable income.</t>
    </r>
  </si>
  <si>
    <r>
      <t xml:space="preserve">This is your </t>
    </r>
    <r>
      <rPr>
        <b/>
        <sz val="12"/>
        <color indexed="57"/>
        <rFont val="Arial"/>
        <family val="2"/>
      </rPr>
      <t>total payable</t>
    </r>
  </si>
  <si>
    <r>
      <t xml:space="preserve">These are your </t>
    </r>
    <r>
      <rPr>
        <b/>
        <sz val="12"/>
        <color indexed="57"/>
        <rFont val="Arial"/>
        <family val="2"/>
      </rPr>
      <t>total credits.</t>
    </r>
  </si>
  <si>
    <r>
      <t>Refund</t>
    </r>
    <r>
      <rPr>
        <b/>
        <sz val="12"/>
        <color indexed="8"/>
        <rFont val="Arial"/>
        <family val="2"/>
      </rPr>
      <t xml:space="preserve"> 484</t>
    </r>
  </si>
  <si>
    <t>Living common-law</t>
  </si>
  <si>
    <t>country is more than the non-business losses you incurred in that country. When you calculate the non-business income and losses, claim</t>
  </si>
  <si>
    <t>the allowable expenses and deductions relating to the foreign income or loss (including foreign resource and exploration and development</t>
  </si>
  <si>
    <t>(a) Non-business income tax paid to a foreign country (see note below) is the total of non-business income or profits tax you paid to that</t>
  </si>
  <si>
    <r>
      <t xml:space="preserve">(b) </t>
    </r>
    <r>
      <rPr>
        <b/>
        <sz val="12"/>
        <rFont val="Arial MT"/>
        <family val="0"/>
      </rPr>
      <t>Net foreign non-business income</t>
    </r>
    <r>
      <rPr>
        <sz val="12"/>
        <rFont val="Arial MT"/>
        <family val="0"/>
      </rPr>
      <t xml:space="preserve"> (see note below) is the net amount you calculate when the non-business income you earned in a foreign</t>
    </r>
  </si>
  <si>
    <t>Income Taxes as a Deduction from Income.</t>
  </si>
  <si>
    <r>
      <t>Note:</t>
    </r>
    <r>
      <rPr>
        <sz val="12"/>
        <rFont val="Arial MT"/>
        <family val="0"/>
      </rPr>
      <t xml:space="preserve"> Only include your foreign non-business income for the part of the year you were a resident of Canada.</t>
    </r>
  </si>
  <si>
    <t>of Canada, include the taxable income you earned in Canada (before deductions in paragraphs 115(1)(d) to (f) of the Act) as reported on</t>
  </si>
  <si>
    <t>your Canadian return.</t>
  </si>
  <si>
    <t>a voluntary contribution and does not qualify as foreign taxes paid.</t>
  </si>
  <si>
    <t>●   amount deductible as an employee home relocation loan deduction (line 248 of your return);</t>
  </si>
  <si>
    <t>●   amount deductible as security options deductions (line 249 of your return);</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</si>
  <si>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t>
    </r>
  </si>
  <si>
    <r>
      <t xml:space="preserve">Total premiums deducted : </t>
    </r>
    <r>
      <rPr>
        <b/>
        <sz val="9"/>
        <color indexed="8"/>
        <rFont val="Arial"/>
        <family val="2"/>
      </rPr>
      <t>Residents of other than Quebec</t>
    </r>
    <r>
      <rPr>
        <sz val="9"/>
        <color indexed="8"/>
        <rFont val="Arial"/>
        <family val="2"/>
      </rPr>
      <t xml:space="preserve"> (from box 18 and box 55 of all your T4 slips)</t>
    </r>
  </si>
  <si>
    <r>
      <t>Also, do</t>
    </r>
    <r>
      <rPr>
        <b/>
        <sz val="12"/>
        <color indexed="8"/>
        <rFont val="Arial"/>
        <family val="2"/>
      </rPr>
      <t xml:space="preserve"> not</t>
    </r>
    <r>
      <rPr>
        <sz val="12"/>
        <color indexed="8"/>
        <rFont val="Arial"/>
        <family val="2"/>
      </rPr>
      <t xml:space="preserve"> include any contributions or transfers</t>
    </r>
  </si>
  <si>
    <r>
      <t xml:space="preserve"> </t>
    </r>
    <r>
      <rPr>
        <sz val="12"/>
        <color indexed="8"/>
        <rFont val="Arial"/>
        <family val="2"/>
      </rPr>
      <t>●</t>
    </r>
    <r>
      <rPr>
        <sz val="9"/>
        <color indexed="8"/>
        <rFont val="Arial"/>
        <family val="2"/>
      </rPr>
      <t xml:space="preserve"> </t>
    </r>
    <r>
      <rPr>
        <sz val="12"/>
        <color indexed="8"/>
        <rFont val="Arial"/>
        <family val="2"/>
      </rPr>
      <t>you reported self-employment income on lines 135 to 143 of your return;</t>
    </r>
  </si>
  <si>
    <r>
      <t xml:space="preserve"> </t>
    </r>
    <r>
      <rPr>
        <sz val="12"/>
        <color indexed="8"/>
        <rFont val="Arial"/>
        <family val="2"/>
      </rPr>
      <t>●</t>
    </r>
    <r>
      <rPr>
        <sz val="9"/>
        <color indexed="8"/>
        <rFont val="Arial"/>
        <family val="2"/>
      </rPr>
      <t xml:space="preserve"> </t>
    </r>
    <r>
      <rPr>
        <sz val="12"/>
        <color indexed="8"/>
        <rFont val="Arial"/>
        <family val="2"/>
      </rPr>
      <t>you reported business or professional income from a partnership on line 122 of your return; or</t>
    </r>
  </si>
  <si>
    <r>
      <t xml:space="preserve"> </t>
    </r>
    <r>
      <rPr>
        <sz val="12"/>
        <color indexed="8"/>
        <rFont val="Arial"/>
        <family val="2"/>
      </rPr>
      <t>●</t>
    </r>
    <r>
      <rPr>
        <sz val="9"/>
        <color indexed="8"/>
        <rFont val="Arial"/>
        <family val="2"/>
      </rPr>
      <t xml:space="preserve"> </t>
    </r>
    <r>
      <rPr>
        <sz val="12"/>
        <color indexed="8"/>
        <rFont val="Arial"/>
        <family val="2"/>
      </rPr>
      <t>you made an election on Form CPT20 to pay additional CPP contributions on other earnings.</t>
    </r>
  </si>
  <si>
    <t>Enter the amount from line 7 in column 1 of Step 1.</t>
  </si>
  <si>
    <t>Line 35 minus line 36 (if negative, enter "0")</t>
  </si>
  <si>
    <t>Schedule 1</t>
  </si>
  <si>
    <t>Enter your social insurance number (SIN)</t>
  </si>
  <si>
    <t>Annuities NOT from death of spouse or common law partner</t>
  </si>
  <si>
    <t xml:space="preserve">Amounts deemed received by </t>
  </si>
  <si>
    <t>the annuitant; Deceased</t>
  </si>
  <si>
    <t>10,18</t>
  </si>
  <si>
    <t>Annuitant is your spouse</t>
  </si>
  <si>
    <r>
      <t xml:space="preserve">18. </t>
    </r>
    <r>
      <rPr>
        <b/>
        <sz val="9"/>
        <color indexed="8"/>
        <rFont val="Arial"/>
        <family val="2"/>
      </rPr>
      <t>Add</t>
    </r>
    <r>
      <rPr>
        <sz val="9"/>
        <color indexed="8"/>
        <rFont val="Arial"/>
        <family val="2"/>
      </rPr>
      <t xml:space="preserve"> the amounts in boxes 16 and box 20 of your T4RIF slips that you received from spousal or common-law partner RRIFs in</t>
    </r>
  </si>
  <si>
    <r>
      <t xml:space="preserve">Attach a separate sheet of paper if you need more space.  </t>
    </r>
    <r>
      <rPr>
        <b/>
        <sz val="12"/>
        <color indexed="8"/>
        <rFont val="Arial"/>
        <family val="2"/>
      </rPr>
      <t>Attach a copy of this schedule to your return.</t>
    </r>
  </si>
  <si>
    <t>If it is a net capital loss, see line 127 in the guide.</t>
  </si>
  <si>
    <t xml:space="preserve">  (amount from line 310 of your federal Schedule 1)</t>
  </si>
  <si>
    <t>●   overseas employment tax credit (line 426 of Schedule 1).</t>
  </si>
  <si>
    <t xml:space="preserve">- </t>
  </si>
  <si>
    <r>
      <t xml:space="preserve">Enter the amount from line 1 or line 2, whichever is </t>
    </r>
    <r>
      <rPr>
        <b/>
        <sz val="12"/>
        <rFont val="Arial MT"/>
        <family val="0"/>
      </rPr>
      <t>less</t>
    </r>
  </si>
  <si>
    <t>Total contributions</t>
  </si>
  <si>
    <t>If you claimed this dependant on line 305 of schedule 1, enter the amount claimed.</t>
  </si>
  <si>
    <t>Allowable amount for this dependant: line 3 minus line 4 (if negative, enter "0")</t>
  </si>
  <si>
    <t>1. Qualified small business corporation shares</t>
  </si>
  <si>
    <t>eligible small business corporation shares, and other shares.)</t>
  </si>
  <si>
    <t xml:space="preserve">Subtract: unapplied LPP losses from other years </t>
  </si>
  <si>
    <t>CPP overpayment (enter your excess contributions)</t>
  </si>
  <si>
    <r>
      <t xml:space="preserve">Carrying charges and interest expenses </t>
    </r>
    <r>
      <rPr>
        <sz val="12"/>
        <color indexed="8"/>
        <rFont val="Arial"/>
        <family val="2"/>
      </rPr>
      <t>(see line 221 in the guide)</t>
    </r>
  </si>
  <si>
    <t>224</t>
  </si>
  <si>
    <t>you would position the cursor the data entry line 129 below, and then key in</t>
  </si>
  <si>
    <t>Line 1 minus line 5 (if negative, enter "0").  Enter this amount on line 301 of Schedule 1.</t>
  </si>
  <si>
    <t>Employment from lines 101 and 104</t>
  </si>
  <si>
    <t>a</t>
  </si>
  <si>
    <t>Amounts received from a wage-loss replacement</t>
  </si>
  <si>
    <t>b</t>
  </si>
  <si>
    <t>Amounts on line 207, 212, 229, 231</t>
  </si>
  <si>
    <t>Tax deducted</t>
  </si>
  <si>
    <t>Only the person who is shown as the annuitant on the T4RSP or T4RIF slip can claim the income tax deducted. The amount</t>
  </si>
  <si>
    <t>of tax deducted is shown in box 30 of the T4RSP or box 28 of the T4RIF slip.</t>
  </si>
  <si>
    <t>_xDBC0__xDC7A_</t>
  </si>
  <si>
    <t>Printed in Canada</t>
  </si>
  <si>
    <t>Employment Insurance premiums from box 18 and box 55 on all T4 slips</t>
  </si>
  <si>
    <t>PPIP Insurable Earnings</t>
  </si>
  <si>
    <t>81</t>
  </si>
  <si>
    <t>82</t>
  </si>
  <si>
    <t>83</t>
  </si>
  <si>
    <t>Placement or employment agency Workers</t>
  </si>
  <si>
    <t>Drivers of taxis and other passenger-carrying vehicles</t>
  </si>
  <si>
    <t>Barbers or hairdressers</t>
  </si>
  <si>
    <t>Use paper Form T2124   (Do not enter this amount on line 101)</t>
  </si>
  <si>
    <r>
      <t>Fishers - Gross earnings -  Use</t>
    </r>
    <r>
      <rPr>
        <sz val="14"/>
        <rFont val="Arial MT"/>
        <family val="0"/>
      </rPr>
      <t xml:space="preserve"> paper Form T2121</t>
    </r>
  </si>
  <si>
    <r>
      <t xml:space="preserve">Fishers - Net partnership amount - </t>
    </r>
    <r>
      <rPr>
        <sz val="14"/>
        <rFont val="Arial MT"/>
        <family val="0"/>
      </rPr>
      <t>Use paper Form T2121.</t>
    </r>
  </si>
  <si>
    <r>
      <t xml:space="preserve">Fishers - Shareperson amount - </t>
    </r>
    <r>
      <rPr>
        <sz val="14"/>
        <rFont val="Arial MT"/>
        <family val="0"/>
      </rPr>
      <t>Use paper Form T2121</t>
    </r>
  </si>
  <si>
    <t>Enter gross income from item 8299 on line 170 of T1GEN-2-3-4 sheet of MyTAX</t>
  </si>
  <si>
    <t>Enter gross income from item 8299 on line 162 of T1GEN-2-3-4 sheet of MyTAX</t>
  </si>
  <si>
    <t>Enter net income from item 9946 on line 135 of T1 GEN-2-3-4 sheet of MyTAX</t>
  </si>
  <si>
    <t>364</t>
  </si>
  <si>
    <t>84</t>
  </si>
  <si>
    <t>162</t>
  </si>
  <si>
    <t>143</t>
  </si>
  <si>
    <t>See line 330 in your tax guide</t>
  </si>
  <si>
    <t>330</t>
  </si>
  <si>
    <t>85</t>
  </si>
  <si>
    <t>Employee-paid premiums for private health service plans</t>
  </si>
  <si>
    <t>Enter the amount from 4 on lines 235 and 422 of your return.  However,</t>
  </si>
  <si>
    <t>if you also received Old Age Security benefits and the amount on line 234</t>
  </si>
  <si>
    <t>Required contribution: Multiply line 3 by 4.95%</t>
  </si>
  <si>
    <r>
      <t xml:space="preserve">MyTAX does </t>
    </r>
    <r>
      <rPr>
        <b/>
        <sz val="14"/>
        <color indexed="8"/>
        <rFont val="Arial"/>
        <family val="2"/>
      </rPr>
      <t>NOT</t>
    </r>
    <r>
      <rPr>
        <sz val="14"/>
        <color indexed="8"/>
        <rFont val="Arial"/>
        <family val="2"/>
      </rPr>
      <t xml:space="preserve"> allow you to enter T4 data directly to other sheets and forms and schedules</t>
    </r>
  </si>
  <si>
    <t>City</t>
  </si>
  <si>
    <t>Postal code</t>
  </si>
  <si>
    <t>Employee's CPP contributions</t>
  </si>
  <si>
    <t xml:space="preserve"> For example, if you have the following amounts in three box 18's:  21500.00, 1467.33, 991.56, </t>
  </si>
  <si>
    <t>you would position the cursor to line 115 below, and then key in</t>
  </si>
  <si>
    <t>Line 435 minus line 482</t>
  </si>
  <si>
    <t>Enter the amount below  on whichever line applies.</t>
  </si>
  <si>
    <t>Unused Alberta tuition and education amounts from</t>
  </si>
  <si>
    <t>you would position the cursor the data entry line 115 below, and then key in</t>
  </si>
  <si>
    <t>Line 314 - Pension income amount</t>
  </si>
  <si>
    <t>Amount from line 115 of your return</t>
  </si>
  <si>
    <t>X</t>
  </si>
  <si>
    <t>Attach Schedule 5 to your return to provide details for each dependent.</t>
  </si>
  <si>
    <t>Total expenses for child care and attendant care claimed by you or for you by anyone</t>
  </si>
  <si>
    <t>Employment Insurance and other benefits (box 14 on the T4E slip)</t>
  </si>
  <si>
    <t>Add lines 6 and 7.</t>
  </si>
  <si>
    <t>Disability amount (for self)</t>
  </si>
  <si>
    <t xml:space="preserve"> For example, if you have the following amounts for box 32:  21500.00, 1467.33, 991.56, </t>
  </si>
  <si>
    <t>you would position the cursor to line 120 below, and then key in</t>
  </si>
  <si>
    <t>Dividend tax credit for dividends other than eligible dividends</t>
  </si>
  <si>
    <t>Actual amount of eligible dividends</t>
  </si>
  <si>
    <t>Taxable amount of eligible dividends</t>
  </si>
  <si>
    <r>
      <t xml:space="preserve">Dividend tax credit for eligible dividends                                 </t>
    </r>
    <r>
      <rPr>
        <sz val="14"/>
        <color indexed="8"/>
        <rFont val="Arial"/>
        <family val="2"/>
      </rPr>
      <t>Sch1</t>
    </r>
  </si>
  <si>
    <t>180</t>
  </si>
  <si>
    <r>
      <t xml:space="preserve">i) Rent:   </t>
    </r>
    <r>
      <rPr>
        <sz val="14"/>
        <rFont val="Arial MT"/>
        <family val="0"/>
      </rPr>
      <t>Manitoba=MB479;  item 6110</t>
    </r>
  </si>
  <si>
    <r>
      <t xml:space="preserve">i) Rent    </t>
    </r>
    <r>
      <rPr>
        <sz val="14"/>
        <rFont val="Arial MT"/>
        <family val="0"/>
      </rPr>
      <t>Ontario = ON479, item 6110</t>
    </r>
  </si>
  <si>
    <r>
      <t>j) Property Tax:</t>
    </r>
    <r>
      <rPr>
        <sz val="14"/>
        <color indexed="8"/>
        <rFont val="Arial"/>
        <family val="2"/>
      </rPr>
      <t xml:space="preserve">    Ontario=ON479, item 6112</t>
    </r>
  </si>
  <si>
    <t>(see line 5836 in the forms book)</t>
  </si>
  <si>
    <t>(see line 5844 in the forms book)</t>
  </si>
  <si>
    <r>
      <t xml:space="preserve">List the </t>
    </r>
    <r>
      <rPr>
        <b/>
        <sz val="12"/>
        <rFont val="Arial MT"/>
        <family val="0"/>
      </rPr>
      <t>first and last names</t>
    </r>
    <r>
      <rPr>
        <sz val="12"/>
        <rFont val="Arial MT"/>
        <family val="0"/>
      </rPr>
      <t xml:space="preserve"> and the </t>
    </r>
    <r>
      <rPr>
        <b/>
        <sz val="12"/>
        <rFont val="Arial MT"/>
        <family val="0"/>
      </rPr>
      <t>date of birth</t>
    </r>
    <r>
      <rPr>
        <sz val="12"/>
        <rFont val="Arial MT"/>
        <family val="0"/>
      </rPr>
      <t xml:space="preserve"> of all your eligible children,</t>
    </r>
  </si>
  <si>
    <t>Name of person with the lower net income</t>
  </si>
  <si>
    <r>
      <t>A2.</t>
    </r>
    <r>
      <rPr>
        <sz val="14"/>
        <color indexed="8"/>
        <rFont val="Arial"/>
        <family val="2"/>
      </rPr>
      <t xml:space="preserve">  On the back of the "T" slip  or on an accompanying sheet, it usually says what line on your income tax</t>
    </r>
  </si>
  <si>
    <r>
      <t xml:space="preserve">Note: </t>
    </r>
    <r>
      <rPr>
        <sz val="12"/>
        <color indexed="8"/>
        <rFont val="Arial"/>
        <family val="2"/>
      </rPr>
      <t>If you have a business investment loss,</t>
    </r>
  </si>
  <si>
    <t>Total of all data</t>
  </si>
  <si>
    <t>Disability amount transferred from a dependant</t>
  </si>
  <si>
    <t>Repayment Rate</t>
  </si>
  <si>
    <t>Total benefits paid</t>
  </si>
  <si>
    <t>Regular and other benefits paid</t>
  </si>
  <si>
    <t xml:space="preserve"> 5000-S2</t>
  </si>
  <si>
    <t>Line 5808 - Age Amount</t>
  </si>
  <si>
    <t>Also enter this amount on line 208 of your return.</t>
  </si>
  <si>
    <r>
      <t>Attach a copy of this schedule to your return</t>
    </r>
    <r>
      <rPr>
        <sz val="12"/>
        <color indexed="8"/>
        <rFont val="Arial"/>
        <family val="2"/>
      </rPr>
      <t>.  See line 222 in the guide for more information.</t>
    </r>
  </si>
  <si>
    <r>
      <t>e)</t>
    </r>
    <r>
      <rPr>
        <sz val="14"/>
        <color indexed="8"/>
        <rFont val="Arial"/>
        <family val="2"/>
      </rPr>
      <t xml:space="preserve"> </t>
    </r>
    <r>
      <rPr>
        <b/>
        <sz val="14"/>
        <color indexed="8"/>
        <rFont val="Arial"/>
        <family val="2"/>
      </rPr>
      <t>Canada Savings Bond Income, T5 Box 13 Data:</t>
    </r>
    <r>
      <rPr>
        <sz val="14"/>
        <color indexed="8"/>
        <rFont val="Arial"/>
        <family val="2"/>
      </rPr>
      <t xml:space="preserve">  Section II of the Sch4-2 Sheet</t>
    </r>
  </si>
  <si>
    <r>
      <t xml:space="preserve">f) Charitable Donations and Gifts:  </t>
    </r>
    <r>
      <rPr>
        <sz val="14"/>
        <color indexed="8"/>
        <rFont val="Arial"/>
        <family val="2"/>
      </rPr>
      <t>MISC sheet.  Scroll down to line labeled Sch9  Line 1 and enter data into</t>
    </r>
  </si>
  <si>
    <r>
      <t>g)  Child care expenses:</t>
    </r>
    <r>
      <rPr>
        <sz val="14"/>
        <rFont val="Arial MT"/>
        <family val="0"/>
      </rPr>
      <t xml:space="preserve">  Form T778.</t>
    </r>
  </si>
  <si>
    <t>For printing final copies, click the Sheet Name Hyperlink to each sheet that has data and print it from there.</t>
  </si>
  <si>
    <t xml:space="preserve">You can transfer all or part of the amount on line 19 to your spouse or common-law partner, to his or her </t>
  </si>
  <si>
    <t>MyTAX does NOT allow you to enter T4RIF data directly to other sheets and forms and schedules</t>
  </si>
  <si>
    <t>First name and initial</t>
  </si>
  <si>
    <t>Year</t>
  </si>
  <si>
    <t>Month</t>
  </si>
  <si>
    <t>Day</t>
  </si>
  <si>
    <t>Employment Insurance (EI) benefits repayment chart</t>
  </si>
  <si>
    <t>Taxable amount</t>
  </si>
  <si>
    <t>RRSP income (from all T4RSP slips)</t>
  </si>
  <si>
    <t>Self-employment income (see lines 135 to 143 in the guide)</t>
  </si>
  <si>
    <t>Workers' compensation benefits (box 10 on the T5007 slip)</t>
  </si>
  <si>
    <t>Net federal supplements (box 21 on the T4A(OAS) slip)</t>
  </si>
  <si>
    <t>Face Value</t>
  </si>
  <si>
    <t>Maturity date</t>
  </si>
  <si>
    <t>yyyy-mm-dd</t>
  </si>
  <si>
    <t>Last name</t>
  </si>
  <si>
    <t>Date of Birth</t>
  </si>
  <si>
    <t>Relationship</t>
  </si>
  <si>
    <t>First name</t>
  </si>
  <si>
    <t>Year-Month-Day</t>
  </si>
  <si>
    <t>to you</t>
  </si>
  <si>
    <t>Address:</t>
  </si>
  <si>
    <t xml:space="preserve"> 5000-S5</t>
  </si>
  <si>
    <t>RRSP Unused Contributions</t>
  </si>
  <si>
    <t>Schedule 7</t>
  </si>
  <si>
    <r>
      <t>j) Property Tax:</t>
    </r>
    <r>
      <rPr>
        <sz val="14"/>
        <color indexed="8"/>
        <rFont val="Arial"/>
        <family val="2"/>
      </rPr>
      <t xml:space="preserve">    Manitoba=MB479; item 6112</t>
    </r>
  </si>
  <si>
    <r>
      <t xml:space="preserve">l) Tuition Fees &amp; Education Provincial Deductions:   </t>
    </r>
    <r>
      <rPr>
        <sz val="14"/>
        <color indexed="8"/>
        <rFont val="Arial"/>
        <family val="2"/>
      </rPr>
      <t>ON(S11)</t>
    </r>
  </si>
  <si>
    <r>
      <t xml:space="preserve">l) Tuition Fees &amp; Education Provincial Deductions:   </t>
    </r>
    <r>
      <rPr>
        <sz val="14"/>
        <color indexed="8"/>
        <rFont val="Arial"/>
        <family val="2"/>
      </rPr>
      <t>BC(S11)</t>
    </r>
  </si>
  <si>
    <t>221</t>
  </si>
  <si>
    <t>122</t>
  </si>
  <si>
    <r>
      <t xml:space="preserve">Taxable amount of dividends (eligible &amp; other than eligible) from taxable Canadian corporations </t>
    </r>
    <r>
      <rPr>
        <sz val="12"/>
        <color indexed="8"/>
        <rFont val="Arial"/>
        <family val="2"/>
      </rPr>
      <t>(see line 120 in the guide)</t>
    </r>
  </si>
  <si>
    <t>The split pension transferee must not enter any data above.  The split pension pensioner must not enter any data in this section.</t>
  </si>
  <si>
    <r>
      <t xml:space="preserve">Medical expenses for </t>
    </r>
    <r>
      <rPr>
        <b/>
        <sz val="12"/>
        <color indexed="8"/>
        <rFont val="Arial"/>
        <family val="2"/>
      </rPr>
      <t>self, spouse or common-law partner, and your</t>
    </r>
  </si>
  <si>
    <t>Dependant's net income (from line 236 of his or her return)</t>
  </si>
  <si>
    <t>STATEMENT(S) OF REMUNERATION PAID</t>
  </si>
  <si>
    <t>Welcome to the data entry interface for your T4 slips.</t>
  </si>
  <si>
    <t>If you are transferring an amount to another individual, continue on line 17.</t>
  </si>
  <si>
    <t>406</t>
  </si>
  <si>
    <r>
      <t xml:space="preserve">Read line 127 in the </t>
    </r>
    <r>
      <rPr>
        <i/>
        <sz val="12"/>
        <color indexed="8"/>
        <rFont val="Arial"/>
        <family val="2"/>
      </rPr>
      <t>General Income Tax and Benefit Guide</t>
    </r>
    <r>
      <rPr>
        <sz val="12"/>
        <color indexed="8"/>
        <rFont val="Arial"/>
        <family val="2"/>
      </rPr>
      <t>.  For more information, read Chapter 2 in guide T4037,</t>
    </r>
    <r>
      <rPr>
        <i/>
        <sz val="12"/>
        <color indexed="8"/>
        <rFont val="Arial"/>
        <family val="2"/>
      </rPr>
      <t>Capital Gains</t>
    </r>
    <r>
      <rPr>
        <sz val="12"/>
        <color indexed="8"/>
        <rFont val="Arial"/>
        <family val="2"/>
      </rPr>
      <t>.</t>
    </r>
  </si>
  <si>
    <t>The total 23958.89 will show in the cell.  The cell status line will still show the individual amounts in the formula you entered.</t>
  </si>
  <si>
    <t>that you will be including on the line 10 or 11 below.</t>
  </si>
  <si>
    <t>Line 5 minus line 8</t>
  </si>
  <si>
    <t>PART C - RRSP deduction</t>
  </si>
  <si>
    <t>From Box 26 for T1 GEN-2</t>
  </si>
  <si>
    <t>248</t>
  </si>
  <si>
    <t>39</t>
  </si>
  <si>
    <t>249</t>
  </si>
  <si>
    <t>41</t>
  </si>
  <si>
    <t>Alberta tax on split income, from Form T1206</t>
  </si>
  <si>
    <t>MISC TOTALS UP THE DATA FROM ALL</t>
  </si>
  <si>
    <t>THE INPUT SHEETS AND ALLOCATES IT.</t>
  </si>
  <si>
    <t>you would position the cursor the data entry line 114 below, and then key in</t>
  </si>
  <si>
    <t>Box #</t>
  </si>
  <si>
    <t>See line 323 in the guide for more information.</t>
  </si>
  <si>
    <t>Part XII.2 trust tax credit (box 38 on all T3 slips)</t>
  </si>
  <si>
    <t xml:space="preserve">Add lines 437 to 479  </t>
  </si>
  <si>
    <t>not more than</t>
  </si>
  <si>
    <r>
      <t>which</t>
    </r>
    <r>
      <rPr>
        <b/>
        <sz val="12"/>
        <color indexed="8"/>
        <rFont val="Arial"/>
        <family val="2"/>
      </rPr>
      <t xml:space="preserve"> ONE</t>
    </r>
    <r>
      <rPr>
        <sz val="12"/>
        <color indexed="8"/>
        <rFont val="Arial"/>
        <family val="2"/>
      </rPr>
      <t xml:space="preserve"> of the following columns you</t>
    </r>
  </si>
  <si>
    <t>have to complete.</t>
  </si>
  <si>
    <r>
      <t xml:space="preserve">Federal foreign tax credit </t>
    </r>
    <r>
      <rPr>
        <b/>
        <sz val="12"/>
        <color indexed="8"/>
        <rFont val="Arial"/>
        <family val="2"/>
      </rPr>
      <t>(attach</t>
    </r>
    <r>
      <rPr>
        <sz val="12"/>
        <color indexed="8"/>
        <rFont val="Arial"/>
        <family val="2"/>
      </rPr>
      <t xml:space="preserve"> Form T2209)</t>
    </r>
  </si>
  <si>
    <t xml:space="preserve">  Federal political contribution tax credit (use federal worksheet)</t>
  </si>
  <si>
    <t xml:space="preserve">Net cost  </t>
  </si>
  <si>
    <t>Earnings subject to contribution: line 5 minus line 6 (if negative, enter "0")</t>
  </si>
  <si>
    <t>Your Spouse or Common-Law Partner</t>
  </si>
  <si>
    <t>Complete this schedule to claim a transfer of the unused amount from your spouse or common-law partner's age amount, amount for</t>
  </si>
  <si>
    <t>(maximum $2000)</t>
  </si>
  <si>
    <t>Enter his or her amount for line 367.</t>
  </si>
  <si>
    <t>Add lines 1 to 5.</t>
  </si>
  <si>
    <t>Schedule 1, plus line 17 of his or her Schedule 11.</t>
  </si>
  <si>
    <t>His or her adjusted taxable income: line 7 minus line 8 (if negative, enter "0")</t>
  </si>
  <si>
    <t>Enter his or her claim for the disability amount (see line 316 in the guide).</t>
  </si>
  <si>
    <t>line 6 minus line 9 (if negative, enter "0")</t>
  </si>
  <si>
    <t>Are you claiming the WITB disability supplement</t>
  </si>
  <si>
    <t>Does your eligible spouse qualify for the disability</t>
  </si>
  <si>
    <t>Total self-employment income reported on lines 135, 137, 139, 141, and 143</t>
  </si>
  <si>
    <t>received as an emergency volunteer</t>
  </si>
  <si>
    <t>Taxable part of scholarship income reported at line 130</t>
  </si>
  <si>
    <t>5000-S6</t>
  </si>
  <si>
    <t>Foreign capital gains or losses</t>
  </si>
  <si>
    <r>
      <t xml:space="preserve">Answer the following question </t>
    </r>
    <r>
      <rPr>
        <b/>
        <sz val="12"/>
        <rFont val="Arial"/>
        <family val="2"/>
      </rPr>
      <t>only if you are a Canadian Citizen.</t>
    </r>
  </si>
  <si>
    <t>Line 11 minus line 12 (if negative, enter "0")</t>
  </si>
  <si>
    <r>
      <t xml:space="preserve">Carrying charges and interest expenses </t>
    </r>
    <r>
      <rPr>
        <b/>
        <sz val="12"/>
        <color indexed="8"/>
        <rFont val="Arial"/>
        <family val="2"/>
      </rPr>
      <t>(attach</t>
    </r>
    <r>
      <rPr>
        <sz val="12"/>
        <color indexed="8"/>
        <rFont val="Arial"/>
        <family val="2"/>
      </rPr>
      <t xml:space="preserve"> Schedule 4)</t>
    </r>
  </si>
  <si>
    <r>
      <t>(attach</t>
    </r>
    <r>
      <rPr>
        <sz val="12"/>
        <color indexed="8"/>
        <rFont val="Arial"/>
        <family val="2"/>
      </rPr>
      <t xml:space="preserve"> Schedule 8)</t>
    </r>
  </si>
  <si>
    <r>
      <t xml:space="preserve">Exploration and development expenses </t>
    </r>
    <r>
      <rPr>
        <b/>
        <sz val="12"/>
        <color indexed="8"/>
        <rFont val="Arial"/>
        <family val="2"/>
      </rPr>
      <t>(attach</t>
    </r>
    <r>
      <rPr>
        <sz val="12"/>
        <color indexed="8"/>
        <rFont val="Arial"/>
        <family val="2"/>
      </rPr>
      <t xml:space="preserve"> Form T1229)</t>
    </r>
  </si>
  <si>
    <r>
      <t xml:space="preserve">Northern residents deductions </t>
    </r>
    <r>
      <rPr>
        <b/>
        <sz val="12"/>
        <color indexed="8"/>
        <rFont val="Arial"/>
        <family val="2"/>
      </rPr>
      <t>(attach</t>
    </r>
    <r>
      <rPr>
        <sz val="12"/>
        <color indexed="8"/>
        <rFont val="Arial"/>
        <family val="2"/>
      </rPr>
      <t xml:space="preserve"> Form T2222)</t>
    </r>
  </si>
  <si>
    <t>Canadian Forces personnel and police deduction (box 43 on all T4 Slips)</t>
  </si>
  <si>
    <t>244</t>
  </si>
  <si>
    <t xml:space="preserve">Add lines 244 to 256. </t>
  </si>
  <si>
    <t>Dependant's taxable income (from line 260 of his or her return)</t>
  </si>
  <si>
    <r>
      <t>2.</t>
    </r>
    <r>
      <rPr>
        <sz val="14"/>
        <color indexed="8"/>
        <rFont val="Arial"/>
        <family val="2"/>
      </rPr>
      <t xml:space="preserve"> If you have tax returns to prepare for several members of your family such as you &amp; your spouse, </t>
    </r>
  </si>
  <si>
    <t>35</t>
  </si>
  <si>
    <t>5896</t>
  </si>
  <si>
    <t>6150</t>
  </si>
  <si>
    <t>5884</t>
  </si>
  <si>
    <t>36</t>
  </si>
  <si>
    <t>30</t>
  </si>
  <si>
    <t>31</t>
  </si>
  <si>
    <t>32</t>
  </si>
  <si>
    <t>d</t>
  </si>
  <si>
    <t>Reversal of federal tax deducted</t>
  </si>
  <si>
    <r>
      <t xml:space="preserve">● </t>
    </r>
    <r>
      <rPr>
        <sz val="12"/>
        <color indexed="8"/>
        <rFont val="Arial"/>
        <family val="2"/>
      </rPr>
      <t>calculate your Alberta tuition and educational amounts to claim on line 5856 of your Form AB428;</t>
    </r>
  </si>
  <si>
    <r>
      <t>●</t>
    </r>
    <r>
      <rPr>
        <sz val="9"/>
        <color indexed="8"/>
        <rFont val="Arial"/>
        <family val="2"/>
      </rPr>
      <t xml:space="preserve"> </t>
    </r>
    <r>
      <rPr>
        <sz val="12"/>
        <color indexed="8"/>
        <rFont val="Arial"/>
        <family val="2"/>
      </rPr>
      <t>determine the unused provincial amount, if any, available for you to carry forward to a future year.</t>
    </r>
  </si>
  <si>
    <t>Enter this amount on line 5856 of your Form AB428.</t>
  </si>
  <si>
    <t xml:space="preserve">Alberta tuition and education amounts </t>
  </si>
  <si>
    <r>
      <t>Otherwise,</t>
    </r>
    <r>
      <rPr>
        <sz val="12"/>
        <color indexed="8"/>
        <rFont val="Arial"/>
        <family val="2"/>
      </rPr>
      <t xml:space="preserve"> enter the amount from line 16 on line 21.</t>
    </r>
  </si>
  <si>
    <t xml:space="preserve">Provincial amount transferred </t>
  </si>
  <si>
    <t>Adoption Expenses</t>
  </si>
  <si>
    <t>5833</t>
  </si>
  <si>
    <t xml:space="preserve">Foreign non-business income tax </t>
  </si>
  <si>
    <t>Continue on the next page</t>
  </si>
  <si>
    <t>5895</t>
  </si>
  <si>
    <t>Enter the amount of unclaimed donations and gifts for the years</t>
  </si>
  <si>
    <t>Alberta royalty tax rebate</t>
  </si>
  <si>
    <t>Enter your unused Alberta attributed Canadian royalty income</t>
  </si>
  <si>
    <t>x 10% =</t>
  </si>
  <si>
    <t xml:space="preserve">  Base Amount</t>
  </si>
  <si>
    <t>Line 32 minus line 37 (if negative, enter "0")</t>
  </si>
  <si>
    <t>Line 40 minus line 41</t>
  </si>
  <si>
    <t xml:space="preserve">Credit calculated for line 44 on </t>
  </si>
  <si>
    <t>Credit calculated for line 46 on</t>
  </si>
  <si>
    <t>Line 42 minus line 47 (if negative, enter "0")</t>
  </si>
  <si>
    <r>
      <t>Provincial Worksheet</t>
    </r>
    <r>
      <rPr>
        <sz val="12"/>
        <color indexed="8"/>
        <rFont val="Arial"/>
        <family val="2"/>
      </rPr>
      <t xml:space="preserve"> </t>
    </r>
    <r>
      <rPr>
        <i/>
        <sz val="12"/>
        <color indexed="8"/>
        <rFont val="Arial"/>
        <family val="2"/>
      </rPr>
      <t>(continued)</t>
    </r>
  </si>
  <si>
    <t>Line 5896 – Donations and gifts</t>
  </si>
  <si>
    <t>Amount from line 345 of your federal schedule 9</t>
  </si>
  <si>
    <t>Amount of donations and gifts from line 5895</t>
  </si>
  <si>
    <t>of Form AB428</t>
  </si>
  <si>
    <t>Amount from line 347 of your federal schedule 9</t>
  </si>
  <si>
    <t>Amount from line 5</t>
  </si>
  <si>
    <t>Add lines 2, 6 and 10.</t>
  </si>
  <si>
    <t>Enter this amount on line 5896 of Form AB428.</t>
  </si>
  <si>
    <t>x   10%   =</t>
  </si>
  <si>
    <t>x   12.75%   =</t>
  </si>
  <si>
    <t>x   21%   =</t>
  </si>
  <si>
    <r>
      <t xml:space="preserve">Lines 46 - Alberta political contribution tax credit:  </t>
    </r>
    <r>
      <rPr>
        <i/>
        <sz val="14"/>
        <color indexed="8"/>
        <rFont val="Arial"/>
        <family val="2"/>
      </rPr>
      <t>Senatorial Selection Campaign Contribution</t>
    </r>
  </si>
  <si>
    <r>
      <t xml:space="preserve">Lines 44 - Alberta political contribution tax credit:  </t>
    </r>
    <r>
      <rPr>
        <i/>
        <sz val="14"/>
        <color indexed="8"/>
        <rFont val="Arial"/>
        <family val="2"/>
      </rPr>
      <t>Annual Contribution</t>
    </r>
  </si>
  <si>
    <t xml:space="preserve">   Line 1 minus line 2</t>
  </si>
  <si>
    <t>Enter the result on line 44 of Form AB428.</t>
  </si>
  <si>
    <t>Determine the amount to enter on line 44 of Form AB428 as follows:</t>
  </si>
  <si>
    <t>●   amount deductible as an other payments deduction (line 250 of your return);</t>
  </si>
  <si>
    <t>●   net capital losses of other years you claimed (line 253 of your return);</t>
  </si>
  <si>
    <t>●   capital gains deduction you claimed (line 254 of your return); and</t>
  </si>
  <si>
    <t>●   amounts deductible as net employment income from a prescribed international organization, as foreign income exempt under a</t>
  </si>
  <si>
    <t xml:space="preserve">     tax treaty, or as adult basic education tuition assistance (included on line 256 of your return).</t>
  </si>
  <si>
    <r>
      <t>Note:</t>
    </r>
    <r>
      <rPr>
        <sz val="12"/>
        <rFont val="Arial MT"/>
        <family val="0"/>
      </rPr>
      <t xml:space="preserve"> Include only the income for the part of the year you were a resident of Canada. Also, for the part of the year you were not a resident</t>
    </r>
  </si>
  <si>
    <t>●   federal dividend tax credit (line 425 of Schedule 1);</t>
  </si>
  <si>
    <t>●   overseas employment tax credit (line 426 of Schedule 1); and</t>
  </si>
  <si>
    <t>●   federal surtax on income you earned outside Canada (line 10 of Part 2 of Form T2203 or</t>
  </si>
  <si>
    <t xml:space="preserve">     48% of the amount from line 429 of Schedule 1);</t>
  </si>
  <si>
    <t>●   refundable Quebec abatement (line 440 of your return or line 15 of Part 2 of Form T2203); and</t>
  </si>
  <si>
    <t>●   federal refundable First Nations abatement (line 441 of your return).</t>
  </si>
  <si>
    <r>
      <t>minus</t>
    </r>
    <r>
      <rPr>
        <sz val="12"/>
        <rFont val="Arial MT"/>
        <family val="0"/>
      </rPr>
      <t xml:space="preserve"> any:</t>
    </r>
  </si>
  <si>
    <t>●   federal dividend tax credit (line 425 of Schedule 1); and</t>
  </si>
  <si>
    <t>●   overseas employment tax credit (line 426 of Schedule 1);</t>
  </si>
  <si>
    <t>●   refundable Quebec abatement (line 440 of your return or line 15 of Part 2 of Form T2203).</t>
  </si>
  <si>
    <t>political subdivision of a country for the year (see note 2 below). It does not include any part of the business income tax that can be</t>
  </si>
  <si>
    <t>reasonably attributed to an amount that any other person or partnership has received or is entitled to receive from a country, or that was</t>
  </si>
  <si>
    <t>payable on income that was exempt from tax under a tax treaty between Canada and that country.</t>
  </si>
  <si>
    <r>
      <t xml:space="preserve">(e)  </t>
    </r>
    <r>
      <rPr>
        <b/>
        <sz val="12"/>
        <rFont val="Arial MT"/>
        <family val="0"/>
      </rPr>
      <t>Business income tax paid to a foreign country</t>
    </r>
    <r>
      <rPr>
        <sz val="12"/>
        <rFont val="Arial MT"/>
        <family val="0"/>
      </rPr>
      <t xml:space="preserve"> (see note 1 below) is the total of business income or profits tax you paid to a country or a</t>
    </r>
  </si>
  <si>
    <r>
      <t>Note 1</t>
    </r>
    <r>
      <rPr>
        <sz val="12"/>
        <rFont val="Arial MT"/>
        <family val="0"/>
      </rPr>
      <t>: Any amount of tax you paid to a foreign government in excess of the amount you had to pay according to a tax treaty is considered</t>
    </r>
  </si>
  <si>
    <r>
      <t>Note 2</t>
    </r>
    <r>
      <rPr>
        <sz val="12"/>
        <rFont val="Arial MT"/>
        <family val="0"/>
      </rPr>
      <t>: If you were a resident of Quebec, multiply this amount by 55%.</t>
    </r>
  </si>
  <si>
    <t>than the business losses you incurred in that country. When you calculate the business income and losses, claim the allowable expenses</t>
  </si>
  <si>
    <t>and deductions relating to the foreign income or loss, including foreign resource and exploration and development deductions. Also reduce</t>
  </si>
  <si>
    <t>your foreign business income by any income from that country that was, under a tax treaty between Canada and that country, exempt from</t>
  </si>
  <si>
    <t>Total CPP and QPP contributions deducted (from boxes 16 and 17 of your T4 slips)</t>
  </si>
  <si>
    <t xml:space="preserve">     Canada  Pension Plan overpayment</t>
  </si>
  <si>
    <t xml:space="preserve">Maximum amount of </t>
  </si>
  <si>
    <t>months</t>
  </si>
  <si>
    <t>required contribution</t>
  </si>
  <si>
    <r>
      <t>Born in</t>
    </r>
  </si>
  <si>
    <r>
      <t>Born in</t>
    </r>
    <r>
      <rPr>
        <sz val="12"/>
        <rFont val="Arial MT"/>
        <family val="0"/>
      </rPr>
      <t xml:space="preserve"> </t>
    </r>
  </si>
  <si>
    <t>6152</t>
  </si>
  <si>
    <t>6153</t>
  </si>
  <si>
    <t>6154</t>
  </si>
  <si>
    <t>43</t>
  </si>
  <si>
    <t>45</t>
  </si>
  <si>
    <t>51</t>
  </si>
  <si>
    <t>54</t>
  </si>
  <si>
    <t>55</t>
  </si>
  <si>
    <t>56</t>
  </si>
  <si>
    <t>Amount from line 426 on federal Schedule 1</t>
  </si>
  <si>
    <t>ON479</t>
  </si>
  <si>
    <t xml:space="preserve">          Employment Insurance overpayment</t>
  </si>
  <si>
    <t>Part II</t>
  </si>
  <si>
    <t>FED WRK</t>
  </si>
  <si>
    <t>T2038(IND)</t>
  </si>
  <si>
    <t>T1172</t>
  </si>
  <si>
    <t>T4E</t>
  </si>
  <si>
    <t>T4PS</t>
  </si>
  <si>
    <t>T4RSP</t>
  </si>
  <si>
    <r>
      <t xml:space="preserve">below.  </t>
    </r>
    <r>
      <rPr>
        <b/>
        <sz val="12"/>
        <rFont val="Arial MT"/>
        <family val="0"/>
      </rPr>
      <t>Attach a copy</t>
    </r>
    <r>
      <rPr>
        <sz val="12"/>
        <rFont val="Arial MT"/>
        <family val="0"/>
      </rPr>
      <t xml:space="preserve"> of this schedule to your return.</t>
    </r>
  </si>
  <si>
    <r>
      <t>Attach a copy of this schedule to your return</t>
    </r>
    <r>
      <rPr>
        <sz val="12"/>
        <color indexed="8"/>
        <rFont val="Arial"/>
        <family val="2"/>
      </rPr>
      <t xml:space="preserve"> along with those official receipts that support your claim.  Remember, you may have </t>
    </r>
  </si>
  <si>
    <t>Total eligible amount of charitable donations and government gifts</t>
  </si>
  <si>
    <t>From Box 22 for T1 GEN-2</t>
  </si>
  <si>
    <t>All Box 28 for T1 GEN-4</t>
  </si>
  <si>
    <t>All Box 18 for T1 GEN-2</t>
  </si>
  <si>
    <t>All Box 36</t>
  </si>
  <si>
    <t>314-Line 2</t>
  </si>
  <si>
    <t>CPT20</t>
  </si>
  <si>
    <t>Provincial 428</t>
  </si>
  <si>
    <t>T2204</t>
  </si>
  <si>
    <t xml:space="preserve">        </t>
  </si>
  <si>
    <t>Actual amount of dividends</t>
  </si>
  <si>
    <t>Taxable amount of dividends</t>
  </si>
  <si>
    <t>Federal dividend tax credit</t>
  </si>
  <si>
    <t>Line 5848 - Disability amount transferred from a dependant</t>
  </si>
  <si>
    <t>MyTAX does NOT allow you to enter T4RSP data directly to other sheets and forms and schedules</t>
  </si>
  <si>
    <t>Business investment loss</t>
  </si>
  <si>
    <t>Moving expenses</t>
  </si>
  <si>
    <t>Support payments made                                                Total</t>
  </si>
  <si>
    <t xml:space="preserve">      </t>
  </si>
  <si>
    <t>Employment commissions</t>
  </si>
  <si>
    <t>you would position the cursor to one of the data entry boxes for item 14 below, and then key in</t>
  </si>
  <si>
    <t>Enter your province or territory of</t>
  </si>
  <si>
    <t xml:space="preserve">Line 344 minus line 345 </t>
  </si>
  <si>
    <t>X 29% =</t>
  </si>
  <si>
    <t xml:space="preserve"> 5000-S9</t>
  </si>
  <si>
    <t>461</t>
  </si>
  <si>
    <t>460</t>
  </si>
  <si>
    <t>(3 digits)</t>
  </si>
  <si>
    <t>(maximum 12 digits)</t>
  </si>
  <si>
    <t>QUAL</t>
  </si>
  <si>
    <t>SPREADSHEET</t>
  </si>
  <si>
    <t>QUALIFICATION</t>
  </si>
  <si>
    <t>SOURCE</t>
  </si>
  <si>
    <t>DESTINATION</t>
  </si>
  <si>
    <t>LINE #</t>
  </si>
  <si>
    <t>SCHEDULE 1</t>
  </si>
  <si>
    <t xml:space="preserve"> 1</t>
  </si>
  <si>
    <t xml:space="preserve"> 3</t>
  </si>
  <si>
    <t xml:space="preserve"> 4</t>
  </si>
  <si>
    <r>
      <t xml:space="preserve">Net partnership income (loss) </t>
    </r>
    <r>
      <rPr>
        <sz val="12"/>
        <color indexed="8"/>
        <rFont val="Arial"/>
        <family val="2"/>
      </rPr>
      <t>(see line 122 in the guide)</t>
    </r>
  </si>
  <si>
    <t xml:space="preserve"> +21500.+1467.33+991.56.  The leading + sign is important for MyTAX to know it is a formula. </t>
  </si>
  <si>
    <t>Employment Income</t>
  </si>
  <si>
    <t>Income tax deducted</t>
  </si>
  <si>
    <t>Line</t>
  </si>
  <si>
    <t>Data
T4 # 1</t>
  </si>
  <si>
    <t>Data
T4 # 2</t>
  </si>
  <si>
    <t>Data
T4 # 3</t>
  </si>
  <si>
    <t>Data
T4 # 4</t>
  </si>
  <si>
    <t>Alberta Tax Credits</t>
  </si>
  <si>
    <t>If you have more than five T4A(OAS) forms, you can add the data from the extra ones as a sum rather than a single #.</t>
  </si>
  <si>
    <t>Data
T4A(OAS) #1</t>
  </si>
  <si>
    <t>T5007</t>
  </si>
  <si>
    <t>114</t>
  </si>
  <si>
    <t>152</t>
  </si>
  <si>
    <t>Tax-paid amount</t>
  </si>
  <si>
    <t>Excess Amount</t>
  </si>
  <si>
    <t>T4RIF</t>
  </si>
  <si>
    <t>T5</t>
  </si>
  <si>
    <t>Refund or Balance owing</t>
  </si>
  <si>
    <t>Allowable credit</t>
  </si>
  <si>
    <t>Social benefits repayment (enter the amount from line 235)</t>
  </si>
  <si>
    <t xml:space="preserve">Our home page has a link to the Canada Revenue Agency website where you can download the form(s) </t>
  </si>
  <si>
    <t>Subtotal (if negative, enter "0")</t>
  </si>
  <si>
    <r>
      <t xml:space="preserve"> (enter the amount from line 1 or line 6, whichever is </t>
    </r>
    <r>
      <rPr>
        <b/>
        <sz val="12"/>
        <color indexed="8"/>
        <rFont val="Arial"/>
        <family val="2"/>
      </rPr>
      <t>less</t>
    </r>
    <r>
      <rPr>
        <sz val="12"/>
        <color indexed="8"/>
        <rFont val="Arial"/>
        <family val="2"/>
      </rPr>
      <t>)</t>
    </r>
  </si>
  <si>
    <t>Medical expenses from line 330 of your federal Schedule 1</t>
  </si>
  <si>
    <r>
      <t xml:space="preserve">   </t>
    </r>
    <r>
      <rPr>
        <b/>
        <sz val="12"/>
        <rFont val="Arial MT"/>
        <family val="0"/>
      </rPr>
      <t>(1)</t>
    </r>
    <r>
      <rPr>
        <sz val="12"/>
        <rFont val="Arial MT"/>
        <family val="0"/>
      </rPr>
      <t xml:space="preserve">     Exclude from the amount at line A of this form any RRIF, RRSP or other annuity payments received by your spouse</t>
    </r>
  </si>
  <si>
    <t xml:space="preserve">            or common-law partner (other than amounts received due to the death of his or her spouse or common-law partner).</t>
  </si>
  <si>
    <t>(other than any month that includes a week</t>
  </si>
  <si>
    <t>●</t>
  </si>
  <si>
    <r>
      <t xml:space="preserve">you and the other person were enrolled in a </t>
    </r>
    <r>
      <rPr>
        <b/>
        <sz val="12"/>
        <rFont val="Arial MT"/>
        <family val="0"/>
      </rPr>
      <t>full-time</t>
    </r>
    <r>
      <rPr>
        <sz val="12"/>
        <rFont val="Arial MT"/>
        <family val="0"/>
      </rPr>
      <t xml:space="preserve"> or </t>
    </r>
    <r>
      <rPr>
        <b/>
        <sz val="12"/>
        <rFont val="Arial MT"/>
        <family val="0"/>
      </rPr>
      <t>part-time</t>
    </r>
    <r>
      <rPr>
        <sz val="12"/>
        <rFont val="Arial MT"/>
        <family val="0"/>
      </rPr>
      <t xml:space="preserve"> educational program during</t>
    </r>
  </si>
  <si>
    <r>
      <t xml:space="preserve">the </t>
    </r>
    <r>
      <rPr>
        <b/>
        <sz val="12"/>
        <rFont val="Arial MT"/>
        <family val="0"/>
      </rPr>
      <t>same months.</t>
    </r>
  </si>
  <si>
    <t>Alberta dividend tax credit:</t>
  </si>
  <si>
    <t>Alberta minimum tax carry-over:</t>
  </si>
  <si>
    <t>Old Age Security pension (box 18 on the T4A (OAS) slip)</t>
  </si>
  <si>
    <t>Sched 9</t>
  </si>
  <si>
    <t>*     allocated data column has a formula</t>
  </si>
  <si>
    <t>From Box 16 if spousal for T2205</t>
  </si>
  <si>
    <t>From Box 20 if spousal for T2205</t>
  </si>
  <si>
    <t>From Box 24 if spousal for T2205</t>
  </si>
  <si>
    <t>Pension income amount:</t>
  </si>
  <si>
    <t>Disability amount:</t>
  </si>
  <si>
    <t>Add lines 1 to 4</t>
  </si>
  <si>
    <t>Line 5 minus line 8 (if negative, enter "0")</t>
  </si>
  <si>
    <t>T1-4</t>
  </si>
  <si>
    <t>ADDITIONAL QUALIFICATION CALCULATIONS</t>
  </si>
  <si>
    <t>Universal Child Care Benefit repayment (box 12 on all RC62 slips)</t>
  </si>
  <si>
    <r>
      <t xml:space="preserve">Deduction for elected split-pension amount (see the guide and </t>
    </r>
    <r>
      <rPr>
        <b/>
        <sz val="12"/>
        <color indexed="8"/>
        <rFont val="Arial"/>
        <family val="2"/>
      </rPr>
      <t>attach</t>
    </r>
    <r>
      <rPr>
        <sz val="12"/>
        <color indexed="8"/>
        <rFont val="Arial"/>
        <family val="2"/>
      </rPr>
      <t xml:space="preserve"> Form T1032)</t>
    </r>
  </si>
  <si>
    <t>Use the federal worksheet to calculate your repayment.</t>
  </si>
  <si>
    <t>Other payments deduction 
(if you reported income on lin147, see line 250 in the guide)</t>
  </si>
  <si>
    <t>PART B - Repayments under the HBP and the LLP</t>
  </si>
  <si>
    <t xml:space="preserve">You may need to change the default YES/NO qualification settings for your situation.  </t>
  </si>
  <si>
    <t>GO THERE</t>
  </si>
  <si>
    <t>5905</t>
  </si>
  <si>
    <t>5907</t>
  </si>
  <si>
    <t>5909</t>
  </si>
  <si>
    <t>Multiply line 4 by line 5</t>
  </si>
  <si>
    <t>Part 2 -- RRIFs</t>
  </si>
  <si>
    <t>MB(S2)</t>
  </si>
  <si>
    <t>MB(S11)</t>
  </si>
  <si>
    <t>MB WRK</t>
  </si>
  <si>
    <t>Other credits</t>
  </si>
  <si>
    <t>Footnotes</t>
  </si>
  <si>
    <t>115,314</t>
  </si>
  <si>
    <t>176,433</t>
  </si>
  <si>
    <t>Sch3,Sch1</t>
  </si>
  <si>
    <t>Sch4,II</t>
  </si>
  <si>
    <t>Sch 1,433</t>
  </si>
  <si>
    <t>130,</t>
  </si>
  <si>
    <t>Sch3,173</t>
  </si>
  <si>
    <t>Sch3,107</t>
  </si>
  <si>
    <t>Sch3,110</t>
  </si>
  <si>
    <t>income tax paid</t>
  </si>
  <si>
    <t>Foreign non-business</t>
  </si>
  <si>
    <t>Sch1,431</t>
  </si>
  <si>
    <t>Miscellaneous      Sch 9</t>
  </si>
  <si>
    <t>337,339</t>
  </si>
  <si>
    <t>340, 342</t>
  </si>
  <si>
    <t>Sch3,174</t>
  </si>
  <si>
    <t>Sch1,425</t>
  </si>
  <si>
    <t>Eligible death benefits(excl $1000?)</t>
  </si>
  <si>
    <t>2)  Links in the GOTO sheet to pdf forms on CRA site for forms not included in MyTAX.</t>
  </si>
  <si>
    <t xml:space="preserve">     Includes hyperlinks to CRA Website for each item.</t>
  </si>
  <si>
    <t>All CRA Forms</t>
  </si>
  <si>
    <t>PDF</t>
  </si>
  <si>
    <t>T1-ADJ</t>
  </si>
  <si>
    <t>PDF Fillable forms can be filled in on your computer and printed.  If not Fillable, print them out and fill in manually.</t>
  </si>
  <si>
    <t>Future MyTAX template</t>
  </si>
  <si>
    <t>Download Links
 to CRA Website</t>
  </si>
  <si>
    <r>
      <t xml:space="preserve">Go to the </t>
    </r>
    <r>
      <rPr>
        <u val="single"/>
        <sz val="14"/>
        <color indexed="12"/>
        <rFont val="Arial MT"/>
        <family val="0"/>
      </rPr>
      <t>README</t>
    </r>
    <r>
      <rPr>
        <sz val="14"/>
        <color indexed="12"/>
        <rFont val="Arial MT"/>
        <family val="0"/>
      </rPr>
      <t xml:space="preserve"> sheet for the basic set of instructions</t>
    </r>
  </si>
  <si>
    <t>Universal Child Care Benefit (see the guide)</t>
  </si>
  <si>
    <t>Make an internet connection and click on the CRA link provided above to download the .pdf form you need.</t>
  </si>
  <si>
    <r>
      <t xml:space="preserve">New this Year!!:  </t>
    </r>
    <r>
      <rPr>
        <u val="single"/>
        <sz val="14"/>
        <color indexed="12"/>
        <rFont val="Arial MT"/>
        <family val="0"/>
      </rPr>
      <t xml:space="preserve"> 
1)  What's New Sheet for Canada Revenue Agency. </t>
    </r>
  </si>
  <si>
    <r>
      <t>2.</t>
    </r>
    <r>
      <rPr>
        <sz val="14"/>
        <color indexed="8"/>
        <rFont val="Arial"/>
        <family val="2"/>
      </rPr>
      <t xml:space="preserve">  You can click to activate a sheet and you can scroll the tab list to access the remainder that are not showing.</t>
    </r>
  </si>
  <si>
    <t>See instructions below for several ways to navigate through the sheets in the workbook.</t>
  </si>
  <si>
    <t>Total of amounts your dependant can claim on lines 1 to 15 of his or her Schedule 1</t>
  </si>
  <si>
    <t>Add lines 1 and 2.</t>
  </si>
  <si>
    <r>
      <t>Read</t>
    </r>
    <r>
      <rPr>
        <sz val="14"/>
        <color indexed="8"/>
        <rFont val="Arial"/>
        <family val="2"/>
      </rPr>
      <t xml:space="preserve"> the </t>
    </r>
    <r>
      <rPr>
        <b/>
        <sz val="14"/>
        <color indexed="8"/>
        <rFont val="Arial"/>
        <family val="2"/>
      </rPr>
      <t>conditions</t>
    </r>
    <r>
      <rPr>
        <sz val="14"/>
        <color indexed="8"/>
        <rFont val="Arial"/>
        <family val="2"/>
      </rPr>
      <t xml:space="preserve"> for line 452 in your guide to determine if you can claim this credit.</t>
    </r>
  </si>
  <si>
    <t xml:space="preserve">You must enter your T5007 data into this form.  As your enter data, it is posted to the cells in the schedules and forms </t>
  </si>
  <si>
    <t>where they are needed.  If you have more than one T5007 slip, then enter the amounts from each T5007.</t>
  </si>
  <si>
    <t>or</t>
  </si>
  <si>
    <r>
      <t xml:space="preserve">CPP contributions payable on self-employment and other earnings </t>
    </r>
    <r>
      <rPr>
        <b/>
        <sz val="12"/>
        <color indexed="8"/>
        <rFont val="Arial"/>
        <family val="2"/>
      </rPr>
      <t>(attach</t>
    </r>
    <r>
      <rPr>
        <sz val="12"/>
        <color indexed="8"/>
        <rFont val="Arial"/>
        <family val="2"/>
      </rPr>
      <t xml:space="preserve"> Schedule 8)</t>
    </r>
  </si>
  <si>
    <t>Quebec income tax deducted</t>
  </si>
  <si>
    <t>146,250</t>
  </si>
  <si>
    <t xml:space="preserve">from there.  The form will tell you what line in the main set of tax forms to enter the data. </t>
  </si>
  <si>
    <t>24</t>
  </si>
  <si>
    <t>EI insurable earnings</t>
  </si>
  <si>
    <t>26</t>
  </si>
  <si>
    <t>Complete this form if you meet both of the following conditions:</t>
  </si>
  <si>
    <t>By completing this form, you will calculate how much of the amount to include in your income on your own return, and how</t>
  </si>
  <si>
    <t>much your spouse or common-law partner has to include in income. If your RRSP or RRIF has been deregistered, we</t>
  </si>
  <si>
    <t>consider that you received an amount from it in the year it was deregistered. The amount we consider that you received is the</t>
  </si>
  <si>
    <t>fair market value of the plan or fund calculated immediately before it was deregistered. This requirement does not apply to</t>
  </si>
  <si>
    <t>deregistered RRIFs that were established before March 1986, unless they were amended after February 1986.</t>
  </si>
  <si>
    <t>You and your spouse or common-law partner each have to attach a copy of this form to your own income tax return for the</t>
  </si>
  <si>
    <t>year. Keep a copy for your records.</t>
  </si>
  <si>
    <t>Do not complete this form if any of the following apply:</t>
  </si>
  <si>
    <t>In any of the situations listed above, include the amounts in your own income.</t>
  </si>
  <si>
    <t>Spousal or common-law partner RRSP and RRIF</t>
  </si>
  <si>
    <t>An RRSP or RRIF is a spousal or common-law partner plan or fund if it meets any of the following conditions:</t>
  </si>
  <si>
    <t>RRIF.</t>
  </si>
  <si>
    <t>and Other Registered Plans for Retirement.</t>
  </si>
  <si>
    <t>Lines 5 and 16</t>
  </si>
  <si>
    <t>PLAN ALLOCATIONS AND PAYMENTS</t>
  </si>
  <si>
    <t>provincial or territorial supplements</t>
  </si>
  <si>
    <r>
      <t xml:space="preserve">You must enter your T4 data into </t>
    </r>
    <r>
      <rPr>
        <b/>
        <sz val="14"/>
        <color indexed="8"/>
        <rFont val="Arial"/>
        <family val="2"/>
      </rPr>
      <t>this</t>
    </r>
    <r>
      <rPr>
        <sz val="14"/>
        <color indexed="8"/>
        <rFont val="Arial"/>
        <family val="2"/>
      </rPr>
      <t xml:space="preserve"> form.  As you enter data, it is posted to the cells in the schedules and forms </t>
    </r>
  </si>
  <si>
    <r>
      <t xml:space="preserve">You must enter your T4A data into </t>
    </r>
    <r>
      <rPr>
        <b/>
        <sz val="14"/>
        <color indexed="8"/>
        <rFont val="Arial"/>
        <family val="2"/>
      </rPr>
      <t>this</t>
    </r>
    <r>
      <rPr>
        <sz val="14"/>
        <color indexed="8"/>
        <rFont val="Arial"/>
        <family val="2"/>
      </rPr>
      <t xml:space="preserve"> form.  As you enter data, it is posted to the cells in the schedules and forms </t>
    </r>
  </si>
  <si>
    <t>Address or legal description</t>
  </si>
  <si>
    <t>Foreign pension income included on line 115 and deducted on line 256</t>
  </si>
  <si>
    <t>Income from a U.S. individual retirement account (IRA) included on line 115</t>
  </si>
  <si>
    <t>Excess amounts from a RRIF included on line 115 and</t>
  </si>
  <si>
    <t>transferred to an RRSP, another RRIF, or an annuity.</t>
  </si>
  <si>
    <t xml:space="preserve">Enter on line 315 of Schedule 1, the total amount claimed for all dependants. </t>
  </si>
  <si>
    <t>_</t>
  </si>
  <si>
    <t>Yes</t>
  </si>
  <si>
    <t xml:space="preserve"> 2</t>
  </si>
  <si>
    <t>T3012A,T2205</t>
  </si>
  <si>
    <t>chart is being completed for the claim on line 5848.</t>
  </si>
  <si>
    <t>Number of Children:</t>
  </si>
  <si>
    <t xml:space="preserve">You can work in one section of the screen, having scrolled the other screen for viewing the result. </t>
  </si>
  <si>
    <t>All screens are updated whenever a change occurs.</t>
  </si>
  <si>
    <t>You can also adjust the top &amp; bottom and left &amp; right margins to suit your printer.</t>
  </si>
  <si>
    <t>If a sheet has user related data, then you will likely want to print it sometime.</t>
  </si>
  <si>
    <t>You can use MyTAX to prepare an unlimited number of income tax returns.</t>
  </si>
  <si>
    <t>130 T1172</t>
  </si>
  <si>
    <t>N/A</t>
  </si>
  <si>
    <t xml:space="preserve">Schedule 5 </t>
  </si>
  <si>
    <t>Net refund (line1 minus 2)</t>
  </si>
  <si>
    <t>You can help reduce Ontario's debt by completing this area to</t>
  </si>
  <si>
    <t>Opportunities Fund.  Please see the provincial pages for details.</t>
  </si>
  <si>
    <t>Part A – Total child care expenses</t>
  </si>
  <si>
    <r>
      <t xml:space="preserve">Enter your </t>
    </r>
    <r>
      <rPr>
        <b/>
        <sz val="12"/>
        <color indexed="8"/>
        <rFont val="Arial"/>
        <family val="2"/>
      </rPr>
      <t>net income</t>
    </r>
    <r>
      <rPr>
        <sz val="12"/>
        <color indexed="8"/>
        <rFont val="Arial"/>
        <family val="2"/>
      </rPr>
      <t xml:space="preserve"> from line 236 of your return</t>
    </r>
  </si>
  <si>
    <t>x 2.5% =</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</si>
  <si>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                      </t>
    </r>
  </si>
  <si>
    <t xml:space="preserve">Canada Revenue   </t>
  </si>
  <si>
    <t xml:space="preserve">du Canada    </t>
  </si>
  <si>
    <r>
      <t xml:space="preserve">Provide the </t>
    </r>
    <r>
      <rPr>
        <b/>
        <sz val="12"/>
        <rFont val="Arial MT"/>
        <family val="0"/>
      </rPr>
      <t xml:space="preserve">name of the child care organization </t>
    </r>
    <r>
      <rPr>
        <sz val="12"/>
        <rFont val="Arial MT"/>
        <family val="0"/>
      </rPr>
      <t xml:space="preserve">or the </t>
    </r>
    <r>
      <rPr>
        <b/>
        <sz val="12"/>
        <rFont val="Arial MT"/>
        <family val="0"/>
      </rPr>
      <t>name and social</t>
    </r>
  </si>
  <si>
    <t>Annuity payments from line 129 of your return (box 16 of your T4RSP slip) only if you were 65 or older on</t>
  </si>
  <si>
    <t>Number of months</t>
  </si>
  <si>
    <t>Total available tuition and education amounts</t>
  </si>
  <si>
    <t>Number of children</t>
  </si>
  <si>
    <t>Enter dependant's net income (from line 236 of his or her return)</t>
  </si>
  <si>
    <r>
      <t xml:space="preserve">Enter, on line 5872 of Form AB428, the total amount claimed for </t>
    </r>
    <r>
      <rPr>
        <b/>
        <sz val="11"/>
        <color indexed="8"/>
        <rFont val="Arial"/>
        <family val="2"/>
      </rPr>
      <t>all</t>
    </r>
    <r>
      <rPr>
        <sz val="11"/>
        <color indexed="8"/>
        <rFont val="Arial"/>
        <family val="2"/>
      </rPr>
      <t xml:space="preserve"> other dependants.</t>
    </r>
  </si>
  <si>
    <t>Enter the result on line 46 of Form AB428.</t>
  </si>
  <si>
    <t>(amount from line 312 of your federal Schedule 1)</t>
  </si>
  <si>
    <t>(amount from line 319 of your federal Schedule 1)</t>
  </si>
  <si>
    <t xml:space="preserve">Amounts transferred from your spouse or common-law partner </t>
  </si>
  <si>
    <t>Line 7 minus line 8 (if negative, enter "0")</t>
  </si>
  <si>
    <t/>
  </si>
  <si>
    <t>Federal Tax</t>
  </si>
  <si>
    <t>Data  Slips or Forms</t>
  </si>
  <si>
    <t>First name of each</t>
  </si>
  <si>
    <t>child for whom</t>
  </si>
  <si>
    <t>payments were made</t>
  </si>
  <si>
    <t>Child care</t>
  </si>
  <si>
    <t>expenses paid</t>
  </si>
  <si>
    <r>
      <t xml:space="preserve">Enter the amount from line 7 (in Part B) or line 13, whichever is </t>
    </r>
    <r>
      <rPr>
        <b/>
        <sz val="12"/>
        <rFont val="Arial MT"/>
        <family val="0"/>
      </rPr>
      <t>less.</t>
    </r>
  </si>
  <si>
    <t>Tax Exempt Benefits</t>
  </si>
  <si>
    <t xml:space="preserve"> 0</t>
  </si>
  <si>
    <t>Complete this chart if the rate in box 7 is 30% and, on your return, the total of</t>
  </si>
  <si>
    <t>Line 213 plus line 234 of your return</t>
  </si>
  <si>
    <t>Line 1 minus Base amount</t>
  </si>
  <si>
    <t>(if negative, enter "0")</t>
  </si>
  <si>
    <r>
      <t xml:space="preserve">Amount from line 0 or 2, whichever is </t>
    </r>
    <r>
      <rPr>
        <b/>
        <sz val="14"/>
        <color indexed="8"/>
        <rFont val="Arial"/>
        <family val="2"/>
      </rPr>
      <t>less</t>
    </r>
  </si>
  <si>
    <t>revenue fund</t>
  </si>
  <si>
    <t>Payments of of the consolidated</t>
  </si>
  <si>
    <t>Plan benefits</t>
  </si>
  <si>
    <t>Provincial Parental Insurance</t>
  </si>
  <si>
    <t>Overpayment recovered or repaid</t>
  </si>
  <si>
    <t>Total Repayment (box 26+box 27)</t>
  </si>
  <si>
    <t>Bursary and Scholarship Exemption</t>
  </si>
  <si>
    <r>
      <t xml:space="preserve">m) OIEO(LSIF) Labour sponsored investment fund tax credit:  </t>
    </r>
    <r>
      <rPr>
        <sz val="13"/>
        <color indexed="8"/>
        <rFont val="Arial"/>
        <family val="2"/>
      </rPr>
      <t>ON428; items 6275 &amp; 6276;  Schedule 1, items 413 &amp; 414</t>
    </r>
  </si>
  <si>
    <r>
      <t xml:space="preserve">d) Eligible children   </t>
    </r>
    <r>
      <rPr>
        <sz val="14"/>
        <color indexed="8"/>
        <rFont val="Arial"/>
        <family val="2"/>
      </rPr>
      <t>Form T778</t>
    </r>
  </si>
  <si>
    <t>Enter this amount on line 420 of your return</t>
  </si>
  <si>
    <t>Number</t>
  </si>
  <si>
    <t>Complete the calculation for each dependant.</t>
  </si>
  <si>
    <t>If you are not attaching a label, print your name and address below.</t>
  </si>
  <si>
    <t xml:space="preserve">  through employment from box 16 and box 17 on all T4 slips </t>
  </si>
  <si>
    <t>Unused federal amount available to carry forward to a future year</t>
  </si>
  <si>
    <t xml:space="preserve">You must enter your T4RIF data into this form.  As your enter data, it is posted to the cells in the schedules and forms </t>
  </si>
  <si>
    <t>(use provincial worksheet)</t>
  </si>
  <si>
    <t>Spouse or common-law partner amount</t>
  </si>
  <si>
    <t>Amount for an eligible dependant</t>
  </si>
  <si>
    <t>5812</t>
  </si>
  <si>
    <t>11</t>
  </si>
  <si>
    <t>5816</t>
  </si>
  <si>
    <t>12</t>
  </si>
  <si>
    <t>5820</t>
  </si>
  <si>
    <t>13</t>
  </si>
  <si>
    <t>T3</t>
  </si>
  <si>
    <t>T4</t>
  </si>
  <si>
    <t>T4A</t>
  </si>
  <si>
    <t>T1212</t>
  </si>
  <si>
    <t>T2209</t>
  </si>
  <si>
    <t>Line 1 minus line 6 (if negative, enter "0").  Enter this amount on line 5808 of Form AB428.</t>
  </si>
  <si>
    <t>If you have more than four slips, you can add the data from the extra ones as a sum rather than a single #.</t>
  </si>
  <si>
    <t>Allocated Data</t>
  </si>
  <si>
    <t>Description</t>
  </si>
  <si>
    <t xml:space="preserve">Line 235 - Social benefits repayment </t>
  </si>
  <si>
    <t>Amount from line 113 of your return</t>
  </si>
  <si>
    <t>Amount from line 146 of your return</t>
  </si>
  <si>
    <r>
      <t>●</t>
    </r>
    <r>
      <rPr>
        <sz val="10.8"/>
        <rFont val="Arial MT"/>
        <family val="0"/>
      </rPr>
      <t xml:space="preserve">  </t>
    </r>
    <r>
      <rPr>
        <sz val="12"/>
        <rFont val="Arial MT"/>
        <family val="0"/>
      </rPr>
      <t>you were confined to a prison or similar institution for a period of 90 days or more during the year.</t>
    </r>
  </si>
  <si>
    <t>Do you have an eligible dependant?</t>
  </si>
  <si>
    <t>Do you have an eligible spouse?</t>
  </si>
  <si>
    <t>and line 104 of the return</t>
  </si>
  <si>
    <t>Add the amounts from line 7 in columns 1 and 2.</t>
  </si>
  <si>
    <t>Line 12 minus line 13 (if negative, enter "0")</t>
  </si>
  <si>
    <t>Add the amounts from line 14 in columns 1 and 2.</t>
  </si>
  <si>
    <t>Are you claiming the basic WITB?</t>
  </si>
  <si>
    <t>for yourself?</t>
  </si>
  <si>
    <t>amount for himself or herself?</t>
  </si>
  <si>
    <t>381</t>
  </si>
  <si>
    <t>382</t>
  </si>
  <si>
    <t>383</t>
  </si>
  <si>
    <t>384</t>
  </si>
  <si>
    <t>or RRIF is such a plan or fund, see box 24 of your T4RSP, or box 26 of your T4RIF slip. For more information and instructions, see the back of this form.</t>
  </si>
  <si>
    <t>On the line in the title of this form, enter the calendar year indicated on your spousal or common-law partner T4RSP or T4RIF slips. To find out if your RRSP</t>
  </si>
  <si>
    <t>10. Enter the total of the amounts in box 20 of your T4RIF slips that you received from spousal or</t>
  </si>
  <si>
    <r>
      <t>●</t>
    </r>
    <r>
      <rPr>
        <sz val="9"/>
        <rFont val="Arial"/>
        <family val="2"/>
      </rPr>
      <t xml:space="preserve">  </t>
    </r>
    <r>
      <rPr>
        <sz val="12"/>
        <rFont val="Arial"/>
        <family val="2"/>
      </rPr>
      <t>you received an amount from a spousal or common-law partner RRSP or RRIF; and</t>
    </r>
  </si>
  <si>
    <r>
      <t>●</t>
    </r>
    <r>
      <rPr>
        <sz val="9"/>
        <rFont val="Arial"/>
        <family val="2"/>
      </rPr>
      <t xml:space="preserve">  </t>
    </r>
    <r>
      <rPr>
        <sz val="12"/>
        <rFont val="Arial"/>
        <family val="2"/>
      </rPr>
      <t>your spouse or common-law partner made a contribution to a spousal or common-law partner RRSP for you in the year</t>
    </r>
  </si>
  <si>
    <t xml:space="preserve">    you received the amount or in the two preceding years.</t>
  </si>
  <si>
    <r>
      <t>●</t>
    </r>
    <r>
      <rPr>
        <sz val="9"/>
        <rFont val="Arial"/>
        <family val="2"/>
      </rPr>
      <t xml:space="preserve">  </t>
    </r>
    <r>
      <rPr>
        <sz val="12"/>
        <rFont val="Arial"/>
        <family val="2"/>
      </rPr>
      <t>the amount you received is a periodic annuity payment from an RRSP;</t>
    </r>
  </si>
  <si>
    <t>●  the amount you received is a minimum amount payment from a RRIF; or</t>
  </si>
  <si>
    <r>
      <t>●</t>
    </r>
    <r>
      <rPr>
        <sz val="9"/>
        <rFont val="Arial"/>
        <family val="2"/>
      </rPr>
      <t xml:space="preserve">  </t>
    </r>
    <r>
      <rPr>
        <sz val="12"/>
        <rFont val="Arial"/>
        <family val="2"/>
      </rPr>
      <t>your spouse or common-law partner died in the year.</t>
    </r>
  </si>
  <si>
    <r>
      <t>●</t>
    </r>
    <r>
      <rPr>
        <sz val="9"/>
        <rFont val="Arial"/>
        <family val="2"/>
      </rPr>
      <t xml:space="preserve">  </t>
    </r>
    <r>
      <rPr>
        <sz val="12"/>
        <rFont val="Arial"/>
        <family val="2"/>
      </rPr>
      <t>you and your spouse or common-law partner were living separate and apart because of your relationship breakdown; or</t>
    </r>
  </si>
  <si>
    <r>
      <t>●</t>
    </r>
    <r>
      <rPr>
        <sz val="9"/>
        <rFont val="Arial"/>
        <family val="2"/>
      </rPr>
      <t xml:space="preserve">  </t>
    </r>
    <r>
      <rPr>
        <sz val="12"/>
        <rFont val="Arial"/>
        <family val="2"/>
      </rPr>
      <t>you or your spouse or common-law partner was a non-resident.</t>
    </r>
  </si>
  <si>
    <r>
      <t>●</t>
    </r>
    <r>
      <rPr>
        <sz val="9"/>
        <rFont val="Arial"/>
        <family val="2"/>
      </rPr>
      <t xml:space="preserve">  </t>
    </r>
    <r>
      <rPr>
        <sz val="12"/>
        <rFont val="Arial"/>
        <family val="2"/>
      </rPr>
      <t>Your spouse or common-law partner contributed an amount to the RRSP while you were the annuitant.</t>
    </r>
  </si>
  <si>
    <t>●  It is an RRSP that has received a payment or a transfer of property from a spousal or common-law partner RRSP or</t>
  </si>
  <si>
    <r>
      <t>●</t>
    </r>
    <r>
      <rPr>
        <sz val="9"/>
        <rFont val="Arial"/>
        <family val="2"/>
      </rPr>
      <t xml:space="preserve">  </t>
    </r>
    <r>
      <rPr>
        <sz val="12"/>
        <rFont val="Arial"/>
        <family val="2"/>
      </rPr>
      <t>It is a RRIF that has received a payment or a transfer of property from a spousal or common-law partner RRSP or RRIF.</t>
    </r>
  </si>
  <si>
    <t>2007: $ 0</t>
  </si>
  <si>
    <t>If you completed Part C: line 13 (in Part C) minus line 6 (in Part B)</t>
  </si>
  <si>
    <t>Complete Step 1 to claim your federal non-refundable tax credits, Step 2 to calculate your federal tax on taxable</t>
  </si>
  <si>
    <t>income and Step 3 to calculate your net federal tax.</t>
  </si>
  <si>
    <t>Step 2 – Federal tax on taxable income</t>
  </si>
  <si>
    <t>Spousal or common-law partner amount (if negative, enter "0")</t>
  </si>
  <si>
    <t>his or her net income from page 1 of your return)</t>
  </si>
  <si>
    <r>
      <t xml:space="preserve">Amount for infirm dependants age 18 or older (use federal worksheet and </t>
    </r>
    <r>
      <rPr>
        <b/>
        <sz val="12"/>
        <color indexed="8"/>
        <rFont val="Arial"/>
        <family val="2"/>
      </rPr>
      <t>attach</t>
    </r>
    <r>
      <rPr>
        <sz val="12"/>
        <color indexed="8"/>
        <rFont val="Arial"/>
        <family val="2"/>
      </rPr>
      <t xml:space="preserve"> Schedule 5)</t>
    </r>
  </si>
  <si>
    <t>●7</t>
  </si>
  <si>
    <t>●8</t>
  </si>
  <si>
    <t>●9</t>
  </si>
  <si>
    <t>Children's fitness amount</t>
  </si>
  <si>
    <t>Step 3 – Net federal tax</t>
  </si>
  <si>
    <t>●41</t>
  </si>
  <si>
    <t>●48</t>
  </si>
  <si>
    <t>Disability amount transferred from a dependant (use federal worksheet)</t>
  </si>
  <si>
    <t>Pension income amount (use federal worksheet)</t>
  </si>
  <si>
    <t>Tuition, education, and textbook amounts transferred from a child</t>
  </si>
  <si>
    <r>
      <t xml:space="preserve">Tuition, education, and textbook amounts </t>
    </r>
    <r>
      <rPr>
        <b/>
        <sz val="12"/>
        <color indexed="8"/>
        <rFont val="Arial"/>
        <family val="2"/>
      </rPr>
      <t>(attach</t>
    </r>
    <r>
      <rPr>
        <sz val="12"/>
        <color indexed="8"/>
        <rFont val="Arial"/>
        <family val="2"/>
      </rPr>
      <t xml:space="preserve"> Schedule 11)</t>
    </r>
  </si>
  <si>
    <r>
      <t xml:space="preserve">Caregiver amount (use federal worksheet and </t>
    </r>
    <r>
      <rPr>
        <b/>
        <sz val="12"/>
        <color indexed="8"/>
        <rFont val="Arial"/>
        <family val="2"/>
      </rPr>
      <t>attach</t>
    </r>
    <r>
      <rPr>
        <sz val="12"/>
        <color indexed="8"/>
        <rFont val="Arial"/>
        <family val="2"/>
      </rPr>
      <t xml:space="preserve"> Schedule 5)</t>
    </r>
  </si>
  <si>
    <t>Canada employment amount</t>
  </si>
  <si>
    <t>Public transit amount</t>
  </si>
  <si>
    <r>
      <t>insurance number of the individual</t>
    </r>
    <r>
      <rPr>
        <sz val="12"/>
        <rFont val="Arial MT"/>
        <family val="0"/>
      </rPr>
      <t xml:space="preserve"> who received the payments.</t>
    </r>
  </si>
  <si>
    <t>The maximum you can claim for expenses that relate to a stay in a boarding school (other than education costs) or an</t>
  </si>
  <si>
    <r>
      <t xml:space="preserve">overnight camp (including an overnight sports school) is </t>
    </r>
    <r>
      <rPr>
        <b/>
        <sz val="12"/>
        <rFont val="Arial MT"/>
        <family val="0"/>
      </rPr>
      <t>$175 per week</t>
    </r>
    <r>
      <rPr>
        <sz val="12"/>
        <rFont val="Arial MT"/>
        <family val="0"/>
      </rPr>
      <t xml:space="preserve"> for a child included on line 1 in Part B, </t>
    </r>
    <r>
      <rPr>
        <b/>
        <sz val="12"/>
        <rFont val="Arial MT"/>
        <family val="0"/>
      </rPr>
      <t>$250 per week</t>
    </r>
  </si>
  <si>
    <r>
      <t xml:space="preserve">for a child included on line 2, and </t>
    </r>
    <r>
      <rPr>
        <b/>
        <sz val="12"/>
        <rFont val="Arial MT"/>
        <family val="0"/>
      </rPr>
      <t>$100 per week</t>
    </r>
    <r>
      <rPr>
        <sz val="12"/>
        <rFont val="Arial MT"/>
        <family val="0"/>
      </rPr>
      <t xml:space="preserve"> for an eligible child included on line 3.</t>
    </r>
  </si>
  <si>
    <t>Part B – Basic limit for child care expenses</t>
  </si>
  <si>
    <t>If you are the person with the higher net income, go to Part C.  Leave lines 8 and 9 blank.</t>
  </si>
  <si>
    <t>c) The other person was not capable of caring for children because of a mental or physical infirmity. That person must have</t>
  </si>
  <si>
    <t xml:space="preserve">Line 5 minus line 6 (if negative, enter "0") </t>
  </si>
  <si>
    <t>you would position the cursor the data entry line 144 below, and then key in</t>
  </si>
  <si>
    <t>T4A(OAS)</t>
  </si>
  <si>
    <t>Line 236 minus line 257 (if negative enter "0")</t>
  </si>
  <si>
    <t>If you have more than five T4E forms, you can add the data from the extra ones as a sum rather than a single #.</t>
  </si>
  <si>
    <t>Data
T4E #1</t>
  </si>
  <si>
    <t>Data
T4E #2</t>
  </si>
  <si>
    <t>Data
T4E #3</t>
  </si>
  <si>
    <t>Data
T4E #4</t>
  </si>
  <si>
    <t>Data
T4E #5</t>
  </si>
  <si>
    <t>Commissions included on line 101 (box 42 on all T4 slips)</t>
  </si>
  <si>
    <t>Annual union, professional, or like dues (box 44 on all T4 slips and receipts)</t>
  </si>
  <si>
    <t xml:space="preserve">Allowable deduction </t>
  </si>
  <si>
    <t>Security options deductions</t>
  </si>
  <si>
    <r>
      <t>Employee and partner GST/HST rebate (</t>
    </r>
    <r>
      <rPr>
        <b/>
        <sz val="12"/>
        <color indexed="8"/>
        <rFont val="Arial"/>
        <family val="2"/>
      </rPr>
      <t>attach</t>
    </r>
    <r>
      <rPr>
        <sz val="12"/>
        <color indexed="8"/>
        <rFont val="Arial"/>
        <family val="2"/>
      </rPr>
      <t xml:space="preserve"> Form GST370)</t>
    </r>
  </si>
  <si>
    <r>
      <t xml:space="preserve">Tax </t>
    </r>
    <r>
      <rPr>
        <b/>
        <sz val="12"/>
        <color indexed="8"/>
        <rFont val="Arial"/>
        <family val="2"/>
      </rPr>
      <t>paid</t>
    </r>
    <r>
      <rPr>
        <sz val="12"/>
        <color indexed="8"/>
        <rFont val="Arial"/>
        <family val="2"/>
      </rPr>
      <t xml:space="preserve"> by installments</t>
    </r>
  </si>
  <si>
    <t>Data
T5 #2</t>
  </si>
  <si>
    <t>Data
T5 #3</t>
  </si>
  <si>
    <t>Data
T5 #4</t>
  </si>
  <si>
    <t xml:space="preserve">Section 122.3 income - employment outside Canada - </t>
  </si>
  <si>
    <t>Obtain Form T626</t>
  </si>
  <si>
    <t xml:space="preserve">Annuitant's date of death  </t>
  </si>
  <si>
    <t xml:space="preserve"> (yyyy-mm-dd)</t>
  </si>
  <si>
    <t>Annuities from death of spouse or common law partner</t>
  </si>
  <si>
    <t>5902</t>
  </si>
  <si>
    <t>Taxable amounts</t>
  </si>
  <si>
    <t>English</t>
  </si>
  <si>
    <t>Francais</t>
  </si>
  <si>
    <t>Votre langue de correspondance:</t>
  </si>
  <si>
    <t xml:space="preserve">key in your data.  While you can enter your data in any order, we advise you to begin by entering data into the T4 form. </t>
  </si>
  <si>
    <t>Conditions of Usage</t>
  </si>
  <si>
    <t xml:space="preserve">Thank you for choosing MyTAX! </t>
  </si>
  <si>
    <t>Allocated Data for Slip # 2</t>
  </si>
  <si>
    <t>Allocated Data for Slip # 3</t>
  </si>
  <si>
    <t>Allocated Data for Slip # 5</t>
  </si>
  <si>
    <t>Allocated Data for Slip # 4</t>
  </si>
  <si>
    <t>Total for Line #</t>
  </si>
  <si>
    <t>From Box 16 for T1 GEN-2</t>
  </si>
  <si>
    <t>From Box 20 for T1 GEN-2</t>
  </si>
  <si>
    <t>Enter this amount on line 323 of Schedule 1.</t>
  </si>
  <si>
    <t>Allocated Data for Slip # 1</t>
  </si>
  <si>
    <t xml:space="preserve">   Line 120 of your return</t>
  </si>
  <si>
    <t xml:space="preserve">   Line 180 of your return</t>
  </si>
  <si>
    <t xml:space="preserve">                 her Schedule 1, you cannot transfer an amount to your or your spouse or common-law partner's</t>
  </si>
  <si>
    <t xml:space="preserve">                 parent or grandparent.</t>
  </si>
  <si>
    <r>
      <t xml:space="preserve">k) Tuition Fees &amp; Education Federal Deductions:    </t>
    </r>
    <r>
      <rPr>
        <sz val="14"/>
        <color indexed="8"/>
        <rFont val="Arial"/>
        <family val="2"/>
      </rPr>
      <t>Schedule 11</t>
    </r>
  </si>
  <si>
    <r>
      <t xml:space="preserve">l) Tuition Fees &amp; Education Provincial Deductions:   </t>
    </r>
    <r>
      <rPr>
        <sz val="14"/>
        <color indexed="8"/>
        <rFont val="Arial"/>
        <family val="2"/>
      </rPr>
      <t xml:space="preserve">ON(S11), BC(S11), etc. except MB which is Schedule 11 only </t>
    </r>
  </si>
  <si>
    <t>12. Enter the part of the amount on line 11 that was directly transferred</t>
  </si>
  <si>
    <t>&gt;&gt;</t>
  </si>
  <si>
    <t>(see note below)</t>
  </si>
  <si>
    <t>Transfers on breakdown of</t>
  </si>
  <si>
    <t>marriage or common-law part.</t>
  </si>
  <si>
    <t>Control-F will pop up a search box for you to enter a text string or number.</t>
  </si>
  <si>
    <t>Please tell your friends and contacts about MyTAX.</t>
  </si>
  <si>
    <t xml:space="preserve">This page as well as the other spreadsheets in MyTAX are searchable.  </t>
  </si>
  <si>
    <t>Line 18 minus line 19</t>
  </si>
  <si>
    <t>If you are transferring an amount to another individual, continue on line 21.</t>
  </si>
  <si>
    <r>
      <t>Otherwise</t>
    </r>
    <r>
      <rPr>
        <sz val="13"/>
        <color indexed="8"/>
        <rFont val="Arial"/>
        <family val="2"/>
      </rPr>
      <t>, enter the amount from line 20 on line 25.</t>
    </r>
  </si>
  <si>
    <t>Enter the amount from line 9;  If it is more than $5000, enter $5000.</t>
  </si>
  <si>
    <t>Amount from line 16</t>
  </si>
  <si>
    <t>Line 21 minus line 22 (if negative, enter "0")</t>
  </si>
  <si>
    <t>You can transfer all or part of the amount on line 23 to your spouse or common-law partner, or to your or your</t>
  </si>
  <si>
    <r>
      <t>If your marital status changed during the tax year,</t>
    </r>
    <r>
      <rPr>
        <sz val="12"/>
        <rFont val="Arial MT"/>
        <family val="0"/>
      </rPr>
      <t xml:space="preserve"> calculate the eligible pension income for the period that you were married or</t>
    </r>
  </si>
  <si>
    <t>6802</t>
  </si>
  <si>
    <t>A</t>
  </si>
  <si>
    <t>Amount on</t>
  </si>
  <si>
    <t>line A</t>
  </si>
  <si>
    <t>12 *</t>
  </si>
  <si>
    <t>B</t>
  </si>
  <si>
    <t>married or living common-law</t>
  </si>
  <si>
    <t>in the tax year</t>
  </si>
  <si>
    <t xml:space="preserve">  Number of months you were</t>
  </si>
  <si>
    <t>X         50%</t>
  </si>
  <si>
    <t>D</t>
  </si>
  <si>
    <t>*For a deceased pensioner, use the number of months up to and including the month of death.</t>
  </si>
  <si>
    <t>Step 3: Elected split-pension amount</t>
  </si>
  <si>
    <t>E</t>
  </si>
  <si>
    <r>
      <t xml:space="preserve">If you are the Pensioner, deduct this amount on </t>
    </r>
    <r>
      <rPr>
        <b/>
        <sz val="12"/>
        <rFont val="Arial MT"/>
        <family val="0"/>
      </rPr>
      <t>line 210</t>
    </r>
    <r>
      <rPr>
        <sz val="12"/>
        <rFont val="Arial MT"/>
        <family val="0"/>
      </rPr>
      <t xml:space="preserve"> of your return.</t>
    </r>
  </si>
  <si>
    <r>
      <t xml:space="preserve">If you are the Pension Transferee, report this amount on </t>
    </r>
    <r>
      <rPr>
        <b/>
        <sz val="12"/>
        <rFont val="Arial MT"/>
        <family val="0"/>
      </rPr>
      <t>line 116</t>
    </r>
    <r>
      <rPr>
        <sz val="12"/>
        <rFont val="Arial MT"/>
        <family val="0"/>
      </rPr>
      <t xml:space="preserve"> of your return.</t>
    </r>
  </si>
  <si>
    <t>T1032 E</t>
  </si>
  <si>
    <t>(Vous pouvez obtenir ce formulaire en français à www.arc.gc.ca ou au 1-800-959-3376.)</t>
  </si>
  <si>
    <t>Step 4: Pension income amount (line 314 of Schedule 1)</t>
  </si>
  <si>
    <t>Amount from line A</t>
  </si>
  <si>
    <t>Amount from line E</t>
  </si>
  <si>
    <t>Line F minus line G</t>
  </si>
  <si>
    <t>Add lines J and K.</t>
  </si>
  <si>
    <r>
      <t xml:space="preserve">Multiply the amount on line 15 by the number of </t>
    </r>
    <r>
      <rPr>
        <b/>
        <sz val="12"/>
        <rFont val="Arial MT"/>
        <family val="0"/>
      </rPr>
      <t>months</t>
    </r>
    <r>
      <rPr>
        <sz val="12"/>
        <rFont val="Arial MT"/>
        <family val="0"/>
      </rPr>
      <t xml:space="preserve"> </t>
    </r>
  </si>
  <si>
    <t>Data
T4 # 5</t>
  </si>
  <si>
    <t>Total</t>
  </si>
  <si>
    <t>10</t>
  </si>
  <si>
    <t>Province of employment</t>
  </si>
  <si>
    <t>14</t>
  </si>
  <si>
    <t>101</t>
  </si>
  <si>
    <t>16</t>
  </si>
  <si>
    <t>308</t>
  </si>
  <si>
    <t>17</t>
  </si>
  <si>
    <t>18</t>
  </si>
  <si>
    <t>312</t>
  </si>
  <si>
    <t>20</t>
  </si>
  <si>
    <t>207</t>
  </si>
  <si>
    <t>22</t>
  </si>
  <si>
    <t>437</t>
  </si>
  <si>
    <t>37</t>
  </si>
  <si>
    <t>Employee home relocation loan deduction</t>
  </si>
  <si>
    <t>Add lines 6 and 7</t>
  </si>
  <si>
    <t>When you come to a line on the return that applies to you, look up the line number in the guide for more information.</t>
  </si>
  <si>
    <t>For forms not finished yet or not included you can use a hybrid MyTAX - paper form approach as follows.</t>
  </si>
  <si>
    <r>
      <t>Federal amount transferred</t>
    </r>
    <r>
      <rPr>
        <sz val="13"/>
        <color indexed="8"/>
        <rFont val="Arial"/>
        <family val="2"/>
      </rPr>
      <t xml:space="preserve"> (cannot be more than the amount on line 23)</t>
    </r>
  </si>
  <si>
    <t>Line 20 minus line 24</t>
  </si>
  <si>
    <t xml:space="preserve"> add lines 14 and 16</t>
  </si>
  <si>
    <t>Transfer/Carry forward of unused amount</t>
  </si>
  <si>
    <r>
      <t>This is your</t>
    </r>
    <r>
      <rPr>
        <b/>
        <sz val="12"/>
        <color indexed="8"/>
        <rFont val="Arial"/>
        <family val="2"/>
      </rPr>
      <t xml:space="preserve"> </t>
    </r>
    <r>
      <rPr>
        <b/>
        <sz val="12"/>
        <color indexed="57"/>
        <rFont val="Arial"/>
        <family val="2"/>
      </rPr>
      <t>total income.</t>
    </r>
  </si>
  <si>
    <t>CPP contributions payable on self-employment and other earnings:</t>
  </si>
  <si>
    <t>Income Tax and Benefit Return</t>
  </si>
  <si>
    <t>Identification</t>
  </si>
  <si>
    <t>If, at the end of the year, you and your dependant were not residents of the same province or territory, special</t>
  </si>
  <si>
    <t>Reserves from line 6706 of Form T2017 (if negative, show it in brackets and subtract it)</t>
  </si>
  <si>
    <t>(if it applies)</t>
  </si>
  <si>
    <t>Net</t>
  </si>
  <si>
    <t>Use this form to calculate the amount you can deduct from federal tax for 2002 or a later year. If this claim is for a year before 2002, get a copy of the previous</t>
  </si>
  <si>
    <t>version of this form. You can claim this credit if you were resident in Canada at any time in the tax year and you had to include, on your Canadian return,</t>
  </si>
  <si>
    <t>income that came from a foreign country and for which you paid non-business or business taxes to that foreign country. If the total of the foreign taxes you paid</t>
  </si>
  <si>
    <t>Country or countries for which you are making this claim:</t>
  </si>
  <si>
    <r>
      <t>Non-business income tax paid to a foreign country</t>
    </r>
    <r>
      <rPr>
        <vertAlign val="superscript"/>
        <sz val="12"/>
        <rFont val="Arial MT"/>
        <family val="0"/>
      </rPr>
      <t>(a)</t>
    </r>
  </si>
  <si>
    <r>
      <t>Net foreign non-business income</t>
    </r>
    <r>
      <rPr>
        <vertAlign val="superscript"/>
        <sz val="12"/>
        <rFont val="Arial MT"/>
        <family val="0"/>
      </rPr>
      <t>(b)</t>
    </r>
  </si>
  <si>
    <r>
      <t>Divided by: net income</t>
    </r>
    <r>
      <rPr>
        <vertAlign val="superscript"/>
        <sz val="12"/>
        <rFont val="Arial MT"/>
        <family val="0"/>
      </rPr>
      <t>(c)</t>
    </r>
  </si>
  <si>
    <t>Foreign business income</t>
  </si>
  <si>
    <r>
      <t>Business income tax paid to a foreign country</t>
    </r>
    <r>
      <rPr>
        <vertAlign val="superscript"/>
        <sz val="12"/>
        <rFont val="Arial MT"/>
        <family val="0"/>
      </rPr>
      <t>(e)</t>
    </r>
    <r>
      <rPr>
        <sz val="12"/>
        <rFont val="Arial MT"/>
        <family val="0"/>
      </rPr>
      <t xml:space="preserve"> for the year, plus any unused foreign tax credits</t>
    </r>
  </si>
  <si>
    <r>
      <t>for that country for the seven</t>
    </r>
    <r>
      <rPr>
        <vertAlign val="superscript"/>
        <sz val="12"/>
        <rFont val="Arial MT"/>
        <family val="0"/>
      </rPr>
      <t>(f)</t>
    </r>
    <r>
      <rPr>
        <sz val="12"/>
        <rFont val="Arial MT"/>
        <family val="0"/>
      </rPr>
      <t xml:space="preserve"> years before, and the three years after this year</t>
    </r>
  </si>
  <si>
    <r>
      <t xml:space="preserve">Net foreign business income </t>
    </r>
    <r>
      <rPr>
        <vertAlign val="superscript"/>
        <sz val="12"/>
        <rFont val="Arial MT"/>
        <family val="0"/>
      </rPr>
      <t>(g)</t>
    </r>
  </si>
  <si>
    <r>
      <t xml:space="preserve">Divided by: net income </t>
    </r>
    <r>
      <rPr>
        <vertAlign val="superscript"/>
        <sz val="12"/>
        <rFont val="Arial MT"/>
        <family val="0"/>
      </rPr>
      <t>(c)</t>
    </r>
  </si>
  <si>
    <t>the country or countries that you have identified at the top of this page</t>
  </si>
  <si>
    <r>
      <t xml:space="preserve">Add basic federal tax </t>
    </r>
    <r>
      <rPr>
        <vertAlign val="superscript"/>
        <sz val="12"/>
        <rFont val="Arial MT"/>
        <family val="0"/>
      </rPr>
      <t>(h)</t>
    </r>
    <r>
      <rPr>
        <sz val="12"/>
        <rFont val="Arial MT"/>
        <family val="0"/>
      </rPr>
      <t xml:space="preserve"> and the amount from line 6</t>
    </r>
  </si>
  <si>
    <t>Enter the amount from line 3, if any</t>
  </si>
  <si>
    <t>Add lines 3 and 9</t>
  </si>
  <si>
    <r>
      <t>X</t>
    </r>
    <r>
      <rPr>
        <sz val="12"/>
        <rFont val="Arial MT"/>
        <family val="0"/>
      </rPr>
      <t xml:space="preserve">   Basic federal tax </t>
    </r>
    <r>
      <rPr>
        <vertAlign val="superscript"/>
        <sz val="12"/>
        <rFont val="Arial MT"/>
        <family val="0"/>
      </rPr>
      <t>(d)</t>
    </r>
  </si>
  <si>
    <t>● 1</t>
  </si>
  <si>
    <r>
      <t xml:space="preserve">Form T2209. Only submit one Form T2209. For more information, see Interpretation Bulletin IT- 270, </t>
    </r>
    <r>
      <rPr>
        <i/>
        <sz val="12"/>
        <rFont val="Arial MT"/>
        <family val="0"/>
      </rPr>
      <t>Foreign Tax Credit</t>
    </r>
    <r>
      <rPr>
        <sz val="12"/>
        <rFont val="Arial MT"/>
        <family val="0"/>
      </rPr>
      <t>.</t>
    </r>
  </si>
  <si>
    <t>FEDERAL FOREIGN TAX CREDITS</t>
  </si>
  <si>
    <t>Federal non-business foreign tax credit</t>
  </si>
  <si>
    <t>The amount on line 3 should not be more than the amount on line 429 of your Schedule 1.</t>
  </si>
  <si>
    <r>
      <t>X</t>
    </r>
    <r>
      <rPr>
        <sz val="12"/>
        <rFont val="Arial MT"/>
        <family val="0"/>
      </rPr>
      <t xml:space="preserve">   Basic federal tax </t>
    </r>
    <r>
      <rPr>
        <vertAlign val="superscript"/>
        <sz val="12"/>
        <rFont val="Arial MT"/>
        <family val="0"/>
      </rPr>
      <t>(h)</t>
    </r>
  </si>
  <si>
    <r>
      <t xml:space="preserve">Federal surtax on income you earned outside Canada: amount from line 10 of Part 2 of Form T2203, </t>
    </r>
    <r>
      <rPr>
        <i/>
        <sz val="12"/>
        <rFont val="Arial MT"/>
        <family val="0"/>
      </rPr>
      <t>Provincial and Territorial</t>
    </r>
  </si>
  <si>
    <t>Federal business foreign tax credit</t>
  </si>
  <si>
    <t>Federal foreign tax credit</t>
  </si>
  <si>
    <t>The amount on line 10 should not be more than the amount on line 429 of your Schedule 1.</t>
  </si>
  <si>
    <t>Enter the amount from line 10 on line 405 of your Schedule 1.</t>
  </si>
  <si>
    <r>
      <t>4</t>
    </r>
    <r>
      <rPr>
        <sz val="14"/>
        <color indexed="8"/>
        <rFont val="Arial"/>
        <family val="2"/>
      </rPr>
      <t>. If you have more than five T4 slips you can enter the amounts as a formula: +n1+n2+n3+…</t>
    </r>
  </si>
  <si>
    <t>where they are needed.  If you have more than one T4RSP slip, then enter the amounts from each T4RSP.</t>
  </si>
  <si>
    <t>Line 305 -</t>
  </si>
  <si>
    <t>Enter your total contributions:</t>
  </si>
  <si>
    <t>ON428</t>
  </si>
  <si>
    <t>1</t>
  </si>
  <si>
    <t>YES</t>
  </si>
  <si>
    <t>NO</t>
  </si>
  <si>
    <t>Age amount</t>
  </si>
  <si>
    <t>The person claiming the transfer should not attach this schedule to his or her return.</t>
  </si>
  <si>
    <t>MB479</t>
  </si>
  <si>
    <t>MB428</t>
  </si>
  <si>
    <t>MB</t>
  </si>
  <si>
    <r>
      <t xml:space="preserve">or     </t>
    </r>
    <r>
      <rPr>
        <b/>
        <sz val="10"/>
        <rFont val="Arial"/>
        <family val="2"/>
      </rPr>
      <t>departure</t>
    </r>
  </si>
  <si>
    <r>
      <t xml:space="preserve">person, </t>
    </r>
    <r>
      <rPr>
        <sz val="10"/>
        <rFont val="Arial"/>
        <family val="2"/>
      </rPr>
      <t>enter the date of death:</t>
    </r>
  </si>
  <si>
    <r>
      <t xml:space="preserve">If this </t>
    </r>
    <r>
      <rPr>
        <b/>
        <sz val="10"/>
        <rFont val="Arial"/>
        <family val="2"/>
      </rPr>
      <t>return</t>
    </r>
    <r>
      <rPr>
        <sz val="10"/>
        <rFont val="Arial"/>
        <family val="0"/>
      </rPr>
      <t xml:space="preserve"> is for a </t>
    </r>
    <r>
      <rPr>
        <b/>
        <sz val="10"/>
        <rFont val="Arial"/>
        <family val="2"/>
      </rPr>
      <t>deceased</t>
    </r>
  </si>
  <si>
    <t>A)   Are you a Canadian citizen?</t>
  </si>
  <si>
    <t>1  No</t>
  </si>
  <si>
    <t xml:space="preserve">   Do not use this area</t>
  </si>
  <si>
    <t>Security options deduction
 (110(1)(d.))</t>
  </si>
  <si>
    <t xml:space="preserve">Note: There are a number of conditions to be met before the amount </t>
  </si>
  <si>
    <t>X $120</t>
  </si>
  <si>
    <t>X $400</t>
  </si>
  <si>
    <t>Line 234 minus line 235 (if negative enter "0").  If you have a spouse or common-law partner, see line 236 in the guide.</t>
  </si>
  <si>
    <r>
      <t xml:space="preserve">If </t>
    </r>
    <r>
      <rPr>
        <i/>
        <sz val="12"/>
        <color indexed="8"/>
        <rFont val="Arial"/>
        <family val="2"/>
      </rPr>
      <t>yes,</t>
    </r>
    <r>
      <rPr>
        <sz val="12"/>
        <color indexed="8"/>
        <rFont val="Arial"/>
        <family val="2"/>
      </rPr>
      <t xml:space="preserve"> attach a completed Form T1135.</t>
    </r>
  </si>
  <si>
    <t>MyTAX does NOT allow you to enter T4A(OAS) data directly to other sheets and forms and schedules</t>
  </si>
  <si>
    <t xml:space="preserve">You must enter your T4A(OAS) data into this form.  As your enter data, it is posted to the cells in the schedules and forms </t>
  </si>
  <si>
    <t>72</t>
  </si>
  <si>
    <t>73</t>
  </si>
  <si>
    <t xml:space="preserve">The data you enter below is collected up  with data from the other forms and allocated to the appropriate line of "Allocated Data". </t>
  </si>
  <si>
    <t>Enter this amount on line 349 of Schedule 1.</t>
  </si>
  <si>
    <t>Part C – Are you the person with the higher net income?</t>
  </si>
  <si>
    <t>See section 4) below for a list of the common data items and where to put them.</t>
  </si>
  <si>
    <t>They have boxes labeled according to what you will find on your paper "T" slip.</t>
  </si>
  <si>
    <t xml:space="preserve">sheet and find the line that is labeled (spreadsheet &amp; line #) for that data.  Enter your data into any one of the </t>
  </si>
  <si>
    <r>
      <t xml:space="preserve">Total premiums deducted: </t>
    </r>
    <r>
      <rPr>
        <b/>
        <sz val="9"/>
        <rFont val="Arial"/>
        <family val="2"/>
      </rPr>
      <t>Residents of other than Quebec</t>
    </r>
    <r>
      <rPr>
        <sz val="9"/>
        <rFont val="Arial"/>
        <family val="2"/>
      </rPr>
      <t xml:space="preserve"> (from box 18 and box 55 of all your T4 slips)</t>
    </r>
  </si>
  <si>
    <t>you would position the cursor to line 119 below, and then key in</t>
  </si>
  <si>
    <t>Line 6 minus line 7 (if negative, enter "0")</t>
  </si>
  <si>
    <t>2</t>
  </si>
  <si>
    <t>3</t>
  </si>
  <si>
    <t>4</t>
  </si>
  <si>
    <t>5</t>
  </si>
  <si>
    <t>6</t>
  </si>
  <si>
    <t>8</t>
  </si>
  <si>
    <t>where they are needed.  If you have more than one T4PS slip, then enter the amounts from each T4PS.</t>
  </si>
  <si>
    <t>If you have more than five T4A forms, you can add the data from the extra ones as a sum rather than a single #.</t>
  </si>
  <si>
    <t>Data is used only if you select the YES option on line 5844 of the QUAL spreadsheet</t>
  </si>
  <si>
    <t xml:space="preserve">return the data goes to.  The MISC sheet in MyTAX is a catch-all sheet for this type of data.  Go to the MISC </t>
  </si>
  <si>
    <t>white cells and MyTAX will send it to where it is needed.</t>
  </si>
  <si>
    <t>or an unlimited number of personal income tax planning scenarios.</t>
  </si>
  <si>
    <r>
      <t xml:space="preserve">Point them to our web site  </t>
    </r>
    <r>
      <rPr>
        <b/>
        <sz val="14"/>
        <color indexed="8"/>
        <rFont val="Arial"/>
        <family val="2"/>
      </rPr>
      <t>www.peeltech.ca</t>
    </r>
    <r>
      <rPr>
        <sz val="14"/>
        <color indexed="8"/>
        <rFont val="Arial"/>
        <family val="2"/>
      </rPr>
      <t xml:space="preserve">  so that they can download the latest copy.</t>
    </r>
  </si>
  <si>
    <t>I believe you will agree that MyTAX is the result of much development effort.</t>
  </si>
  <si>
    <r>
      <t xml:space="preserve">        </t>
    </r>
    <r>
      <rPr>
        <b/>
        <sz val="14"/>
        <color indexed="8"/>
        <rFont val="Arial"/>
        <family val="2"/>
      </rPr>
      <t xml:space="preserve">Peel Technologies, </t>
    </r>
    <r>
      <rPr>
        <sz val="14"/>
        <color indexed="8"/>
        <rFont val="Arial"/>
        <family val="2"/>
      </rPr>
      <t xml:space="preserve"> 11025 Miller Road, RR # 1, Dutton, Ontario, N0L 1J0</t>
    </r>
  </si>
  <si>
    <t>An update spreadsheet will allow you to update your spreadsheet without re-entering your data.</t>
  </si>
  <si>
    <r>
      <t>2)</t>
    </r>
    <r>
      <rPr>
        <sz val="14"/>
        <color indexed="8"/>
        <rFont val="Arial"/>
        <family val="2"/>
      </rPr>
      <t xml:space="preserve">  MyTAX opens with all the sheets showing in a scrollable tab list along the bottom of the screen.</t>
    </r>
  </si>
  <si>
    <r>
      <t xml:space="preserve">Multiply the amount on line 15 by the number of </t>
    </r>
    <r>
      <rPr>
        <b/>
        <sz val="12"/>
        <rFont val="Arial MT"/>
        <family val="0"/>
      </rPr>
      <t>weeks</t>
    </r>
    <r>
      <rPr>
        <sz val="12"/>
        <rFont val="Arial MT"/>
        <family val="0"/>
      </rPr>
      <t xml:space="preserve"> </t>
    </r>
  </si>
  <si>
    <t xml:space="preserve">       address, date of birth, and citizenship to Elections Canada for the National Register of Electors? </t>
  </si>
  <si>
    <t xml:space="preserve">For details, see "Should you be paying your taxes by  installments?" in the guide. </t>
  </si>
  <si>
    <r>
      <t>Total payable from line 435 of your return (</t>
    </r>
    <r>
      <rPr>
        <b/>
        <sz val="14"/>
        <color indexed="8"/>
        <rFont val="Arial"/>
        <family val="2"/>
      </rPr>
      <t>not including</t>
    </r>
    <r>
      <rPr>
        <sz val="14"/>
        <color indexed="8"/>
        <rFont val="Arial"/>
        <family val="2"/>
      </rPr>
      <t xml:space="preserve"> the amount on line 421)</t>
    </r>
  </si>
  <si>
    <t>Welcome to the data entry interface for your T5 slips.</t>
  </si>
  <si>
    <t>MyTAX does NOT allow you to enter T5 data directly to other sheets and forms and schedules</t>
  </si>
  <si>
    <t>Welcome to the data entry interface for your T4A(OAS) slips.</t>
  </si>
  <si>
    <t>where they are needed.  If you have more than one T4E slip, then enter the amounts from each T4E.</t>
  </si>
  <si>
    <t>(5digits)</t>
  </si>
  <si>
    <t>You must attach a copy of this schedule to your return.</t>
  </si>
  <si>
    <t>Maximum amount</t>
  </si>
  <si>
    <t xml:space="preserve">Basic exemption             </t>
  </si>
  <si>
    <t>CPP-QPP pensionable earnings</t>
  </si>
  <si>
    <t xml:space="preserve"> 5000-S8</t>
  </si>
  <si>
    <t>T776</t>
  </si>
  <si>
    <t>(If not from work or invention put on 14 above)</t>
  </si>
  <si>
    <t>Common Data Items &amp; Where to Put Them</t>
  </si>
  <si>
    <r>
      <t xml:space="preserve">line 5844 for the dependant.  If the dependant was age </t>
    </r>
    <r>
      <rPr>
        <b/>
        <sz val="12"/>
        <color indexed="8"/>
        <rFont val="Arial"/>
        <family val="2"/>
      </rPr>
      <t>18 or older,</t>
    </r>
    <r>
      <rPr>
        <sz val="12"/>
        <color indexed="8"/>
        <rFont val="Arial"/>
        <family val="2"/>
      </rPr>
      <t xml:space="preserve"> enter "0".</t>
    </r>
  </si>
  <si>
    <r>
      <t xml:space="preserve">the situation in </t>
    </r>
    <r>
      <rPr>
        <b/>
        <sz val="12"/>
        <rFont val="Arial MT"/>
        <family val="0"/>
      </rPr>
      <t>a)</t>
    </r>
    <r>
      <rPr>
        <sz val="12"/>
        <rFont val="Arial MT"/>
        <family val="0"/>
      </rPr>
      <t xml:space="preserve"> existed</t>
    </r>
  </si>
  <si>
    <r>
      <t xml:space="preserve">the situations in </t>
    </r>
    <r>
      <rPr>
        <b/>
        <sz val="12"/>
        <rFont val="Arial MT"/>
        <family val="0"/>
      </rPr>
      <t>b)</t>
    </r>
    <r>
      <rPr>
        <sz val="12"/>
        <rFont val="Arial MT"/>
        <family val="0"/>
      </rPr>
      <t xml:space="preserve"> to </t>
    </r>
    <r>
      <rPr>
        <b/>
        <sz val="12"/>
        <rFont val="Arial MT"/>
        <family val="0"/>
      </rPr>
      <t>f)</t>
    </r>
    <r>
      <rPr>
        <sz val="12"/>
        <rFont val="Arial MT"/>
        <family val="0"/>
      </rPr>
      <t xml:space="preserve"> existed</t>
    </r>
  </si>
  <si>
    <t>191</t>
  </si>
  <si>
    <t>192</t>
  </si>
  <si>
    <t>197</t>
  </si>
  <si>
    <t>199</t>
  </si>
  <si>
    <t>Net gain only</t>
  </si>
  <si>
    <r>
      <t xml:space="preserve">       Gain only</t>
    </r>
    <r>
      <rPr>
        <b/>
        <sz val="12"/>
        <color indexed="8"/>
        <rFont val="Arial"/>
        <family val="2"/>
      </rPr>
      <t xml:space="preserve"> </t>
    </r>
    <r>
      <rPr>
        <sz val="12"/>
        <color indexed="8"/>
        <rFont val="Arial"/>
        <family val="2"/>
      </rPr>
      <t xml:space="preserve"> </t>
    </r>
  </si>
  <si>
    <t>(Report capital gains or losses shown on T5, T5013, T5013A, T4PS and T3 information slips on line 174 or 176.)</t>
  </si>
  <si>
    <t>4.  Real estate, depreciable  property, and other properties</t>
  </si>
  <si>
    <t xml:space="preserve">Address or legal description                              </t>
  </si>
  <si>
    <t>5.  Bonds, debentures, promissory notes, and other similar properties</t>
  </si>
  <si>
    <t>6.  Other mortgage foreclosures and conditional sales repossessions</t>
  </si>
  <si>
    <r>
      <t xml:space="preserve">7.  Personal-use property </t>
    </r>
    <r>
      <rPr>
        <sz val="12"/>
        <color indexed="8"/>
        <rFont val="Arial"/>
        <family val="2"/>
      </rPr>
      <t>(full description)</t>
    </r>
  </si>
  <si>
    <r>
      <t xml:space="preserve">8.  Listed personal property (LPP) </t>
    </r>
    <r>
      <rPr>
        <sz val="12"/>
        <color indexed="8"/>
        <rFont val="Arial"/>
        <family val="2"/>
      </rPr>
      <t>(full description)</t>
    </r>
  </si>
  <si>
    <t>If you have more than five T4PS forms, you can add the data from the extra ones as a sum rather than a single #.</t>
  </si>
  <si>
    <t>Data
T4PS #1</t>
  </si>
  <si>
    <t>Data
T4PS #2</t>
  </si>
  <si>
    <t>Data
T4PS #3</t>
  </si>
  <si>
    <t>Data
T4PS #4</t>
  </si>
  <si>
    <t>Data
T4A(OAS) #2</t>
  </si>
  <si>
    <t>Data
T4A(OAS) #3</t>
  </si>
  <si>
    <t>Data
T4A(OAS) #4</t>
  </si>
  <si>
    <t>Data
T4A(OAS) #5</t>
  </si>
  <si>
    <t xml:space="preserve">enter it for those lines into this form on the appropriate line number.  </t>
  </si>
  <si>
    <t>Caregiver amount</t>
  </si>
  <si>
    <t>Disability amount</t>
  </si>
  <si>
    <t>Tax on base amount</t>
  </si>
  <si>
    <t xml:space="preserve">Enter this amount on line 326 of your Schedule 1. </t>
  </si>
  <si>
    <t>Age Amount</t>
  </si>
  <si>
    <r>
      <t>Attach a copy of this schedule to your return.</t>
    </r>
    <r>
      <rPr>
        <sz val="12"/>
        <color indexed="8"/>
        <rFont val="Arial"/>
        <family val="2"/>
      </rPr>
      <t xml:space="preserve">  See line 326 in the guide for more information.</t>
    </r>
  </si>
  <si>
    <t>For internal use only</t>
  </si>
  <si>
    <r>
      <t xml:space="preserve">Allowable amount of medical expenses for </t>
    </r>
    <r>
      <rPr>
        <b/>
        <sz val="11.5"/>
        <color indexed="8"/>
        <rFont val="Arial"/>
        <family val="2"/>
      </rPr>
      <t>other dependents</t>
    </r>
    <r>
      <rPr>
        <sz val="11.5"/>
        <color indexed="8"/>
        <rFont val="Arial"/>
        <family val="2"/>
      </rPr>
      <t xml:space="preserve">
(see calculation at line 331 in the guide and </t>
    </r>
    <r>
      <rPr>
        <b/>
        <sz val="11.5"/>
        <color indexed="8"/>
        <rFont val="Arial"/>
        <family val="2"/>
      </rPr>
      <t>attach</t>
    </r>
    <r>
      <rPr>
        <sz val="11.5"/>
        <color indexed="8"/>
        <rFont val="Arial"/>
        <family val="2"/>
      </rPr>
      <t xml:space="preserve"> Schedule 5)</t>
    </r>
  </si>
  <si>
    <r>
      <t>Overseas employment tax credit (</t>
    </r>
    <r>
      <rPr>
        <b/>
        <sz val="12"/>
        <color indexed="8"/>
        <rFont val="Arial"/>
        <family val="2"/>
      </rPr>
      <t>attach</t>
    </r>
    <r>
      <rPr>
        <sz val="12"/>
        <color indexed="8"/>
        <rFont val="Arial"/>
        <family val="2"/>
      </rPr>
      <t xml:space="preserve"> Form T626)</t>
    </r>
  </si>
  <si>
    <r>
      <t>Total federal political contributions (</t>
    </r>
    <r>
      <rPr>
        <b/>
        <sz val="12"/>
        <color indexed="8"/>
        <rFont val="Arial"/>
        <family val="2"/>
      </rPr>
      <t>attach</t>
    </r>
    <r>
      <rPr>
        <sz val="12"/>
        <color indexed="8"/>
        <rFont val="Arial"/>
        <family val="2"/>
      </rPr>
      <t xml:space="preserve"> receipts)</t>
    </r>
  </si>
  <si>
    <r>
      <t>Investment tax credit (</t>
    </r>
    <r>
      <rPr>
        <b/>
        <sz val="12"/>
        <color indexed="8"/>
        <rFont val="Arial"/>
        <family val="2"/>
      </rPr>
      <t>attach</t>
    </r>
    <r>
      <rPr>
        <sz val="12"/>
        <color indexed="8"/>
        <rFont val="Arial"/>
        <family val="2"/>
      </rPr>
      <t xml:space="preserve"> Form T2038(IND))</t>
    </r>
  </si>
  <si>
    <t>c</t>
  </si>
  <si>
    <t xml:space="preserve">You must enter your T4E data into this form.  As your enter data, it is posted to the cells in the schedules and forms </t>
  </si>
  <si>
    <t>From Box 18 for T1 GEN-2</t>
  </si>
  <si>
    <t>you are missing and print them out on your local printer.</t>
  </si>
  <si>
    <t>3) Frequent Questions &amp; Comments</t>
  </si>
  <si>
    <t>any of the white cells in that row.</t>
  </si>
  <si>
    <r>
      <t>filing a return.</t>
    </r>
    <r>
      <rPr>
        <sz val="12"/>
        <rFont val="Arial MT"/>
        <family val="0"/>
      </rPr>
      <t xml:space="preserve">  Attach his or her information slips, but do not attach the return or schedules.</t>
    </r>
  </si>
  <si>
    <r>
      <t xml:space="preserve">Only the student must </t>
    </r>
    <r>
      <rPr>
        <sz val="12"/>
        <color indexed="8"/>
        <rFont val="Arial"/>
        <family val="2"/>
      </rPr>
      <t>complete this schedule. Use it to:</t>
    </r>
  </si>
  <si>
    <t>CPP - QPP Exempt</t>
  </si>
  <si>
    <t>EI Exempt</t>
  </si>
  <si>
    <t>PPIP Exempt</t>
  </si>
  <si>
    <t>Residents of Quebec, see line 375 in your tax guide.</t>
  </si>
  <si>
    <t>Line 306 - Amount for Infirm dependants age 18 or older</t>
  </si>
  <si>
    <t>Enter on line 306 of Schedule 1, the total amount claimed for all dependants.</t>
  </si>
  <si>
    <t>STATEMENT OF INCOME FROM A</t>
  </si>
  <si>
    <t>REGISTERED RETIREMENT INCOME FUND</t>
  </si>
  <si>
    <t>STATEMENT OF RRSP INCOME</t>
  </si>
  <si>
    <t>STATEMENT OF INVESTMENT INCOME</t>
  </si>
  <si>
    <t>STATEMENT OF EMPLOYEE PROFIT-SHARING</t>
  </si>
  <si>
    <t>Non-eligible retiring allowances</t>
  </si>
  <si>
    <t>Annuity Payments</t>
  </si>
  <si>
    <t>Payment because death of spouse: (Yes or No)</t>
  </si>
  <si>
    <t>Number of eligible children:</t>
  </si>
  <si>
    <r>
      <t xml:space="preserve">Enter any child care expenses that the </t>
    </r>
    <r>
      <rPr>
        <b/>
        <sz val="12"/>
        <rFont val="Arial MT"/>
        <family val="0"/>
      </rPr>
      <t xml:space="preserve">other person </t>
    </r>
    <r>
      <rPr>
        <sz val="12"/>
        <rFont val="Arial MT"/>
        <family val="0"/>
      </rPr>
      <t xml:space="preserve">(as described under "Who can claim child care </t>
    </r>
  </si>
  <si>
    <r>
      <t>If you have any</t>
    </r>
    <r>
      <rPr>
        <b/>
        <sz val="14"/>
        <color indexed="8"/>
        <rFont val="Arial"/>
        <family val="2"/>
      </rPr>
      <t xml:space="preserve"> additional data not included</t>
    </r>
    <r>
      <rPr>
        <sz val="14"/>
        <color indexed="8"/>
        <rFont val="Arial"/>
        <family val="2"/>
      </rPr>
      <t xml:space="preserve"> in the above sheets/forms, such as for T3, T4RIF,T4RSP,T5,T5013, T5008, T4A(P)</t>
    </r>
  </si>
  <si>
    <t xml:space="preserve">Caregiver amount </t>
  </si>
  <si>
    <r>
      <t xml:space="preserve">If the result is negative, you have a </t>
    </r>
    <r>
      <rPr>
        <b/>
        <sz val="12"/>
        <color indexed="8"/>
        <rFont val="Arial"/>
        <family val="2"/>
      </rPr>
      <t xml:space="preserve">refund.   </t>
    </r>
  </si>
  <si>
    <r>
      <t xml:space="preserve">If the result is positive, you have a </t>
    </r>
    <r>
      <rPr>
        <b/>
        <sz val="12"/>
        <color indexed="8"/>
        <rFont val="Arial"/>
        <family val="2"/>
      </rPr>
      <t xml:space="preserve">balance owing.   </t>
    </r>
  </si>
  <si>
    <t>Mailing address; Apt. No. - Street No.  Street name</t>
  </si>
  <si>
    <t>R.R.</t>
  </si>
  <si>
    <t>Tuition and education amounts transferred from a child</t>
  </si>
  <si>
    <t>Social benefits repayment (if you reported income on line 113, 119, or 146, see line 235 in the guide)</t>
  </si>
  <si>
    <t>MISC</t>
  </si>
  <si>
    <t>T5013</t>
  </si>
  <si>
    <t>Branch</t>
  </si>
  <si>
    <t>number</t>
  </si>
  <si>
    <t>Institution</t>
  </si>
  <si>
    <t>CCTB</t>
  </si>
  <si>
    <t>462</t>
  </si>
  <si>
    <t>Data
T3 #1</t>
  </si>
  <si>
    <t>Data
T3 #2</t>
  </si>
  <si>
    <t>Data
T3 #3</t>
  </si>
  <si>
    <t>Carrying charges (specify)</t>
  </si>
  <si>
    <t>Interest expenses (specify)</t>
  </si>
  <si>
    <t>Note:</t>
  </si>
  <si>
    <t xml:space="preserve">click the Excel "File" menu and then select Page Setup from the drop down list.  Under the Scale Printer </t>
  </si>
  <si>
    <t>you can choose "Adjust to:" and enter a specific scale factor or you can select the "Fit to:" radio button.</t>
  </si>
  <si>
    <t>STATEMENT OF EMPLOYMENT INSURANCE BENEFITS</t>
  </si>
  <si>
    <t xml:space="preserve">STATEMENT OF EMPLOYEE PROFIT-SHARING </t>
  </si>
  <si>
    <t>Residents of provinces or territories other than Quebec, see line 312 in your tax guide.</t>
  </si>
  <si>
    <t>450</t>
  </si>
  <si>
    <t>for whom the disability amount can be claimed *</t>
  </si>
  <si>
    <t>AB428</t>
  </si>
  <si>
    <t>Alberta tax</t>
  </si>
  <si>
    <t>Public transit pass</t>
  </si>
  <si>
    <t>Claimed</t>
  </si>
  <si>
    <t>You can find more information about completing these charts in the forms book.</t>
  </si>
  <si>
    <t>Taxable amount of dividends other than eligible dividends,
included on line 120, from taxable Canadian corporations</t>
  </si>
  <si>
    <r>
      <t xml:space="preserve">Taxable amount of dividends (eligible and other than eligible) from taxable
Canadian corporations (see the guide and </t>
    </r>
    <r>
      <rPr>
        <b/>
        <sz val="12"/>
        <color indexed="8"/>
        <rFont val="Arial"/>
        <family val="2"/>
      </rPr>
      <t>attach</t>
    </r>
    <r>
      <rPr>
        <sz val="12"/>
        <color indexed="8"/>
        <rFont val="Arial"/>
        <family val="2"/>
      </rPr>
      <t xml:space="preserve"> Schedule 4)</t>
    </r>
  </si>
  <si>
    <r>
      <t xml:space="preserve">Net partnership income: limited on non-active partners only  </t>
    </r>
    <r>
      <rPr>
        <b/>
        <sz val="12"/>
        <color indexed="8"/>
        <rFont val="Arial"/>
        <family val="2"/>
      </rPr>
      <t>(attach</t>
    </r>
    <r>
      <rPr>
        <sz val="12"/>
        <color indexed="8"/>
        <rFont val="Arial"/>
        <family val="2"/>
      </rPr>
      <t xml:space="preserve"> Schedule 4)</t>
    </r>
  </si>
  <si>
    <t>Add lines 144, 145, and 146
 (see line 250 in the guide).</t>
  </si>
  <si>
    <t>Add lines 101, 104 to 143, and 147.</t>
  </si>
  <si>
    <r>
      <t xml:space="preserve">RRSP deduction (see Schedule 7 and </t>
    </r>
    <r>
      <rPr>
        <b/>
        <sz val="12"/>
        <color indexed="8"/>
        <rFont val="Arial"/>
        <family val="2"/>
      </rPr>
      <t>attach</t>
    </r>
    <r>
      <rPr>
        <sz val="12"/>
        <color indexed="8"/>
        <rFont val="Arial"/>
        <family val="2"/>
      </rPr>
      <t xml:space="preserve"> receipts)</t>
    </r>
  </si>
  <si>
    <t>T2222</t>
  </si>
  <si>
    <t>WHAT'S NEW</t>
  </si>
  <si>
    <t>T1229</t>
  </si>
  <si>
    <r>
      <t>Balance owing</t>
    </r>
    <r>
      <rPr>
        <sz val="11"/>
        <color indexed="8"/>
        <rFont val="Arial"/>
        <family val="2"/>
      </rPr>
      <t xml:space="preserve"> (see line 485 in the guide)</t>
    </r>
  </si>
  <si>
    <t>Generally, we do not charge or refund a difference of $2 or less.</t>
  </si>
  <si>
    <r>
      <t>Direct deposit - Start or change</t>
    </r>
    <r>
      <rPr>
        <b/>
        <sz val="12"/>
        <color indexed="8"/>
        <rFont val="Arial"/>
        <family val="2"/>
      </rPr>
      <t xml:space="preserve"> (see line 484 in the guide)</t>
    </r>
  </si>
  <si>
    <t>UCCB</t>
  </si>
  <si>
    <t>Note: If the amount on line 1 is less than the amount on line 2, enter the amount from line 1 on line 340 below and continue</t>
  </si>
  <si>
    <t xml:space="preserve">  Do not use</t>
  </si>
  <si>
    <t xml:space="preserve">   this area</t>
  </si>
  <si>
    <t>Universal Child Care Benefit repayment (line 213 of your return)</t>
  </si>
  <si>
    <r>
      <t>Amount for an eligible dependent (</t>
    </r>
    <r>
      <rPr>
        <b/>
        <sz val="12"/>
        <color indexed="8"/>
        <rFont val="Arial"/>
        <family val="2"/>
      </rPr>
      <t>attach</t>
    </r>
    <r>
      <rPr>
        <sz val="12"/>
        <color indexed="8"/>
        <rFont val="Arial"/>
        <family val="2"/>
      </rPr>
      <t xml:space="preserve"> Schedule 5)  (if negative, enter "0")</t>
    </r>
  </si>
  <si>
    <t>his or her net income)</t>
  </si>
  <si>
    <t>Employee home relocation loan deduction (box 37 on all T4 Slips)</t>
  </si>
  <si>
    <t>territorial tax on Form 428</t>
  </si>
  <si>
    <t>Use your taxable income to calculate your federal tax on Schedule 1 and your provincial or</t>
  </si>
  <si>
    <r>
      <t xml:space="preserve">MyTAX does </t>
    </r>
    <r>
      <rPr>
        <b/>
        <sz val="14"/>
        <color indexed="8"/>
        <rFont val="Arial"/>
        <family val="2"/>
      </rPr>
      <t>NOT</t>
    </r>
    <r>
      <rPr>
        <sz val="14"/>
        <color indexed="8"/>
        <rFont val="Arial"/>
        <family val="2"/>
      </rPr>
      <t xml:space="preserve"> allow you to enter T4A data directly to other sheets and forms and schedules</t>
    </r>
  </si>
  <si>
    <t>where they are needed.  If you have more than one T4RIF slip, then enter the amounts from each T4RIF.</t>
  </si>
  <si>
    <t>The total 23958.89 will show in the box.  The cell status line will still show the individual amounts in the formula you entered.</t>
  </si>
  <si>
    <t>Field #</t>
  </si>
  <si>
    <r>
      <t xml:space="preserve">Enter, on line 5848 of Form AB428, the amount on line 3 or line 7, whichever is </t>
    </r>
    <r>
      <rPr>
        <b/>
        <sz val="12"/>
        <color indexed="8"/>
        <rFont val="Arial"/>
        <family val="2"/>
      </rPr>
      <t>less.</t>
    </r>
  </si>
  <si>
    <t>5920</t>
  </si>
  <si>
    <t>235</t>
  </si>
  <si>
    <t>422</t>
  </si>
  <si>
    <t>Allowable charitable donations and government gifts</t>
  </si>
  <si>
    <t xml:space="preserve"> [attach Schedule AB(S11)]</t>
  </si>
  <si>
    <t>[attach Schedule AB(S2)]</t>
  </si>
  <si>
    <t>Your guide contains valuable information to help you complete your return.</t>
  </si>
  <si>
    <t>Federal sheets background colour</t>
  </si>
  <si>
    <t>Spreadsheet Calculated Value</t>
  </si>
  <si>
    <r>
      <t xml:space="preserve">2. </t>
    </r>
    <r>
      <rPr>
        <sz val="14"/>
        <color indexed="8"/>
        <rFont val="Arial"/>
        <family val="2"/>
      </rPr>
      <t xml:space="preserve"> In the GO TO sheet, the User Data Status column shows whether a sheet has received user related data.</t>
    </r>
  </si>
  <si>
    <t xml:space="preserve">                                                                          AMOUNTS FROM A SPOUSAL OR </t>
  </si>
  <si>
    <t>(see line 5833 in the forms book)</t>
  </si>
  <si>
    <t>Your tuition and education amounts</t>
  </si>
  <si>
    <r>
      <t xml:space="preserve">  Credit calculated from line 6152 on the </t>
    </r>
    <r>
      <rPr>
        <i/>
        <sz val="12"/>
        <color indexed="8"/>
        <rFont val="Arial"/>
        <family val="2"/>
      </rPr>
      <t>Provincial Worksheet</t>
    </r>
  </si>
  <si>
    <t>Your name</t>
  </si>
  <si>
    <t>Social insurance number</t>
  </si>
  <si>
    <t>Total of amounts your dependant can claim on lines 5804 to 5840 of his or her Form AB428</t>
  </si>
  <si>
    <t>Enter net income from item 9946 on line 143 of T1 GEN-2-3-4 sheet of MyTAX</t>
  </si>
  <si>
    <t xml:space="preserve">Enter bottom line from form T626 into </t>
  </si>
  <si>
    <t>(If you have values for line above, you must complete form in T4040</t>
  </si>
  <si>
    <t>See line 207 in your tax guide.  Obtain paper guide T4040.</t>
  </si>
  <si>
    <t>Adoption expenses</t>
  </si>
  <si>
    <t>Maximum amount of</t>
  </si>
  <si>
    <t>Alberta income tax rate</t>
  </si>
  <si>
    <t>465</t>
  </si>
  <si>
    <t>466</t>
  </si>
  <si>
    <t xml:space="preserve"> For example, if you have the following amounts in three box 16's:  21500.00, 1467.33, 991.56, </t>
  </si>
  <si>
    <t>Data
T4A # 1</t>
  </si>
  <si>
    <t>Data
T4A # 2</t>
  </si>
  <si>
    <t>Data
T4A # 3</t>
  </si>
  <si>
    <t>Data
T4A # 4</t>
  </si>
  <si>
    <t>Data
T4A # 5</t>
  </si>
  <si>
    <t>Footnote codes</t>
  </si>
  <si>
    <t>Pension or Superannuation</t>
  </si>
  <si>
    <t>Lump-sum payments</t>
  </si>
  <si>
    <t>Income Tax deducted</t>
  </si>
  <si>
    <t>Eligible retiring allowances</t>
  </si>
  <si>
    <t>Patronage allocations</t>
  </si>
  <si>
    <t>Registered Pension plan contributions (past service)</t>
  </si>
  <si>
    <t>RESP accumulated income payments</t>
  </si>
  <si>
    <t>RESP educational assistance payments</t>
  </si>
  <si>
    <t>=</t>
  </si>
  <si>
    <t>Line 4 (in Part B)</t>
  </si>
  <si>
    <t>Refund of Premiums</t>
  </si>
  <si>
    <t>Schedules &amp; Forms</t>
  </si>
  <si>
    <t>Transfers, and HBP or LLP Activities</t>
  </si>
  <si>
    <t xml:space="preserve"> RRSPs in the two preceding years, and included in income for one of those two preceding years.</t>
  </si>
  <si>
    <t>7. Enter the amount from line 1.</t>
  </si>
  <si>
    <t xml:space="preserve"> For example, if you have the following amounts in three box 14's:  21500.00, 1467.33, 991.56, </t>
  </si>
  <si>
    <r>
      <t xml:space="preserve">Enter your </t>
    </r>
    <r>
      <rPr>
        <b/>
        <sz val="12"/>
        <color indexed="8"/>
        <rFont val="Arial"/>
        <family val="2"/>
      </rPr>
      <t>taxable income</t>
    </r>
    <r>
      <rPr>
        <sz val="12"/>
        <color indexed="8"/>
        <rFont val="Arial"/>
        <family val="2"/>
      </rPr>
      <t xml:space="preserve"> from line 260 of your return</t>
    </r>
  </si>
  <si>
    <r>
      <t>This is your</t>
    </r>
    <r>
      <rPr>
        <b/>
        <sz val="12"/>
        <color indexed="8"/>
        <rFont val="Arial"/>
        <family val="2"/>
      </rPr>
      <t xml:space="preserve"> net income before adjustments. </t>
    </r>
  </si>
  <si>
    <t>Data
T5007 #4</t>
  </si>
  <si>
    <t>Data
T5007 #5</t>
  </si>
  <si>
    <t>STATEMENT OF BENEFITS</t>
  </si>
  <si>
    <t>Base amount</t>
  </si>
  <si>
    <t>Line 2 minus line 3</t>
  </si>
  <si>
    <t>Do not</t>
  </si>
  <si>
    <t>use this area</t>
  </si>
  <si>
    <t>7</t>
  </si>
  <si>
    <t>Report code</t>
  </si>
  <si>
    <t>144,250</t>
  </si>
  <si>
    <t>145,250</t>
  </si>
  <si>
    <t>145</t>
  </si>
  <si>
    <t>TAKE IT FROM APPROPRIATE MISC CELL.</t>
  </si>
  <si>
    <t>THIS SUMMARY DATA IS PICKED UP</t>
  </si>
  <si>
    <t>BY THE MISC SHEET.</t>
  </si>
  <si>
    <t>completing the schedule from line 340.</t>
  </si>
  <si>
    <r>
      <t xml:space="preserve">(from Chart 1 in Pamphlet P113 </t>
    </r>
    <r>
      <rPr>
        <i/>
        <sz val="12"/>
        <color indexed="8"/>
        <rFont val="Arial"/>
        <family val="2"/>
      </rPr>
      <t>Gifts and Income Tax</t>
    </r>
    <r>
      <rPr>
        <sz val="12"/>
        <color indexed="8"/>
        <rFont val="Arial"/>
        <family val="2"/>
      </rPr>
      <t>)</t>
    </r>
  </si>
  <si>
    <t>even if you did not pay child care expenses for all of them.</t>
  </si>
  <si>
    <t xml:space="preserve"> or overnight camps</t>
  </si>
  <si>
    <t>boarding schools</t>
  </si>
  <si>
    <t xml:space="preserve">     to continue for an indefinite period. Attach a statement from the attending physician certifying this information.</t>
  </si>
  <si>
    <r>
      <t>1.</t>
    </r>
    <r>
      <rPr>
        <sz val="14"/>
        <color indexed="8"/>
        <rFont val="Arial"/>
        <family val="2"/>
      </rPr>
      <t xml:space="preserve">  Forms and Schedules are available by scrolling the tab bar on the lower part of the screen </t>
    </r>
  </si>
  <si>
    <t>Maximum transferable</t>
  </si>
  <si>
    <t>Multiply the amount on line 4 by 15%</t>
  </si>
  <si>
    <t>NS479</t>
  </si>
  <si>
    <t>Canada Pension Plan or Quebec Pension Plan contributions:</t>
  </si>
  <si>
    <t>T2205</t>
  </si>
  <si>
    <t>T3012A</t>
  </si>
  <si>
    <t>Interest paid on your student loans</t>
  </si>
  <si>
    <t>Taxable amount of dividends other than eligible dividends (specify):</t>
  </si>
  <si>
    <t>Taxable amount of eligible dividends (specify):</t>
  </si>
  <si>
    <t>Federal dividend tax credit ( see line 425 in the guide)</t>
  </si>
  <si>
    <t>Federal tax on split income (from line 5 of Form T1206)</t>
  </si>
  <si>
    <t>405</t>
  </si>
  <si>
    <t>you must set the option for line 306  to YES on the QUAL sheet</t>
  </si>
  <si>
    <t>Line 301 - Age Amount</t>
  </si>
  <si>
    <t>Maximum Claim</t>
  </si>
  <si>
    <t>See the guide to find out if you can claim an amount on line 305, 306, or 315 and/or 331 of Schedule 1.  To calculate the amount you</t>
  </si>
  <si>
    <t>6795</t>
  </si>
  <si>
    <t xml:space="preserve"> (5)</t>
  </si>
  <si>
    <t>Year of</t>
  </si>
  <si>
    <t>Proceeds of</t>
  </si>
  <si>
    <t>Outlays &amp; expenses</t>
  </si>
  <si>
    <t>Taxable Income</t>
  </si>
  <si>
    <t>Transfer / Carry forward of unused amount</t>
  </si>
  <si>
    <t>Total unused amount</t>
  </si>
  <si>
    <t>I -</t>
  </si>
  <si>
    <t>II -</t>
  </si>
  <si>
    <t>III -</t>
  </si>
  <si>
    <t>Provincial Worksheet</t>
  </si>
  <si>
    <t>T1 General</t>
  </si>
  <si>
    <t>Line 1 minus  $2,000 (if negative, enter "0")</t>
  </si>
  <si>
    <t>Contributions through employment</t>
  </si>
  <si>
    <t>lots of polaver here</t>
  </si>
  <si>
    <t>kicks in from 431, 433 - maybe</t>
  </si>
  <si>
    <t xml:space="preserve">Rental Income </t>
  </si>
  <si>
    <t>Income Tax Deducted</t>
  </si>
  <si>
    <t>BC428</t>
  </si>
  <si>
    <t>T1 General worksheet etc.   Values needed across schedules are automatically transferred / posted.</t>
  </si>
  <si>
    <t>Line 1 minus line 4</t>
  </si>
  <si>
    <t>Base Amount</t>
  </si>
  <si>
    <t>f) You and your spouse or common-law partner were, due to a breakdown in your relationship, living separate and apart at the</t>
  </si>
  <si>
    <r>
      <t xml:space="preserve">a) T4 Slips:    </t>
    </r>
    <r>
      <rPr>
        <sz val="14"/>
        <color indexed="8"/>
        <rFont val="Arial"/>
        <family val="2"/>
      </rPr>
      <t xml:space="preserve">  Input sheet labeled T4.  Match up the paper slip box #'s with the line of the input form</t>
    </r>
  </si>
  <si>
    <t>Part1,1</t>
  </si>
  <si>
    <t xml:space="preserve"> 5000-S11</t>
  </si>
  <si>
    <t>Your net income from line 236 of your return</t>
  </si>
  <si>
    <t>PE WRK</t>
  </si>
  <si>
    <t>PE(S2)</t>
  </si>
  <si>
    <t>PE(S11)</t>
  </si>
  <si>
    <t>Limited partnership losses of other years</t>
  </si>
  <si>
    <t>Non-capital losses of other years</t>
  </si>
  <si>
    <t>Line 1</t>
  </si>
  <si>
    <t>Line 2</t>
  </si>
  <si>
    <t>Line 3</t>
  </si>
  <si>
    <t>Maximum amount of total</t>
  </si>
  <si>
    <t>CPP Pensionable earnings</t>
  </si>
  <si>
    <t>basic CPP Exemption</t>
  </si>
  <si>
    <t xml:space="preserve">  Amount from line 427 on federal Schedule 1</t>
  </si>
  <si>
    <t>Alberta political contribution tax credit</t>
  </si>
  <si>
    <t>Your spouse's or common-law partner's name</t>
  </si>
  <si>
    <t>Part 1 -- RRSPs</t>
  </si>
  <si>
    <t>living separate and apart from each other at the end of the year and for a period of 90 days commencing in the year.</t>
  </si>
  <si>
    <t>You and your spouse or common-law partner are residents of Canada on December 31 of the year.</t>
  </si>
  <si>
    <t>You received pension income in the year that qualifies for the pension income amount (see line 314 in the guide).</t>
  </si>
  <si>
    <t>C</t>
  </si>
  <si>
    <t>Maximum split-pension amount (multiply the amount on line C by 50%.)</t>
  </si>
  <si>
    <t>Enter the amount from line B if it applies; otherwise enter the amount from line A.</t>
  </si>
  <si>
    <t xml:space="preserve"> Last name</t>
  </si>
  <si>
    <t xml:space="preserve"> Home address</t>
  </si>
  <si>
    <t>Step 2: Calculation of the maximum split-pension amount</t>
  </si>
  <si>
    <t>6803</t>
  </si>
  <si>
    <t>living common-law by completing the calculation for line B below. Otherwise, enter the amount from line A on line C.</t>
  </si>
  <si>
    <t>Manitoba Credit Fraction</t>
  </si>
  <si>
    <t>explanation at that line.</t>
  </si>
  <si>
    <t>Enter this value directly into line 6130 of MB479 sheet following the</t>
  </si>
  <si>
    <t>6130</t>
  </si>
  <si>
    <t>Line 16 minus line 17 (if negative, enter "0")</t>
  </si>
  <si>
    <t>Alberta non-refundable tax credits</t>
  </si>
  <si>
    <t>Specify:</t>
  </si>
  <si>
    <t>Amount for infirm dependants age 18 or older</t>
  </si>
  <si>
    <t>CPP or QPP contributions:</t>
  </si>
  <si>
    <r>
      <t>6.</t>
    </r>
    <r>
      <rPr>
        <sz val="14"/>
        <color indexed="8"/>
        <rFont val="Arial"/>
        <family val="2"/>
      </rPr>
      <t xml:space="preserve">  Unless otherwise noted, calculated values are automatically inserted where needed such as into the </t>
    </r>
  </si>
  <si>
    <r>
      <t>1.</t>
    </r>
    <r>
      <rPr>
        <sz val="14"/>
        <rFont val="Arial MT"/>
        <family val="0"/>
      </rPr>
      <t xml:space="preserve">  You may want/need to change the printing scale of a sheet to better match the size of your printer.  To do this</t>
    </r>
  </si>
  <si>
    <t xml:space="preserve">Net capital losses of other years </t>
  </si>
  <si>
    <t>Capital gains deduction</t>
  </si>
  <si>
    <t>(Allowable entries are: Yes or No)</t>
  </si>
  <si>
    <t xml:space="preserve"> For example, if you have the following amounts in three box 10's:  21500.00, 1467.33, 991.56, </t>
  </si>
  <si>
    <t>4. Enter  the total amount that your spouse or common-law partner contributed to your RRSPs in the</t>
  </si>
  <si>
    <t>5. Enter the portion of the line 4 amount that your spouse or common-law partner contributed to your</t>
  </si>
  <si>
    <t>Line 306, 315 and/or 331 - Attach a separate sheet of paper if you need more space.</t>
  </si>
  <si>
    <t>Birth</t>
  </si>
  <si>
    <t>charitable donations shown on your T4 and T4A slips.  See line 349 in the guide for more information.</t>
  </si>
  <si>
    <t>Provincial Tuition and Educational Amounts</t>
  </si>
  <si>
    <t>Contributor spouse or</t>
  </si>
  <si>
    <r>
      <t xml:space="preserve">common-law partner: </t>
    </r>
    <r>
      <rPr>
        <sz val="14"/>
        <color indexed="8"/>
        <rFont val="Arial"/>
        <family val="2"/>
      </rPr>
      <t>(Yes or No)</t>
    </r>
  </si>
  <si>
    <r>
      <t xml:space="preserve">Only the student </t>
    </r>
    <r>
      <rPr>
        <sz val="13"/>
        <color indexed="8"/>
        <rFont val="Arial"/>
        <family val="2"/>
      </rPr>
      <t xml:space="preserve">can complete this federal schedule and </t>
    </r>
    <r>
      <rPr>
        <b/>
        <sz val="13"/>
        <color indexed="8"/>
        <rFont val="Arial"/>
        <family val="2"/>
      </rPr>
      <t>attach</t>
    </r>
    <r>
      <rPr>
        <sz val="13"/>
        <color indexed="8"/>
        <rFont val="Arial"/>
        <family val="2"/>
      </rPr>
      <t xml:space="preserve"> it to his or her return.  Use it to:</t>
    </r>
  </si>
  <si>
    <r>
      <t xml:space="preserve"> </t>
    </r>
    <r>
      <rPr>
        <sz val="13"/>
        <color indexed="8"/>
        <rFont val="Arial"/>
        <family val="2"/>
      </rPr>
      <t>●</t>
    </r>
    <r>
      <rPr>
        <sz val="13"/>
        <color indexed="8"/>
        <rFont val="Arial"/>
        <family val="2"/>
      </rPr>
      <t xml:space="preserve"> calculate your tuition, education, and textbook amounts;</t>
    </r>
  </si>
  <si>
    <r>
      <t xml:space="preserve"> </t>
    </r>
    <r>
      <rPr>
        <sz val="13"/>
        <color indexed="8"/>
        <rFont val="Arial"/>
        <family val="2"/>
      </rPr>
      <t>●</t>
    </r>
    <r>
      <rPr>
        <sz val="13"/>
        <color indexed="8"/>
        <rFont val="Arial"/>
        <family val="2"/>
      </rPr>
      <t xml:space="preserve"> determine the amount available to transfer to a designated individual; and</t>
    </r>
  </si>
  <si>
    <r>
      <t xml:space="preserve"> </t>
    </r>
    <r>
      <rPr>
        <sz val="13"/>
        <color indexed="8"/>
        <rFont val="Arial"/>
        <family val="2"/>
      </rPr>
      <t>●</t>
    </r>
    <r>
      <rPr>
        <sz val="13"/>
        <color indexed="8"/>
        <rFont val="Arial"/>
        <family val="2"/>
      </rPr>
      <t xml:space="preserve"> determine the unused amount, if any, available for you to carry forward to a future year.</t>
    </r>
  </si>
  <si>
    <t>Only one claim per month (maximum 12 months)</t>
  </si>
  <si>
    <t>Education amount:</t>
  </si>
  <si>
    <t>Textbook amount:</t>
  </si>
  <si>
    <t>X  $20</t>
  </si>
  <si>
    <t>and TL11C.</t>
  </si>
  <si>
    <t xml:space="preserve">number of months from column C </t>
  </si>
  <si>
    <t xml:space="preserve">number of months from column B </t>
  </si>
  <si>
    <r>
      <t xml:space="preserve">number of months from column </t>
    </r>
    <r>
      <rPr>
        <b/>
        <sz val="13"/>
        <color indexed="8"/>
        <rFont val="Arial"/>
        <family val="2"/>
      </rPr>
      <t>B</t>
    </r>
    <r>
      <rPr>
        <sz val="13"/>
        <color indexed="8"/>
        <rFont val="Arial"/>
        <family val="2"/>
      </rPr>
      <t xml:space="preserve"> </t>
    </r>
  </si>
  <si>
    <t>X  $65</t>
  </si>
  <si>
    <t xml:space="preserve">Total available tuition, education, and textbook amounts:  add lines 1 and 9. </t>
  </si>
  <si>
    <t>Line11 minus line 12 (if negative, enter "0")</t>
  </si>
  <si>
    <r>
      <t xml:space="preserve">Amount from line 1 or line 13, whichever is </t>
    </r>
    <r>
      <rPr>
        <b/>
        <sz val="13"/>
        <color indexed="8"/>
        <rFont val="Arial"/>
        <family val="2"/>
      </rPr>
      <t>less</t>
    </r>
    <r>
      <rPr>
        <sz val="13"/>
        <color indexed="8"/>
        <rFont val="Arial"/>
        <family val="2"/>
      </rPr>
      <t xml:space="preserve"> </t>
    </r>
  </si>
  <si>
    <r>
      <t xml:space="preserve">Amount from line 9 or line 15, whichever is </t>
    </r>
    <r>
      <rPr>
        <b/>
        <sz val="13"/>
        <color indexed="8"/>
        <rFont val="Arial"/>
        <family val="2"/>
      </rPr>
      <t>less</t>
    </r>
    <r>
      <rPr>
        <sz val="13"/>
        <color indexed="8"/>
        <rFont val="Arial"/>
        <family val="2"/>
      </rPr>
      <t xml:space="preserve"> </t>
    </r>
  </si>
  <si>
    <r>
      <t xml:space="preserve">and TL11C.  </t>
    </r>
    <r>
      <rPr>
        <b/>
        <sz val="13"/>
        <color indexed="8"/>
        <rFont val="Arial"/>
        <family val="2"/>
      </rPr>
      <t>Do not include any month that is also included in column C.</t>
    </r>
  </si>
  <si>
    <t>Line 13 minus line 14</t>
  </si>
  <si>
    <t>Deduction for CPP or QPP contributions on self-employment and other earnings</t>
  </si>
  <si>
    <t>Other employment expenses</t>
  </si>
  <si>
    <t>Sheet
Name</t>
  </si>
  <si>
    <r>
      <t xml:space="preserve">The </t>
    </r>
    <r>
      <rPr>
        <b/>
        <sz val="12"/>
        <rFont val="Arial MT"/>
        <family val="0"/>
      </rPr>
      <t>User Data</t>
    </r>
    <r>
      <rPr>
        <sz val="12"/>
        <rFont val="Arial MT"/>
        <family val="0"/>
      </rPr>
      <t xml:space="preserve"> field has a status of YES when the sheet has received data</t>
    </r>
  </si>
  <si>
    <t>Line 315 - Caregiver amount</t>
  </si>
  <si>
    <t xml:space="preserve">    </t>
  </si>
  <si>
    <t>We welcome your suggestions on ways to improve MyTAX.</t>
  </si>
  <si>
    <t xml:space="preserve">     </t>
  </si>
  <si>
    <t>MyTAX does NOT allow you to enter T3 data directly to other sheets and forms and schedules</t>
  </si>
  <si>
    <r>
      <t>Transfers</t>
    </r>
    <r>
      <rPr>
        <sz val="12"/>
        <color indexed="8"/>
        <rFont val="Arial"/>
        <family val="2"/>
      </rPr>
      <t xml:space="preserve"> (see "Line 11 -Transfers" at line 208 in the guide)</t>
    </r>
  </si>
  <si>
    <t>PART D - RRSP unused contributions available to carry forward</t>
  </si>
  <si>
    <t>If you have more than five T5 forms, you can add the data from the extra ones as a sum rather than a single #.</t>
  </si>
  <si>
    <t>Data
T5 #1</t>
  </si>
  <si>
    <t>S2</t>
  </si>
  <si>
    <t>S11</t>
  </si>
  <si>
    <t>S479</t>
  </si>
  <si>
    <t xml:space="preserve">Total amount forfeited </t>
  </si>
  <si>
    <t>due to withdrawal from plan</t>
  </si>
  <si>
    <r>
      <t xml:space="preserve">Capital gains or losses            </t>
    </r>
    <r>
      <rPr>
        <sz val="14"/>
        <color indexed="8"/>
        <rFont val="Arial"/>
        <family val="2"/>
      </rPr>
      <t xml:space="preserve"> Sch3</t>
    </r>
  </si>
  <si>
    <t>that sheet applies to your situation.  Then you have to fill out the remainder of Schedule 7</t>
  </si>
  <si>
    <r>
      <t>b) RRSP contribution data:</t>
    </r>
    <r>
      <rPr>
        <sz val="14"/>
        <color indexed="8"/>
        <rFont val="Arial"/>
        <family val="2"/>
      </rPr>
      <t xml:space="preserve">      First white cell at the top of Schedule 7 unless one of the conditions at the top of </t>
    </r>
  </si>
  <si>
    <t>Data
T3 #4</t>
  </si>
  <si>
    <t>At some time as you enter the data for the person, do a SAVE AS  to a file named after the person.</t>
  </si>
  <si>
    <t>From Box 20 for T1 GEN-3</t>
  </si>
  <si>
    <t>From Box 16 for FED WRK</t>
  </si>
  <si>
    <t>Amount from box 15 if the</t>
  </si>
  <si>
    <t>Multiply the amount on line 3 by 30%</t>
  </si>
  <si>
    <t>from box 30 (if negative, enter "0")</t>
  </si>
  <si>
    <t>Amount from box 15 minus the amount</t>
  </si>
  <si>
    <t>repayment rate in box 7 is 30%</t>
  </si>
  <si>
    <t>Maximum supplement</t>
  </si>
  <si>
    <t>Data
T5007 #1</t>
  </si>
  <si>
    <t>Data
T5007 #2</t>
  </si>
  <si>
    <t>Data
T5007 #3</t>
  </si>
  <si>
    <t>you would position the cursor to one of the data entry boxes for line 101 below, and then key in</t>
  </si>
  <si>
    <t>135</t>
  </si>
  <si>
    <t>146</t>
  </si>
  <si>
    <t>173</t>
  </si>
  <si>
    <t>176</t>
  </si>
  <si>
    <t>229</t>
  </si>
  <si>
    <r>
      <t xml:space="preserve">5. </t>
    </r>
    <r>
      <rPr>
        <sz val="14"/>
        <color indexed="8"/>
        <rFont val="Arial"/>
        <family val="2"/>
      </rPr>
      <t>You can customize MyTAX by linking data items in your own separate spreadsheets to MyTAX cells and vice versa.</t>
    </r>
  </si>
  <si>
    <r>
      <t>6.</t>
    </r>
    <r>
      <rPr>
        <sz val="14"/>
        <color indexed="8"/>
        <rFont val="Arial"/>
        <family val="2"/>
      </rPr>
      <t xml:space="preserve">  You can customize MyTAX by inserting your own spreadsheet(s) to do calculations specific to your needs, </t>
    </r>
  </si>
  <si>
    <t>Social Insurance number</t>
  </si>
  <si>
    <t>38</t>
  </si>
  <si>
    <t>40</t>
  </si>
  <si>
    <t>Gross</t>
  </si>
  <si>
    <t>README</t>
  </si>
  <si>
    <t>THIS SHEET IS UNDER CONTSTRUCTION.  DO NOT USE.  ENTER T3 DATA DIRECTLY ON MISC SHEET</t>
  </si>
  <si>
    <t>THIS SHEET IS UNDER CONSTRUCTION.  DO NOT USE.  ENTER T5 DATA DIRECTLY ON MISC SHEET</t>
  </si>
  <si>
    <t>Telephone:</t>
  </si>
  <si>
    <t>Part D does not apply to the person with the lower net income since the other person will claim this part of the deduction for both of them.</t>
  </si>
  <si>
    <t>316 set the option for line 316 to YES on the QUAL sheet</t>
  </si>
  <si>
    <t>Note: For the amount in 6 above to be transferred to line</t>
  </si>
  <si>
    <t>Note:  For the amount above to be transferred to line 315</t>
  </si>
  <si>
    <t xml:space="preserve">Printing </t>
  </si>
  <si>
    <t>Name of employee profit-sharing plan</t>
  </si>
  <si>
    <t>Amount</t>
  </si>
  <si>
    <t>5868</t>
  </si>
  <si>
    <t>25</t>
  </si>
  <si>
    <t>27</t>
  </si>
  <si>
    <t>28</t>
  </si>
  <si>
    <t>29</t>
  </si>
  <si>
    <t>5006-R</t>
  </si>
  <si>
    <t>Please answer the following question</t>
  </si>
  <si>
    <t xml:space="preserve">Amount for an eligible dependant </t>
  </si>
  <si>
    <r>
      <t xml:space="preserve">c) Spouse or common-law partner name, social insurance # and income.      </t>
    </r>
    <r>
      <rPr>
        <sz val="14"/>
        <color indexed="8"/>
        <rFont val="Arial"/>
        <family val="2"/>
      </rPr>
      <t>Top right section of T1 GEN-1 sheet</t>
    </r>
  </si>
  <si>
    <t>4) Common Data Items &amp; Where to Put Them</t>
  </si>
  <si>
    <t>Add lines 2 and 3</t>
  </si>
  <si>
    <t>Capital Gains</t>
  </si>
  <si>
    <t>Lump-sum pension benefits</t>
  </si>
  <si>
    <t xml:space="preserve">Total CPP pensionable earnings (box 26, or , if blank, box 14 of your T4 slips) </t>
  </si>
  <si>
    <t>Basic CPP exemption</t>
  </si>
  <si>
    <t>(maximum  $ 3,500)</t>
  </si>
  <si>
    <t>Earnings subject to contribution (if negative, enter "0")</t>
  </si>
  <si>
    <t>42</t>
  </si>
  <si>
    <t>102</t>
  </si>
  <si>
    <t>44</t>
  </si>
  <si>
    <t>212</t>
  </si>
  <si>
    <t>46</t>
  </si>
  <si>
    <t>52</t>
  </si>
  <si>
    <t>206</t>
  </si>
  <si>
    <t>53</t>
  </si>
  <si>
    <t>Deferred stock option benefits</t>
  </si>
  <si>
    <t>6520</t>
  </si>
  <si>
    <t>Add lines 1 and 2</t>
  </si>
  <si>
    <t xml:space="preserve">     Repayment under the HBP</t>
  </si>
  <si>
    <t xml:space="preserve">     Repayment under the LLP</t>
  </si>
  <si>
    <t>(box 52 on all T4 slips and box 34 on all T4A slips)</t>
  </si>
  <si>
    <t>infirmity for whom the disability amount cannot be claimed)</t>
  </si>
  <si>
    <t>Deduction and tax credit for CPP contributions on self-employment and other earnings:</t>
  </si>
  <si>
    <t>314-2</t>
  </si>
  <si>
    <t>Registered pension plan deduction (box 20 on all T4 slips and box 32 on all T4A slips)</t>
  </si>
  <si>
    <t>Non-resident tax deducted</t>
  </si>
  <si>
    <r>
      <t>Additional tax on RESP accumulated income payments (</t>
    </r>
    <r>
      <rPr>
        <b/>
        <sz val="12"/>
        <color indexed="8"/>
        <rFont val="Arial"/>
        <family val="2"/>
      </rPr>
      <t>attach</t>
    </r>
    <r>
      <rPr>
        <sz val="12"/>
        <color indexed="8"/>
        <rFont val="Arial"/>
        <family val="2"/>
      </rPr>
      <t xml:space="preserve"> Form T1172)</t>
    </r>
  </si>
  <si>
    <t>Workers' compensation benefits</t>
  </si>
  <si>
    <t>144</t>
  </si>
  <si>
    <t>(Maximum allowable contribution is $1275.)</t>
  </si>
  <si>
    <t>where they are needed.  If you have more than one T4A(OAS) slip, then enter the amounts from each T4A(OAS).</t>
  </si>
  <si>
    <t xml:space="preserve"> into one set of columns.</t>
  </si>
  <si>
    <t>you would position the cursor the data entry line 113 below, and then key in</t>
  </si>
  <si>
    <t xml:space="preserve">Add lines 10 and 12.  </t>
  </si>
  <si>
    <r>
      <t>A3.</t>
    </r>
    <r>
      <rPr>
        <sz val="10"/>
        <rFont val="Arial MT"/>
        <family val="0"/>
      </rPr>
      <t xml:space="preserve"> </t>
    </r>
    <r>
      <rPr>
        <sz val="14"/>
        <rFont val="Arial MT"/>
        <family val="0"/>
      </rPr>
      <t>Yes you can.  We have designed MyTAX to accommodate this situation. MyTAX includes the standard set</t>
    </r>
  </si>
  <si>
    <t>130</t>
  </si>
  <si>
    <t>166</t>
  </si>
  <si>
    <t>104,130</t>
  </si>
  <si>
    <t xml:space="preserve">where an additional form is needed, you need to get a paper copy of that form and fill it out manually.  Then you can </t>
  </si>
  <si>
    <t>His or her taxable income (line 260 of his or her return)</t>
  </si>
  <si>
    <t>Sincerely, Egbert Verbrugge    P.Eng., B.E.Sc., Ph.D.</t>
  </si>
  <si>
    <t xml:space="preserve"> 5000-S3</t>
  </si>
  <si>
    <t>STATEMENT(S) OF PENSION, RETIREMENT, ANNUITY, AND OTHER INCOME</t>
  </si>
  <si>
    <t>Welcome to the data entry interface for your T4A slips.</t>
  </si>
  <si>
    <t>Allocated Slip # 5</t>
  </si>
  <si>
    <r>
      <t>3.</t>
    </r>
    <r>
      <rPr>
        <sz val="14"/>
        <color indexed="8"/>
        <rFont val="Arial"/>
        <family val="2"/>
      </rPr>
      <t xml:space="preserve">  If you have a T slip that is not in MyTAX, please go to the MISC sheet and read the top of that sheet.</t>
    </r>
  </si>
  <si>
    <t>256</t>
  </si>
  <si>
    <t>Taxable tuition assistance</t>
  </si>
  <si>
    <t>Non-taxable tuition assistance</t>
  </si>
  <si>
    <t>Add lines 1 and 2 (if the result is negative, enter "0").</t>
  </si>
  <si>
    <t>Amount from line 10</t>
  </si>
  <si>
    <t>Enter the amount  from line 11 on line 222 of your return and on line 310 of Schedule 1.</t>
  </si>
  <si>
    <t xml:space="preserve">  </t>
  </si>
  <si>
    <t xml:space="preserve">Schedule 3 </t>
  </si>
  <si>
    <t xml:space="preserve"> (1)</t>
  </si>
  <si>
    <t xml:space="preserve"> (2)</t>
  </si>
  <si>
    <t xml:space="preserve"> (3)</t>
  </si>
  <si>
    <t xml:space="preserve"> (4)</t>
  </si>
  <si>
    <t>earnings subject to contribution</t>
  </si>
  <si>
    <t>Applicable</t>
  </si>
  <si>
    <t>number of</t>
  </si>
  <si>
    <t>Charitable Donations</t>
  </si>
  <si>
    <t>Pension Adjustment</t>
  </si>
  <si>
    <t>Total Income</t>
  </si>
  <si>
    <t>428</t>
  </si>
  <si>
    <t xml:space="preserve"> For example, if you have the following amounts in three box 20's:  21500.00, 1467.33, 991.56, </t>
  </si>
  <si>
    <r>
      <t>●</t>
    </r>
    <r>
      <rPr>
        <sz val="10.8"/>
        <rFont val="Arial MT"/>
        <family val="0"/>
      </rPr>
      <t xml:space="preserve">  </t>
    </r>
    <r>
      <rPr>
        <sz val="12"/>
        <rFont val="Arial MT"/>
        <family val="0"/>
      </rPr>
      <t>you were a resident of Canada throughout the year;</t>
    </r>
  </si>
  <si>
    <r>
      <t xml:space="preserve">●  </t>
    </r>
    <r>
      <rPr>
        <sz val="12"/>
        <rFont val="Arial MT"/>
        <family val="0"/>
      </rPr>
      <t>you earned income from employment or business;</t>
    </r>
  </si>
  <si>
    <r>
      <t>●</t>
    </r>
    <r>
      <rPr>
        <sz val="10.8"/>
        <rFont val="Arial MT"/>
        <family val="0"/>
      </rPr>
      <t xml:space="preserve">  </t>
    </r>
    <r>
      <rPr>
        <sz val="12"/>
        <rFont val="Arial MT"/>
        <family val="0"/>
      </rPr>
      <t>you were enrolled as a full-time student at a designated educational institution for more than 13 weeks in the year, unless</t>
    </r>
  </si>
  <si>
    <t>Add lines 7, 8, and 9.</t>
  </si>
  <si>
    <t>Enter the total of lines 5804, 5824, 5828, 5832, 5833, and 5856 of</t>
  </si>
  <si>
    <t>(maximum $1000)</t>
  </si>
  <si>
    <t>(column 2 minus</t>
  </si>
  <si>
    <t>Including a copy of your MyTAX workbook as an attachment to your email is very helpful in our support work.</t>
  </si>
  <si>
    <t>somewhere else.  For income data, many of the common "T" input sheets are included in MyTAX.</t>
  </si>
  <si>
    <r>
      <t>Q1</t>
    </r>
    <r>
      <rPr>
        <sz val="14"/>
        <color indexed="8"/>
        <rFont val="Arial"/>
        <family val="2"/>
      </rPr>
      <t>.  I am trying to enter data into a cell but it is protected and I am getting an error message.</t>
    </r>
  </si>
  <si>
    <t xml:space="preserve">Refundable Quebec abatement </t>
  </si>
  <si>
    <t>Non-refundable tax credit rate</t>
  </si>
  <si>
    <t>Data
T5 #5</t>
  </si>
  <si>
    <t>Feel free to email us with your question(s) on where to put other data items.</t>
  </si>
  <si>
    <t>left or right, followed by clicking on the tab of the sheet desired.</t>
  </si>
  <si>
    <t>Quick Start Instructions</t>
  </si>
  <si>
    <t>(Form T1212)</t>
  </si>
  <si>
    <t>IV -</t>
  </si>
  <si>
    <t>Labour-sponsored funds tax credit</t>
  </si>
  <si>
    <t>Data is used only if you select the YES option on line 5820 of the QUAL spreadsheet</t>
  </si>
  <si>
    <t>Note:  For this amount to be transferred to line 306</t>
  </si>
  <si>
    <t xml:space="preserve">Other income from Canadian </t>
  </si>
  <si>
    <t>Rate</t>
  </si>
  <si>
    <t>Line 6152 - Alberta dividend tax credit</t>
  </si>
  <si>
    <r>
      <t xml:space="preserve">Determine the amount to enter on line 6152 of Form AB428 by completing </t>
    </r>
    <r>
      <rPr>
        <b/>
        <sz val="12"/>
        <color indexed="8"/>
        <rFont val="Arial"/>
        <family val="2"/>
      </rPr>
      <t>one</t>
    </r>
    <r>
      <rPr>
        <sz val="12"/>
        <color indexed="8"/>
        <rFont val="Arial"/>
        <family val="2"/>
      </rPr>
      <t xml:space="preserve"> of the </t>
    </r>
    <r>
      <rPr>
        <b/>
        <sz val="12"/>
        <color indexed="8"/>
        <rFont val="Arial"/>
        <family val="2"/>
      </rPr>
      <t>two</t>
    </r>
    <r>
      <rPr>
        <sz val="12"/>
        <color indexed="8"/>
        <rFont val="Arial"/>
        <family val="2"/>
      </rPr>
      <t xml:space="preserve"> following calculations:</t>
    </r>
  </si>
  <si>
    <t xml:space="preserve">   Enter the result on line 6152 of Form AB428.</t>
  </si>
  <si>
    <t>Determine the amount to enter on line 46 of Form AB428 as follows:</t>
  </si>
  <si>
    <r>
      <t xml:space="preserve">Complete this calculation for each dependant. </t>
    </r>
    <r>
      <rPr>
        <sz val="12"/>
        <color indexed="8"/>
        <rFont val="Arial"/>
        <family val="2"/>
      </rPr>
      <t xml:space="preserve"> </t>
    </r>
  </si>
  <si>
    <r>
      <t xml:space="preserve">Enter, on line 5840 of Form AB428, the total amount claimed for </t>
    </r>
    <r>
      <rPr>
        <b/>
        <sz val="12"/>
        <color indexed="8"/>
        <rFont val="Arial"/>
        <family val="2"/>
      </rPr>
      <t>all</t>
    </r>
    <r>
      <rPr>
        <sz val="12"/>
        <color indexed="8"/>
        <rFont val="Arial"/>
        <family val="2"/>
      </rPr>
      <t xml:space="preserve"> dependants.</t>
    </r>
  </si>
  <si>
    <t>rules may apply.  Call the Canada Revenue Agency determine the amount you can claim.</t>
  </si>
  <si>
    <t>Tax Credits are on AB428  &amp; AB Work Sheet instead</t>
  </si>
  <si>
    <t>If you find MyTAX useful, I request a voluntary donation of $10. for making MyTAX available.</t>
  </si>
  <si>
    <t xml:space="preserve">Why?    Your friends will thank you.  </t>
  </si>
  <si>
    <t>© Peel Technologies</t>
  </si>
  <si>
    <t>PE</t>
  </si>
  <si>
    <t>PE479</t>
  </si>
  <si>
    <t>(see line 349 in the guide)</t>
  </si>
  <si>
    <t>Amount from line 484 above</t>
  </si>
  <si>
    <t>WRK</t>
  </si>
  <si>
    <t>e) The other person was confined to a prison or similar institution for a period of at least two weeks.</t>
  </si>
  <si>
    <t xml:space="preserve">   Learning Plan (LLP).</t>
  </si>
  <si>
    <t>(If nonzero, this amount will be posted to line 208)</t>
  </si>
  <si>
    <t>See line 208 in the guide for more information.</t>
  </si>
  <si>
    <t>mm-dd</t>
  </si>
  <si>
    <t>5872</t>
  </si>
  <si>
    <t>5876</t>
  </si>
  <si>
    <t xml:space="preserve">If, at the end of the year, your spouse or common-law partner were not a resident of Alberta, special rules may apply.  Call the Canada </t>
  </si>
  <si>
    <r>
      <t xml:space="preserve">Complete this form and </t>
    </r>
    <r>
      <rPr>
        <b/>
        <sz val="12"/>
        <color indexed="8"/>
        <rFont val="Arial"/>
        <family val="2"/>
      </rPr>
      <t xml:space="preserve">attach a copy </t>
    </r>
    <r>
      <rPr>
        <sz val="12"/>
        <color indexed="8"/>
        <rFont val="Arial"/>
        <family val="2"/>
      </rPr>
      <t xml:space="preserve">of it to your return.  For details, see </t>
    </r>
    <r>
      <rPr>
        <sz val="12"/>
        <color indexed="8"/>
        <rFont val="Arial"/>
        <family val="2"/>
      </rPr>
      <t>the forms book.</t>
    </r>
  </si>
  <si>
    <t>Plain white fields are for user entered data.  You can override the default values/formulae</t>
  </si>
  <si>
    <t>Part1,4</t>
  </si>
  <si>
    <t>1           No</t>
  </si>
  <si>
    <t xml:space="preserve">Yes  </t>
  </si>
  <si>
    <r>
      <t xml:space="preserve">Enter your </t>
    </r>
    <r>
      <rPr>
        <b/>
        <sz val="12"/>
        <color indexed="8"/>
        <rFont val="Arial"/>
        <family val="2"/>
      </rPr>
      <t>total income</t>
    </r>
    <r>
      <rPr>
        <sz val="12"/>
        <color indexed="8"/>
        <rFont val="Arial"/>
        <family val="2"/>
      </rPr>
      <t xml:space="preserve"> from line 150</t>
    </r>
  </si>
  <si>
    <t>Clergy residence deduction</t>
  </si>
  <si>
    <t xml:space="preserve">Add lines 207 to 224, 229, 231 and 232.   </t>
  </si>
  <si>
    <t>The updater utility can be downloaded from our website.  By running it you will ensure that your copy of MyTAX</t>
  </si>
  <si>
    <t>common-law partner</t>
  </si>
  <si>
    <t>STATEMENT OF TRUST INCOME ALLOCATIONS AND DESIGNATIONS</t>
  </si>
  <si>
    <t>Welcome to the data entry interface for your T3 slips.</t>
  </si>
  <si>
    <t>If you have more than one data slip, then enter the amounts from each information slip into one set of columns.</t>
  </si>
  <si>
    <t>Cell Background Colour</t>
  </si>
  <si>
    <t>Provincial sheets background colour</t>
  </si>
  <si>
    <t>The tab key will move you to the next cell that can accept user data.</t>
  </si>
  <si>
    <t>MISCELLANEOUS INCOME DATA ENTRY AND COLLECTOR</t>
  </si>
  <si>
    <t>Information about you</t>
  </si>
  <si>
    <t>Line 5 minus line 6 (if negative, enter "0")</t>
  </si>
  <si>
    <t>Schedule 11</t>
  </si>
  <si>
    <t xml:space="preserve">Gifts of capital property </t>
  </si>
  <si>
    <t>Who should complete this form?</t>
  </si>
  <si>
    <t>Total of amounts on lines 448, 450, 457, and 476 of your return</t>
  </si>
  <si>
    <t>Overpayment of Old Age Security benefits recovered (box 20 of your T4A(OAS) slip)</t>
  </si>
  <si>
    <t>Add lines 2,3, and 4.</t>
  </si>
  <si>
    <t>Line 1 minus line 5</t>
  </si>
  <si>
    <t>Step 1: Identification</t>
  </si>
  <si>
    <t>You and your spouse or common-law partner were not, because of a breakdown in your marriage or common-law partnership,</t>
  </si>
  <si>
    <t>User support via email is free.  Email us as follows:  support@peeltech.ca</t>
  </si>
  <si>
    <t>1) Support &amp; Upgrades</t>
  </si>
  <si>
    <t>HELP</t>
  </si>
  <si>
    <t>2) Getting Started</t>
  </si>
  <si>
    <t>MyTAX HELP</t>
  </si>
  <si>
    <t>Only complete this schedule and attach it to your return when one or more of the following situations applies:</t>
  </si>
  <si>
    <t>PART A - Contributions</t>
  </si>
  <si>
    <t>3.  Publicly traded shares, mutual fund units, deferral of eligible small business corporation shares, and other shares</t>
  </si>
  <si>
    <t>Farming and fishing income eligible for the capital gains deduction from the</t>
  </si>
  <si>
    <t>Name of issuer</t>
  </si>
  <si>
    <t>Name of fund/corp. &amp; class of shares</t>
  </si>
  <si>
    <t xml:space="preserve">          against LPP gains.</t>
  </si>
  <si>
    <t>Amount eligible for resource</t>
  </si>
  <si>
    <t>allowance deduction</t>
  </si>
  <si>
    <t>Capital gains dividends - Period 1</t>
  </si>
  <si>
    <t>Capital gains dividends - Period 2</t>
  </si>
  <si>
    <t>Employee's QPP contributions</t>
  </si>
  <si>
    <t>Employee's EI premiums</t>
  </si>
  <si>
    <t>Union dues</t>
  </si>
  <si>
    <t>RPP contributions</t>
  </si>
  <si>
    <t>(maximum $2,000)</t>
  </si>
  <si>
    <t>Enter your date of birth:</t>
  </si>
  <si>
    <t>spouse or common-law partner's parent or grandparent.  To do this, you have to designate the individual on your</t>
  </si>
  <si>
    <t>Universal Child Care Benefit (UCCB) (line 117 of your return)</t>
  </si>
  <si>
    <t>►</t>
  </si>
  <si>
    <r>
      <t xml:space="preserve">● </t>
    </r>
    <r>
      <rPr>
        <sz val="12"/>
        <color indexed="8"/>
        <rFont val="Arial"/>
        <family val="2"/>
      </rPr>
      <t>determine the provincial amount available to transfer to another designated individual; and</t>
    </r>
  </si>
  <si>
    <t>5914</t>
  </si>
  <si>
    <t>Your allowable deduction</t>
  </si>
  <si>
    <t>Sch1</t>
  </si>
  <si>
    <t>Sch8</t>
  </si>
  <si>
    <t>113</t>
  </si>
  <si>
    <t>119</t>
  </si>
  <si>
    <t>120</t>
  </si>
  <si>
    <t>121</t>
  </si>
  <si>
    <t>129</t>
  </si>
  <si>
    <t>Self-employed commissions (gross)</t>
  </si>
  <si>
    <t>Self-employed commissions (net)</t>
  </si>
  <si>
    <t>139</t>
  </si>
  <si>
    <t xml:space="preserve">   showing the name and social insurance number of the person who filed it and the tax year for which it was filed.</t>
  </si>
  <si>
    <t>Part2,2</t>
  </si>
  <si>
    <t>More Instructions</t>
  </si>
  <si>
    <t>Do not complete this form if, when you received the amount or when the RRSP or RRIF was deregistered, either of the</t>
  </si>
  <si>
    <t>following applied:</t>
  </si>
  <si>
    <t>Alert about data transfer</t>
  </si>
  <si>
    <t>PROV WRK</t>
  </si>
  <si>
    <t>Infirm dependant 18 or older</t>
  </si>
  <si>
    <t>PROV 428</t>
  </si>
  <si>
    <t>QUALIFICATION SETTINGS</t>
  </si>
  <si>
    <r>
      <t>A1</t>
    </r>
    <r>
      <rPr>
        <sz val="14"/>
        <color indexed="8"/>
        <rFont val="Arial"/>
        <family val="2"/>
      </rPr>
      <t>.  White cells are the only ones where you can enter data.  The other coloured cells are getting their data from</t>
    </r>
  </si>
  <si>
    <t>●50</t>
  </si>
  <si>
    <t xml:space="preserve">You must enter your T5 data into this form.  As your enter data, it is posted to the cells in the schedules and forms </t>
  </si>
  <si>
    <r>
      <t xml:space="preserve">parent or grandparent, or to your parent or grandparent.  To do this, you have to </t>
    </r>
    <r>
      <rPr>
        <b/>
        <sz val="12"/>
        <color indexed="8"/>
        <rFont val="Arial"/>
        <family val="2"/>
      </rPr>
      <t>designate</t>
    </r>
    <r>
      <rPr>
        <sz val="12"/>
        <color indexed="8"/>
        <rFont val="Arial"/>
        <family val="2"/>
      </rPr>
      <t xml:space="preserve"> the individual and</t>
    </r>
  </si>
  <si>
    <t>Support payments received</t>
  </si>
  <si>
    <t>Other income</t>
  </si>
  <si>
    <t xml:space="preserve">  Business income</t>
  </si>
  <si>
    <t xml:space="preserve">  Professional income</t>
  </si>
  <si>
    <t xml:space="preserve">  Commission Income</t>
  </si>
  <si>
    <t xml:space="preserve">  Farming Income</t>
  </si>
  <si>
    <t xml:space="preserve">  Fishing Income</t>
  </si>
  <si>
    <r>
      <t>Refund of investment tax credit (</t>
    </r>
    <r>
      <rPr>
        <b/>
        <sz val="12"/>
        <color indexed="8"/>
        <rFont val="Arial"/>
        <family val="2"/>
      </rPr>
      <t>attach</t>
    </r>
    <r>
      <rPr>
        <sz val="12"/>
        <color indexed="8"/>
        <rFont val="Arial"/>
        <family val="2"/>
      </rPr>
      <t xml:space="preserve"> Form T2038(IND))</t>
    </r>
  </si>
  <si>
    <t>Welcome to the data entry interface for your T4A(P) slips.</t>
  </si>
  <si>
    <t>MyTAX does NOT allow you to enter T4A(P) data directly to other sheets and forms and schedules</t>
  </si>
  <si>
    <t xml:space="preserve">You must enter your T4A(P) data into this form.  As your enter data, it is posted to the cells in the schedules and forms </t>
  </si>
  <si>
    <t>where they are needed.  If you have more than one T4A(P) slip, then enter the amounts from each T4A(P).</t>
  </si>
  <si>
    <t>If you have more than five T4A(P) forms, you can add the data from the extra ones as a sum rather than a single #.</t>
  </si>
  <si>
    <t>Data
T4A(P) #1</t>
  </si>
  <si>
    <t>Data
T4A(P) #2</t>
  </si>
  <si>
    <t>Data
T4A(P) #3</t>
  </si>
  <si>
    <t>Data
T4A(P) #4</t>
  </si>
  <si>
    <t>Data
T4A(P) #5</t>
  </si>
  <si>
    <t>CPP or QPP Benefits</t>
  </si>
  <si>
    <t>Taxable CPP benefits</t>
  </si>
  <si>
    <t>Disability benefit</t>
  </si>
  <si>
    <t>Line 152</t>
  </si>
  <si>
    <t>Line 114</t>
  </si>
  <si>
    <t>Line 437</t>
  </si>
  <si>
    <t>T4A(P)</t>
  </si>
  <si>
    <r>
      <t>1)</t>
    </r>
    <r>
      <rPr>
        <sz val="14"/>
        <color indexed="8"/>
        <rFont val="Arial"/>
        <family val="2"/>
      </rPr>
      <t xml:space="preserve"> Versions of MyTAX  for 2005 and later do not use macros. </t>
    </r>
  </si>
  <si>
    <t>Please use the Paypal button on the website or mail cheque or cash to:</t>
  </si>
  <si>
    <t>Enter the bottom line number(s) from your paper form into the appropriate cell in MyTAX.</t>
  </si>
  <si>
    <t>you can have each of their workbooks open at the same time.  As you need data across returns,</t>
  </si>
  <si>
    <r>
      <t>1</t>
    </r>
    <r>
      <rPr>
        <sz val="14"/>
        <color indexed="8"/>
        <rFont val="Arial"/>
        <family val="2"/>
      </rPr>
      <t xml:space="preserve">.  Save a master copy of MyTAX so that you can start new income tax calculation workbooks from it.  </t>
    </r>
  </si>
  <si>
    <t xml:space="preserve">    Part 1-Calculating your Canada Pension Plan overpayment</t>
  </si>
  <si>
    <r>
      <t xml:space="preserve">If the amount from line 6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  If </t>
    </r>
    <r>
      <rPr>
        <b/>
        <sz val="9"/>
        <color indexed="8"/>
        <rFont val="Arial"/>
        <family val="2"/>
      </rPr>
      <t>negative,</t>
    </r>
    <r>
      <rPr>
        <sz val="9"/>
        <color indexed="8"/>
        <rFont val="Arial"/>
        <family val="2"/>
      </rPr>
      <t xml:space="preserve"> you can choose to make additional CPP</t>
    </r>
  </si>
  <si>
    <t>Line 5</t>
  </si>
  <si>
    <r>
      <t xml:space="preserve">Enter the amount from line 8 on </t>
    </r>
    <r>
      <rPr>
        <b/>
        <sz val="9"/>
        <color indexed="8"/>
        <rFont val="Arial"/>
        <family val="2"/>
      </rPr>
      <t>line 450</t>
    </r>
    <r>
      <rPr>
        <sz val="9"/>
        <color indexed="8"/>
        <rFont val="Arial"/>
        <family val="2"/>
      </rPr>
      <t xml:space="preserve"> of your return only if it is more than $1.</t>
    </r>
  </si>
  <si>
    <r>
      <t xml:space="preserve">Enter amount from line 3, 5, or 6, whichever is least, on </t>
    </r>
    <r>
      <rPr>
        <b/>
        <sz val="9"/>
        <color indexed="8"/>
        <rFont val="Arial"/>
        <family val="2"/>
      </rPr>
      <t>line 312</t>
    </r>
    <r>
      <rPr>
        <sz val="9"/>
        <color indexed="8"/>
        <rFont val="Arial"/>
        <family val="2"/>
      </rPr>
      <t xml:space="preserve"> of Schedule 1 and, if it applies, on </t>
    </r>
    <r>
      <rPr>
        <b/>
        <sz val="9"/>
        <color indexed="8"/>
        <rFont val="Arial"/>
        <family val="2"/>
      </rPr>
      <t>line 5832</t>
    </r>
    <r>
      <rPr>
        <sz val="9"/>
        <color indexed="8"/>
        <rFont val="Arial"/>
        <family val="2"/>
      </rPr>
      <t xml:space="preserve"> of Form 428.</t>
    </r>
  </si>
  <si>
    <t>5916</t>
  </si>
  <si>
    <t>5918</t>
  </si>
  <si>
    <t>Royalties from Canadian sources</t>
  </si>
  <si>
    <t>Capital gains dividends - Period 3</t>
  </si>
  <si>
    <t>Accured income</t>
  </si>
  <si>
    <t>Hyperlinks</t>
  </si>
  <si>
    <t>The "GO THERE" buttons below are hyperlinks. Click on them to send you to the appropriate sheet &amp; cell.</t>
  </si>
  <si>
    <t>BC479</t>
  </si>
  <si>
    <t>Basic person amount</t>
  </si>
  <si>
    <t>115</t>
  </si>
  <si>
    <r>
      <t xml:space="preserve">For pc users obtain the latest </t>
    </r>
    <r>
      <rPr>
        <b/>
        <sz val="14"/>
        <color indexed="8"/>
        <rFont val="Arial"/>
        <family val="2"/>
      </rPr>
      <t>UPDATE</t>
    </r>
    <r>
      <rPr>
        <sz val="14"/>
        <color indexed="8"/>
        <rFont val="Arial"/>
        <family val="2"/>
      </rPr>
      <t xml:space="preserve"> spreadsheet from our website before you print &amp; submit your final return.</t>
    </r>
  </si>
  <si>
    <t>Total credits from line 482 of your return</t>
  </si>
  <si>
    <t>or common-law partner from page 1 or your return</t>
  </si>
  <si>
    <t>Net income of your spouse or common-law partner from page 1 of your return</t>
  </si>
  <si>
    <t>Net Self-employment income (not including losses) from lines 135 to 143</t>
  </si>
  <si>
    <t>Line 1 minus line 4 (if negative, enter "0")</t>
  </si>
  <si>
    <t>Enter the amount on line 7 on line 410 of Schedule 1.</t>
  </si>
  <si>
    <t xml:space="preserve">Total donations limit:  Add lines 2 and 5. </t>
  </si>
  <si>
    <t>(if you reported employment income on line 101 or line 104, see line 363 in the guide)</t>
  </si>
  <si>
    <r>
      <t xml:space="preserve">Go to Step 2 on the next page </t>
    </r>
    <r>
      <rPr>
        <b/>
        <sz val="12"/>
        <color indexed="8"/>
        <rFont val="Calibri"/>
        <family val="2"/>
      </rPr>
      <t>→</t>
    </r>
  </si>
  <si>
    <t>Working Income Tax Benefit (WITB) advance payments received (box 10 on the RC210 slip).</t>
  </si>
  <si>
    <t>Enter the federal amount designated in your name on his or her Form T2202 or T2202A, TL11A, TL11B, or TL11C.</t>
  </si>
  <si>
    <t>391</t>
  </si>
  <si>
    <t>392</t>
  </si>
  <si>
    <t xml:space="preserve">  If yes, he or she must complete Step 1 and</t>
  </si>
  <si>
    <t xml:space="preserve">  Step 3 on a separate Schedule 6.</t>
  </si>
  <si>
    <t>388</t>
  </si>
  <si>
    <t>389</t>
  </si>
  <si>
    <t>390</t>
  </si>
  <si>
    <t>385</t>
  </si>
  <si>
    <t>386</t>
  </si>
  <si>
    <t>387</t>
  </si>
  <si>
    <t>Working Income Tax Benefit</t>
  </si>
  <si>
    <r>
      <t xml:space="preserve">of the return </t>
    </r>
    <r>
      <rPr>
        <b/>
        <sz val="12"/>
        <rFont val="Arial MT"/>
        <family val="0"/>
      </rPr>
      <t>(excluding</t>
    </r>
    <r>
      <rPr>
        <sz val="12"/>
        <rFont val="Arial MT"/>
        <family val="0"/>
      </rPr>
      <t xml:space="preserve"> losses)</t>
    </r>
  </si>
  <si>
    <t>Working Income</t>
  </si>
  <si>
    <t>Adjusted family net income</t>
  </si>
  <si>
    <t>394</t>
  </si>
  <si>
    <t>box 21 minus box 30</t>
  </si>
  <si>
    <t>STATEMENT OF TRUST INCOME ALLOCATIONS &amp; DESIGNATIONS</t>
  </si>
  <si>
    <t>Line 5840 - Caregiver amount</t>
  </si>
  <si>
    <t>Enter the amount from box 26 (or if blank, box 14) on all T4 slips</t>
  </si>
  <si>
    <t>ON WRK</t>
  </si>
  <si>
    <t>ON(S2)</t>
  </si>
  <si>
    <t>ON(S11)</t>
  </si>
  <si>
    <t>T778</t>
  </si>
  <si>
    <t>Sch2</t>
  </si>
  <si>
    <t>Sch5</t>
  </si>
  <si>
    <t>Sch4-2</t>
  </si>
  <si>
    <t>Sch11</t>
  </si>
  <si>
    <t>SHEETS NAVIGATION &amp; STATUS</t>
  </si>
  <si>
    <t>GO TO</t>
  </si>
  <si>
    <t xml:space="preserve">Employment benefits &amp; </t>
  </si>
  <si>
    <t>support measures paid</t>
  </si>
  <si>
    <t>Federal income tax deducted</t>
  </si>
  <si>
    <t>where they are needed.  If you have more than one T5 slip, then enter the amounts from each T5.</t>
  </si>
  <si>
    <t>As a Canadian resident, you have to report your income from all sources both inside and outside Canada.</t>
  </si>
  <si>
    <t>Employment income (box 14 on all T4 Slips)</t>
  </si>
  <si>
    <t>Other employment income</t>
  </si>
  <si>
    <t>CPP or QPP benefits (box 20 on the T4A(P) slip)</t>
  </si>
  <si>
    <t>Line 150 minus line 233 (if negative enter "0").</t>
  </si>
  <si>
    <t>Links to CRA</t>
  </si>
  <si>
    <t>33</t>
  </si>
  <si>
    <t>34</t>
  </si>
  <si>
    <t>Disability benefits included on line 114 
(box 16 on the T4A(P) slip)</t>
  </si>
  <si>
    <t>Interest from Canadian sources</t>
  </si>
  <si>
    <t>Foreign Income</t>
  </si>
  <si>
    <t>Foreign tax paid</t>
  </si>
  <si>
    <t>Welcome to the data entry interface for miscellaneous data and the data collector sheet</t>
  </si>
  <si>
    <t>Part2,1</t>
  </si>
  <si>
    <t>Taxable pension paid</t>
  </si>
  <si>
    <t>Gross pension paid</t>
  </si>
  <si>
    <t>Overpayment recovered</t>
  </si>
  <si>
    <t>Net supplements paid</t>
  </si>
  <si>
    <t xml:space="preserve">Amounts deemed received by the </t>
  </si>
  <si>
    <t>annuitant; Deregistration</t>
  </si>
  <si>
    <t>Pick up amt from form T1229 here</t>
  </si>
  <si>
    <t>where they are needed.  If you have more than one T4A slip, then enter the amounts from each T4A into one set of columns.</t>
  </si>
  <si>
    <t>Amount from line 6</t>
  </si>
  <si>
    <t>Amount from line 13</t>
  </si>
  <si>
    <t>Line 17 minus line 18 (if negative, enter "0")</t>
  </si>
  <si>
    <r>
      <t xml:space="preserve"> (from Chart 2 in pamphlet P113, </t>
    </r>
    <r>
      <rPr>
        <i/>
        <sz val="12"/>
        <color indexed="8"/>
        <rFont val="Arial"/>
        <family val="2"/>
      </rPr>
      <t>Gifts and Income Tax</t>
    </r>
    <r>
      <rPr>
        <sz val="12"/>
        <color indexed="8"/>
        <rFont val="Arial"/>
        <family val="2"/>
      </rPr>
      <t>)</t>
    </r>
  </si>
  <si>
    <t>Security options deduction
 (110(1)(d.1))</t>
  </si>
  <si>
    <t>Canadian forces personnel and police deduction</t>
  </si>
  <si>
    <r>
      <t>Provincial Parental Insurance Plan (PPIP)</t>
    </r>
    <r>
      <rPr>
        <sz val="14"/>
        <rFont val="Arial MT"/>
        <family val="0"/>
      </rPr>
      <t xml:space="preserve"> - For employees working</t>
    </r>
  </si>
  <si>
    <t>74</t>
  </si>
  <si>
    <t>Pre-1990 past service contributions while a contributor -</t>
  </si>
  <si>
    <t>75</t>
  </si>
  <si>
    <t>Pre-1990 past service contributions while not a contributor -</t>
  </si>
  <si>
    <t>77</t>
  </si>
  <si>
    <t>Workers' compensation benefits repaid to the employer -</t>
  </si>
  <si>
    <t>Enter on line 229</t>
  </si>
  <si>
    <r>
      <t>Number of days outside Canada - Obtain</t>
    </r>
    <r>
      <rPr>
        <sz val="14"/>
        <rFont val="Arial MT"/>
        <family val="0"/>
      </rPr>
      <t xml:space="preserve"> Form T626</t>
    </r>
  </si>
  <si>
    <t>78</t>
  </si>
  <si>
    <t>(Do not enter this amount on line 101)</t>
  </si>
  <si>
    <t>79</t>
  </si>
  <si>
    <t>80</t>
  </si>
  <si>
    <t>Schedule 1 line 426.</t>
  </si>
  <si>
    <t>→</t>
  </si>
  <si>
    <t>Welcome to the data entry interface for your T4PS slips.</t>
  </si>
  <si>
    <t>MyTAX does NOT allow you to enter T4PS data directly to other sheets and forms and schedules</t>
  </si>
  <si>
    <t xml:space="preserve">You must enter your T4PS data into this form.  As your enter data, it is posted to the cells in the schedules and forms </t>
  </si>
  <si>
    <t>Data
T4RSP #1</t>
  </si>
  <si>
    <t>Data
T4RSP #2</t>
  </si>
  <si>
    <t>Data
T4RSP #3</t>
  </si>
  <si>
    <t>Data
T4RSP #4</t>
  </si>
  <si>
    <t>Data
T4RSP #5</t>
  </si>
  <si>
    <t>Line 3 minus line 4 (if negative, enter "0")</t>
  </si>
  <si>
    <t>sources</t>
  </si>
  <si>
    <t>431,433</t>
  </si>
  <si>
    <t>115,121</t>
  </si>
  <si>
    <t>Social assistance payments or</t>
  </si>
  <si>
    <t>T2036</t>
  </si>
  <si>
    <t>Data is used only if you select the YES option on line 5840 of the QUAL spreadsheet</t>
  </si>
  <si>
    <t>Goods and services tax/harmonized sales tax (GST/HST) credit application</t>
  </si>
  <si>
    <r>
      <t xml:space="preserve">Interest and other investment income </t>
    </r>
    <r>
      <rPr>
        <b/>
        <sz val="12"/>
        <color indexed="8"/>
        <rFont val="Arial"/>
        <family val="2"/>
      </rPr>
      <t>(attach</t>
    </r>
    <r>
      <rPr>
        <sz val="12"/>
        <color indexed="8"/>
        <rFont val="Arial"/>
        <family val="2"/>
      </rPr>
      <t xml:space="preserve"> Schedule 4)</t>
    </r>
  </si>
  <si>
    <r>
      <t xml:space="preserve">Taxable capital gains </t>
    </r>
    <r>
      <rPr>
        <b/>
        <sz val="12"/>
        <color indexed="8"/>
        <rFont val="Arial"/>
        <family val="2"/>
      </rPr>
      <t>(attach</t>
    </r>
    <r>
      <rPr>
        <sz val="12"/>
        <color indexed="8"/>
        <rFont val="Arial"/>
        <family val="2"/>
      </rPr>
      <t xml:space="preserve"> Schedule 3)</t>
    </r>
  </si>
  <si>
    <r>
      <t xml:space="preserve">Child care expenses </t>
    </r>
    <r>
      <rPr>
        <b/>
        <sz val="12"/>
        <color indexed="8"/>
        <rFont val="Arial"/>
        <family val="2"/>
      </rPr>
      <t>(attach</t>
    </r>
    <r>
      <rPr>
        <sz val="12"/>
        <color indexed="8"/>
        <rFont val="Arial"/>
        <family val="2"/>
      </rPr>
      <t xml:space="preserve"> Form T778)</t>
    </r>
  </si>
  <si>
    <t>Disability supports deduction</t>
  </si>
  <si>
    <t>T1 GEN-4</t>
  </si>
  <si>
    <t>Sch9</t>
  </si>
  <si>
    <t>Complete this calculation for each dependant.</t>
  </si>
  <si>
    <t xml:space="preserve">                                       COMMON-LAW PARTNER RRSP OR RRIF TO INCLUDE IN INCOME FOR </t>
  </si>
  <si>
    <t>(year )</t>
  </si>
  <si>
    <t xml:space="preserve">MyTAX uses the lines listed below to pick up data from other input forms including T4, T4A, T4(OAS), </t>
  </si>
  <si>
    <t>T4E, T4PS, T5007 and puts it in the "Total of all data" column</t>
  </si>
  <si>
    <t>If you have more than five T4RSP forms, you can add the data from the extra ones as a sum rather than a single #.</t>
  </si>
  <si>
    <t>No</t>
  </si>
  <si>
    <t>Welcome to the data entry interface for your T4RIF slips.</t>
  </si>
  <si>
    <t>Line 5 (in Part B) minus line 9 (in Part B) or line 14 (in Part C), whichever applies to you</t>
  </si>
  <si>
    <t>Line 4 (in Part B) minus line 9 (in Part B) or line 14 (in Part C), whichever applies to you</t>
  </si>
  <si>
    <t>User Data</t>
  </si>
  <si>
    <t>T1 GEN-1</t>
  </si>
  <si>
    <t>T1 GEN-2-3-4</t>
  </si>
  <si>
    <t>tax credit</t>
  </si>
  <si>
    <t>(attach Form CPT20)</t>
  </si>
  <si>
    <t>Multiply the amount on line 7 by 9.9%</t>
  </si>
  <si>
    <r>
      <t xml:space="preserve">13. Line 11 </t>
    </r>
    <r>
      <rPr>
        <b/>
        <sz val="9"/>
        <color indexed="8"/>
        <rFont val="Arial"/>
        <family val="2"/>
      </rPr>
      <t>minus</t>
    </r>
    <r>
      <rPr>
        <sz val="9"/>
        <color indexed="8"/>
        <rFont val="Arial"/>
        <family val="2"/>
      </rPr>
      <t xml:space="preserve"> line 12.</t>
    </r>
  </si>
  <si>
    <r>
      <t xml:space="preserve">14. Line 10 </t>
    </r>
    <r>
      <rPr>
        <b/>
        <sz val="9"/>
        <color indexed="8"/>
        <rFont val="Arial"/>
        <family val="2"/>
      </rPr>
      <t>plus</t>
    </r>
    <r>
      <rPr>
        <sz val="9"/>
        <color indexed="8"/>
        <rFont val="Arial"/>
        <family val="2"/>
      </rPr>
      <t xml:space="preserve"> line 13.</t>
    </r>
  </si>
  <si>
    <r>
      <t xml:space="preserve">17. Line 15 </t>
    </r>
    <r>
      <rPr>
        <b/>
        <sz val="9"/>
        <color indexed="8"/>
        <rFont val="Arial"/>
        <family val="2"/>
      </rPr>
      <t>minus</t>
    </r>
    <r>
      <rPr>
        <sz val="9"/>
        <color indexed="8"/>
        <rFont val="Arial"/>
        <family val="2"/>
      </rPr>
      <t xml:space="preserve"> line 16</t>
    </r>
  </si>
  <si>
    <r>
      <t>Amounts transferred from your spouse or common-law partner (</t>
    </r>
    <r>
      <rPr>
        <b/>
        <sz val="12"/>
        <color indexed="8"/>
        <rFont val="Arial"/>
        <family val="2"/>
      </rPr>
      <t>attach</t>
    </r>
    <r>
      <rPr>
        <sz val="12"/>
        <color indexed="8"/>
        <rFont val="Arial"/>
        <family val="2"/>
      </rPr>
      <t xml:space="preserve"> Schedule 2)</t>
    </r>
  </si>
  <si>
    <t>(A)</t>
  </si>
  <si>
    <t>(B)</t>
  </si>
  <si>
    <t>set the option  for line 315 to YES in the QUAL sheet</t>
  </si>
  <si>
    <t xml:space="preserve">The "Allocated Data" is picked up by the schedules and forms where needed.  </t>
  </si>
  <si>
    <t>I certify that the information given on this return and in any documents</t>
  </si>
  <si>
    <t>Refund of excess contributions</t>
  </si>
  <si>
    <t xml:space="preserve"> 5000-S4</t>
  </si>
  <si>
    <t>Details of Dependant</t>
  </si>
  <si>
    <t>T1-M</t>
  </si>
  <si>
    <t>115,130</t>
  </si>
  <si>
    <t>Add lines (A) and (B).</t>
  </si>
  <si>
    <r>
      <t>Donations and gifts (</t>
    </r>
    <r>
      <rPr>
        <b/>
        <sz val="12"/>
        <color indexed="8"/>
        <rFont val="Arial"/>
        <family val="2"/>
      </rPr>
      <t>attach</t>
    </r>
    <r>
      <rPr>
        <sz val="12"/>
        <color indexed="8"/>
        <rFont val="Arial"/>
        <family val="2"/>
      </rPr>
      <t xml:space="preserve"> Schedule 9)</t>
    </r>
  </si>
  <si>
    <r>
      <t xml:space="preserve">  on self-employment and other earnings (</t>
    </r>
    <r>
      <rPr>
        <b/>
        <sz val="12"/>
        <color indexed="8"/>
        <rFont val="Arial"/>
        <family val="2"/>
      </rPr>
      <t>attach</t>
    </r>
    <r>
      <rPr>
        <sz val="12"/>
        <color indexed="8"/>
        <rFont val="Arial"/>
        <family val="2"/>
      </rPr>
      <t xml:space="preserve"> Schedule 8)</t>
    </r>
  </si>
  <si>
    <t>your spouse or common-law partner</t>
  </si>
  <si>
    <r>
      <t xml:space="preserve">Interest and other investment income </t>
    </r>
    <r>
      <rPr>
        <sz val="12"/>
        <color indexed="8"/>
        <rFont val="Arial"/>
        <family val="2"/>
      </rPr>
      <t>(see line 121 in the guide)</t>
    </r>
  </si>
  <si>
    <t>Other pensions or superannuation</t>
  </si>
  <si>
    <t>(Enter Yes if amt. qualifies for line 232 deduction)</t>
  </si>
  <si>
    <t>Statement of Investment Income</t>
  </si>
  <si>
    <t>Schedule 4</t>
  </si>
  <si>
    <t xml:space="preserve">State the names of the payers below and attach any information slips you received. </t>
  </si>
  <si>
    <t>Income from foreign sources</t>
  </si>
  <si>
    <r>
      <t xml:space="preserve">  </t>
    </r>
    <r>
      <rPr>
        <b/>
        <sz val="12"/>
        <color indexed="8"/>
        <rFont val="Arial"/>
        <family val="2"/>
      </rPr>
      <t>Minus</t>
    </r>
    <r>
      <rPr>
        <sz val="12"/>
        <color indexed="8"/>
        <rFont val="Arial"/>
        <family val="2"/>
      </rPr>
      <t xml:space="preserve"> his or her net income from page 1 of your return</t>
    </r>
  </si>
  <si>
    <t>Married</t>
  </si>
  <si>
    <t>Widowed</t>
  </si>
  <si>
    <t>Divorced</t>
  </si>
  <si>
    <t>Separated</t>
  </si>
  <si>
    <t>Single</t>
  </si>
  <si>
    <t>Information about your residence</t>
  </si>
  <si>
    <t>Information about your spouse or</t>
  </si>
  <si>
    <r>
      <t xml:space="preserve">3. Line 1 </t>
    </r>
    <r>
      <rPr>
        <b/>
        <sz val="9"/>
        <color indexed="8"/>
        <rFont val="Arial"/>
        <family val="2"/>
      </rPr>
      <t>minus</t>
    </r>
    <r>
      <rPr>
        <sz val="9"/>
        <color indexed="8"/>
        <rFont val="Arial"/>
        <family val="2"/>
      </rPr>
      <t xml:space="preserve"> line 2</t>
    </r>
  </si>
  <si>
    <r>
      <t xml:space="preserve">6. Line 4 </t>
    </r>
    <r>
      <rPr>
        <b/>
        <sz val="9"/>
        <color indexed="8"/>
        <rFont val="Arial"/>
        <family val="2"/>
      </rPr>
      <t>minus</t>
    </r>
    <r>
      <rPr>
        <sz val="9"/>
        <color indexed="8"/>
        <rFont val="Arial"/>
        <family val="2"/>
      </rPr>
      <t xml:space="preserve"> line 5</t>
    </r>
  </si>
  <si>
    <r>
      <t>Note</t>
    </r>
    <r>
      <rPr>
        <sz val="12"/>
        <color indexed="8"/>
        <rFont val="Arial"/>
        <family val="2"/>
      </rPr>
      <t>: You can only apply LPP losses</t>
    </r>
  </si>
  <si>
    <r>
      <t>3.</t>
    </r>
    <r>
      <rPr>
        <sz val="14"/>
        <color indexed="8"/>
        <rFont val="Arial"/>
        <family val="2"/>
      </rPr>
      <t xml:space="preserve"> You may find it convenient to do "what-if" calculations by splitting the screen horizontally or vertically.</t>
    </r>
  </si>
  <si>
    <r>
      <t xml:space="preserve">and worksheet if filing a return.  Attach his or her information slips, but </t>
    </r>
    <r>
      <rPr>
        <b/>
        <sz val="12"/>
        <color indexed="8"/>
        <rFont val="Arial"/>
        <family val="2"/>
      </rPr>
      <t>do not attach</t>
    </r>
    <r>
      <rPr>
        <sz val="12"/>
        <color indexed="8"/>
        <rFont val="Arial"/>
        <family val="2"/>
      </rPr>
      <t xml:space="preserve"> the return or schedules.</t>
    </r>
  </si>
  <si>
    <t>(Do not forget to tick the box on page 1 of your return to indicate your marital status.)</t>
  </si>
  <si>
    <t>Nature of the impairment
(if it applies)</t>
  </si>
  <si>
    <t>Nature of impairment</t>
  </si>
  <si>
    <t>Pensionable net self-employment earnings</t>
  </si>
  <si>
    <t>(amounts from line 122 and lines 135 to 143 of your return).</t>
  </si>
  <si>
    <t>(this amount already includes the amount entered on line 11 of Form CPT20, if it applies).</t>
  </si>
  <si>
    <t>Total pensionable earnings (add lines 3 and 4).</t>
  </si>
  <si>
    <t>Schedule 9</t>
  </si>
  <si>
    <t>Add lines 3 and 4.</t>
  </si>
  <si>
    <t>X 15% =</t>
  </si>
  <si>
    <r>
      <rPr>
        <b/>
        <sz val="12"/>
        <color indexed="8"/>
        <rFont val="Arial"/>
        <family val="2"/>
      </rPr>
      <t>Donations and gifts:</t>
    </r>
    <r>
      <rPr>
        <sz val="12"/>
        <color indexed="8"/>
        <rFont val="Arial"/>
        <family val="2"/>
      </rPr>
      <t xml:space="preserve"> add lines 7 and 8.</t>
    </r>
  </si>
  <si>
    <r>
      <t xml:space="preserve">Enter $200, or the amount from line 344, whichever is </t>
    </r>
    <r>
      <rPr>
        <b/>
        <sz val="12"/>
        <color indexed="8"/>
        <rFont val="Arial"/>
        <family val="2"/>
      </rPr>
      <t>less.</t>
    </r>
  </si>
  <si>
    <r>
      <t>Calculating your part-time amount:</t>
    </r>
    <r>
      <rPr>
        <sz val="13"/>
        <color indexed="8"/>
        <rFont val="Arial"/>
        <family val="2"/>
      </rPr>
      <t xml:space="preserve"> use column B of Forms T2202, T2202A, TL11A, TL11B,</t>
    </r>
  </si>
  <si>
    <r>
      <t>Calculating your full-time amount:</t>
    </r>
    <r>
      <rPr>
        <sz val="13"/>
        <color indexed="8"/>
        <rFont val="Arial"/>
        <family val="2"/>
      </rPr>
      <t xml:space="preserve"> use column C of Forms T2202, T2202A, TL11A, TL11B,</t>
    </r>
  </si>
  <si>
    <t>Form T2202 or T2202A, TL11A, TL11B or TL11C and specify the federal amount that you are transferring to him or</t>
  </si>
  <si>
    <t>her.  Enter the amount you are transferring on line 24 below.</t>
  </si>
  <si>
    <r>
      <rPr>
        <b/>
        <sz val="12"/>
        <rFont val="Arial MT"/>
        <family val="0"/>
      </rPr>
      <t xml:space="preserve">Notes:  </t>
    </r>
    <r>
      <rPr>
        <sz val="12"/>
        <rFont val="Arial MT"/>
        <family val="0"/>
      </rPr>
      <t>If you were married or living in a common-law relationship but did not have an eligible spouse or an eligible dependant, complete</t>
    </r>
  </si>
  <si>
    <t xml:space="preserve">              this schedule using the instructions as if you had neither an eligible spouse nor an eligible dependant.</t>
  </si>
  <si>
    <r>
      <t xml:space="preserve">See line 453 in the guide for more information. Complete this schedule and </t>
    </r>
    <r>
      <rPr>
        <b/>
        <sz val="12"/>
        <rFont val="Arial MT"/>
        <family val="0"/>
      </rPr>
      <t>attach</t>
    </r>
    <r>
      <rPr>
        <sz val="12"/>
        <rFont val="Arial MT"/>
        <family val="0"/>
      </rPr>
      <t xml:space="preserve"> a copy of it to your return to claim the Working</t>
    </r>
  </si>
  <si>
    <t>WITB disability supplement (Step 3). Please refer to the chart at the bottom of the next page for the adjusted family net income levels to</t>
  </si>
  <si>
    <t>claim the WITB.</t>
  </si>
  <si>
    <t>Tax-exempt part of working income earned on a reserve or an allowance</t>
  </si>
  <si>
    <t>Add lines 3 to 6. Enter the amount even if the result is "0".</t>
  </si>
  <si>
    <t>Net income amount from line 236 of the return.</t>
  </si>
  <si>
    <t>Tax-exempt part of the income earned on a reserve or an allowance</t>
  </si>
  <si>
    <t>Total of Universal Child Care Benefit repayment (line 213 of the return) and</t>
  </si>
  <si>
    <t>registered disability savings plan income repayment (included in line 232).</t>
  </si>
  <si>
    <t>Total of Universal Child Care Benefit (line 117 of the return) and registered</t>
  </si>
  <si>
    <t>disability savings plan income (line 125 of the return).</t>
  </si>
  <si>
    <t xml:space="preserve">  If yes, complete Step 2 on the next page.</t>
  </si>
  <si>
    <t xml:space="preserve">  If yes, complete Step 3 on the next page.</t>
  </si>
  <si>
    <t>Go to Step 2 on the next page  =&gt;</t>
  </si>
  <si>
    <t>If you qualify for the disability amount for yourself, complete Step 3 to calculate your WITB disability supplement. However, if you had an</t>
  </si>
  <si>
    <r>
      <t xml:space="preserve">Rate (see </t>
    </r>
    <r>
      <rPr>
        <b/>
        <sz val="12"/>
        <rFont val="Arial MT"/>
        <family val="0"/>
      </rPr>
      <t>note</t>
    </r>
    <r>
      <rPr>
        <sz val="12"/>
        <rFont val="Arial MT"/>
        <family val="0"/>
      </rPr>
      <t xml:space="preserve"> below)</t>
    </r>
  </si>
  <si>
    <t>Adjusted family net income levels</t>
  </si>
  <si>
    <t>You had neither an eligible spouse nor</t>
  </si>
  <si>
    <t>an eligible dependant</t>
  </si>
  <si>
    <t>You had an eligible spouse or</t>
  </si>
  <si>
    <t>Basic WITB</t>
  </si>
  <si>
    <t>Adjusted family net income (line 15 in Step 1)</t>
  </si>
  <si>
    <t>WITB disability supplement</t>
  </si>
  <si>
    <t>(your qualify for the disability amount)</t>
  </si>
  <si>
    <t>(you had an eligible spouse and</t>
  </si>
  <si>
    <t>both of you qualify for the disability amount)</t>
  </si>
  <si>
    <t>Adjust family net income (line 15 in Step 1)</t>
  </si>
  <si>
    <r>
      <t xml:space="preserve">We will show the amount of line 14 as </t>
    </r>
    <r>
      <rPr>
        <b/>
        <sz val="12"/>
        <color indexed="8"/>
        <rFont val="Arial"/>
        <family val="2"/>
      </rPr>
      <t>amount (B)</t>
    </r>
    <r>
      <rPr>
        <sz val="12"/>
        <color indexed="8"/>
        <rFont val="Arial"/>
        <family val="2"/>
      </rPr>
      <t xml:space="preserve"> of your</t>
    </r>
  </si>
  <si>
    <t>Name of corp. and class of shares</t>
  </si>
  <si>
    <t xml:space="preserve"> (Report in 3 below, publicly traded shares, mutual fund units, deferral of</t>
  </si>
  <si>
    <t>2. Qualified farm property and qualified fishing property</t>
  </si>
  <si>
    <t>Prov./Terr.</t>
  </si>
  <si>
    <t>Mortgage foreclosures and 
conditional sales repossessions -
Address or legal description</t>
  </si>
  <si>
    <r>
      <t xml:space="preserve">Capital gains deferral from qualifying dispositions of eligible small business corporation shares (included in </t>
    </r>
    <r>
      <rPr>
        <b/>
        <sz val="12"/>
        <color indexed="8"/>
        <rFont val="Arial"/>
        <family val="2"/>
      </rPr>
      <t>3 above)</t>
    </r>
  </si>
  <si>
    <t>disposition of eligible capital property (for details, see Form T657)</t>
  </si>
  <si>
    <t>Total of all gains (or losses) in column 5 before reserves</t>
  </si>
  <si>
    <t>Total capital gains (or losses)</t>
  </si>
  <si>
    <t>Qualified Dispositions</t>
  </si>
  <si>
    <t>if it is not on the label, or if</t>
  </si>
  <si>
    <t>you are not attaching a label:</t>
  </si>
  <si>
    <t>(see the guide for more information)</t>
  </si>
  <si>
    <t>(if you ticked box 1 or 2 above)</t>
  </si>
  <si>
    <t>Enter the amount of Universal Child Care Benefit included</t>
  </si>
  <si>
    <t>on line 117 of his or her return:</t>
  </si>
  <si>
    <t>to claim certain credits:</t>
  </si>
  <si>
    <t>Enter the amount of Universal Child Care Benefit repayment included on line 213 of his or her return:</t>
  </si>
  <si>
    <t>125</t>
  </si>
  <si>
    <t>Total Income tax deducted (see the guide)</t>
  </si>
  <si>
    <r>
      <t xml:space="preserve">Working income tax benefit (WITB) </t>
    </r>
    <r>
      <rPr>
        <b/>
        <sz val="12"/>
        <color indexed="8"/>
        <rFont val="Arial"/>
        <family val="2"/>
      </rPr>
      <t>(attach</t>
    </r>
    <r>
      <rPr>
        <sz val="12"/>
        <color indexed="8"/>
        <rFont val="Arial"/>
        <family val="2"/>
      </rPr>
      <t xml:space="preserve"> Schedule 6)</t>
    </r>
  </si>
  <si>
    <t>Telephone                        It is a serious offence to make a false return.</t>
  </si>
  <si>
    <t xml:space="preserve">1 Accessing our secure online services </t>
  </si>
  <si>
    <t>http://www.cra.gc.ca/access</t>
  </si>
  <si>
    <t xml:space="preserve">2 Charities </t>
  </si>
  <si>
    <t xml:space="preserve">3 Child and family benefits calculator </t>
  </si>
  <si>
    <t xml:space="preserve">4 Common adjustments </t>
  </si>
  <si>
    <t xml:space="preserve">5 EFILE </t>
  </si>
  <si>
    <t xml:space="preserve">6 Electronic payments </t>
  </si>
  <si>
    <t xml:space="preserve">7 Forms and publications </t>
  </si>
  <si>
    <t xml:space="preserve">8 Important dates </t>
  </si>
  <si>
    <t xml:space="preserve">9 International and non-resident taxes </t>
  </si>
  <si>
    <t xml:space="preserve">10 My Account </t>
  </si>
  <si>
    <t xml:space="preserve">12 Persons with disabilities </t>
  </si>
  <si>
    <t xml:space="preserve">11 NETFILE </t>
  </si>
  <si>
    <t xml:space="preserve">13 Registered retirement savings plan (RRSP) </t>
  </si>
  <si>
    <t xml:space="preserve">14 Review of your tax return by CRA </t>
  </si>
  <si>
    <t>16 Tax Information Phone Service (T.I.P.S.)</t>
  </si>
  <si>
    <t xml:space="preserve">15 Students </t>
  </si>
  <si>
    <t xml:space="preserve">17 Tax services offices and tax centres </t>
  </si>
  <si>
    <t xml:space="preserve">18 Tax treaties </t>
  </si>
  <si>
    <t xml:space="preserve">19 TELEFILE </t>
  </si>
  <si>
    <t xml:space="preserve">20 Travel expenses </t>
  </si>
  <si>
    <t>http://www.cra.gc.ca/charities</t>
  </si>
  <si>
    <t>http://www.cra.gc.ca/benefits-calculator</t>
  </si>
  <si>
    <t>http://www.cra.gc.ca/commonadjustments</t>
  </si>
  <si>
    <t>http://www.cra.gc.ca/efile-individuals</t>
  </si>
  <si>
    <t>http://www.cra.gc.ca/electronicpayments</t>
  </si>
  <si>
    <t>http://www.cra.gc.ca/forms</t>
  </si>
  <si>
    <t>http://www.cra.gc.ca/dates-ind</t>
  </si>
  <si>
    <t>http://www.cra.gc.ca/international</t>
  </si>
  <si>
    <t>http://www.cra.gc.ca/myaccount</t>
  </si>
  <si>
    <t>http://www.netfile.gc.ca</t>
  </si>
  <si>
    <t>http://www.cra.gc.ca/disability</t>
  </si>
  <si>
    <t>http://www.cra.gc.ca/rrsp</t>
  </si>
  <si>
    <t>http://www.cra.gc.ca/reviews</t>
  </si>
  <si>
    <t>http://www.cra.gc.ca/students</t>
  </si>
  <si>
    <t>http://www.cra.gc.ca/tips</t>
  </si>
  <si>
    <t>http://www.cra.gc.ca/tso</t>
  </si>
  <si>
    <t>http://www.cra.gc.ca/treaties</t>
  </si>
  <si>
    <t>http://www.cra.gc.ca/telefile</t>
  </si>
  <si>
    <t>http://www.cra.gc.ca/travelcosts</t>
  </si>
  <si>
    <t>Most popular addresses on CRA Website</t>
  </si>
  <si>
    <t>T2125</t>
  </si>
  <si>
    <t>Spouse's or common-law partner's adjusted taxable income:</t>
  </si>
  <si>
    <r>
      <t xml:space="preserve">Enter your </t>
    </r>
    <r>
      <rPr>
        <b/>
        <sz val="12"/>
        <color indexed="8"/>
        <rFont val="Arial"/>
        <family val="2"/>
      </rPr>
      <t>taxable income</t>
    </r>
    <r>
      <rPr>
        <sz val="12"/>
        <color indexed="8"/>
        <rFont val="Arial"/>
        <family val="2"/>
      </rPr>
      <t xml:space="preserve"> from line 260 of your return.</t>
    </r>
  </si>
  <si>
    <r>
      <t xml:space="preserve">Read the attached information sheet.  On the sheet we define </t>
    </r>
    <r>
      <rPr>
        <b/>
        <sz val="12"/>
        <rFont val="Arial MT"/>
        <family val="0"/>
      </rPr>
      <t xml:space="preserve">child care expenses, eligible child, net income, </t>
    </r>
    <r>
      <rPr>
        <sz val="12"/>
        <rFont val="Arial MT"/>
        <family val="0"/>
      </rPr>
      <t>and</t>
    </r>
    <r>
      <rPr>
        <b/>
        <sz val="12"/>
        <rFont val="Arial MT"/>
        <family val="0"/>
      </rPr>
      <t xml:space="preserve"> earned income, and</t>
    </r>
  </si>
  <si>
    <r>
      <rPr>
        <sz val="12"/>
        <rFont val="Arial MT"/>
        <family val="0"/>
      </rPr>
      <t xml:space="preserve">educational program.  For more details, see interpretation Bulletin IT-495, </t>
    </r>
    <r>
      <rPr>
        <i/>
        <sz val="12"/>
        <rFont val="Arial MT"/>
        <family val="0"/>
      </rPr>
      <t>Child Care Expenses.</t>
    </r>
  </si>
  <si>
    <t>Do not include receipts, but keep them in case we ask to see them.</t>
  </si>
  <si>
    <t>Each person claiming the child care expenses deduction must attach a completed Form T778 to his or her return.</t>
  </si>
  <si>
    <r>
      <t xml:space="preserve">If there is </t>
    </r>
    <r>
      <rPr>
        <b/>
        <sz val="12"/>
        <rFont val="Arial MT"/>
        <family val="0"/>
      </rPr>
      <t>another person</t>
    </r>
    <r>
      <rPr>
        <sz val="12"/>
        <rFont val="Arial MT"/>
        <family val="0"/>
      </rPr>
      <t xml:space="preserve"> (as described under "Who can claim child care expenses?" on the attached sheet) and you are the one with the</t>
    </r>
  </si>
  <si>
    <r>
      <rPr>
        <b/>
        <sz val="12"/>
        <rFont val="Arial MT"/>
        <family val="0"/>
      </rPr>
      <t>lower net income</t>
    </r>
    <r>
      <rPr>
        <sz val="12"/>
        <rFont val="Arial MT"/>
        <family val="0"/>
      </rPr>
      <t>, complete Parts A and B.</t>
    </r>
  </si>
  <si>
    <r>
      <t xml:space="preserve">If there is </t>
    </r>
    <r>
      <rPr>
        <b/>
        <sz val="12"/>
        <rFont val="Arial MT"/>
        <family val="0"/>
      </rPr>
      <t>another person</t>
    </r>
    <r>
      <rPr>
        <sz val="12"/>
        <rFont val="Arial MT"/>
        <family val="0"/>
      </rPr>
      <t xml:space="preserve"> (as described under "Who can claim child care expenses?"on the attached sheet) and you are the one with the</t>
    </r>
  </si>
  <si>
    <r>
      <rPr>
        <b/>
        <sz val="12"/>
        <rFont val="Arial MT"/>
        <family val="0"/>
      </rPr>
      <t>higher net income</t>
    </r>
    <r>
      <rPr>
        <sz val="12"/>
        <rFont val="Arial MT"/>
        <family val="0"/>
      </rPr>
      <t>, complete parts A, B, C, and, if it applies, Part D.</t>
    </r>
  </si>
  <si>
    <r>
      <t xml:space="preserve">If you are the </t>
    </r>
    <r>
      <rPr>
        <b/>
        <sz val="12"/>
        <rFont val="Arial MT"/>
        <family val="0"/>
      </rPr>
      <t xml:space="preserve">only person </t>
    </r>
    <r>
      <rPr>
        <sz val="12"/>
        <rFont val="Arial MT"/>
        <family val="0"/>
      </rPr>
      <t>claiming child care expenses</t>
    </r>
    <r>
      <rPr>
        <sz val="12"/>
        <rFont val="Arial MT"/>
        <family val="0"/>
      </rPr>
      <t>, complete parts A and B, and, if it applies, Part D.</t>
    </r>
  </si>
  <si>
    <t>Add lines 1 to 3.</t>
  </si>
  <si>
    <r>
      <t xml:space="preserve">Enter your </t>
    </r>
    <r>
      <rPr>
        <b/>
        <sz val="12"/>
        <rFont val="Arial MT"/>
        <family val="0"/>
      </rPr>
      <t>total child care expenses</t>
    </r>
    <r>
      <rPr>
        <sz val="12"/>
        <rFont val="Arial MT"/>
        <family val="0"/>
      </rPr>
      <t xml:space="preserve"> from Part A.</t>
    </r>
  </si>
  <si>
    <r>
      <t xml:space="preserve">Enter the amount from line 4, 5, or 6, whichever is </t>
    </r>
    <r>
      <rPr>
        <b/>
        <sz val="12"/>
        <rFont val="Arial MT"/>
        <family val="0"/>
      </rPr>
      <t>least.</t>
    </r>
  </si>
  <si>
    <t>Part D.  Otherwise, enter this amount on line 214 of your return.</t>
  </si>
  <si>
    <r>
      <t xml:space="preserve">lower net income was in a situation described below.  Give the name, social insurance number, and the net income of the other person, </t>
    </r>
  </si>
  <si>
    <r>
      <t>and</t>
    </r>
    <r>
      <rPr>
        <sz val="12"/>
        <rFont val="Arial MT"/>
        <family val="0"/>
      </rPr>
      <t xml:space="preserve"> tick the boxes that apply.</t>
    </r>
  </si>
  <si>
    <t xml:space="preserve">    attached sheet).</t>
  </si>
  <si>
    <r>
      <t xml:space="preserve">a) The other person attended school and was enrolled in a </t>
    </r>
    <r>
      <rPr>
        <b/>
        <sz val="12"/>
        <rFont val="Arial MT"/>
        <family val="0"/>
      </rPr>
      <t>part-time</t>
    </r>
    <r>
      <rPr>
        <sz val="12"/>
        <rFont val="Arial MT"/>
        <family val="0"/>
      </rPr>
      <t xml:space="preserve"> educational program (see "Educational program" on the</t>
    </r>
  </si>
  <si>
    <t xml:space="preserve">     Attach a statement from the attending physician certifying this information.</t>
  </si>
  <si>
    <t>d) The other person was not capable of caring for children because of a mental or physical infirmity and this situation is likely</t>
  </si>
  <si>
    <t xml:space="preserve">     been confined for a period of at least two weeks to a bed or wheelchair, or as a patient in a hospital, or other similar institution.</t>
  </si>
  <si>
    <r>
      <t xml:space="preserve">You were the </t>
    </r>
    <r>
      <rPr>
        <b/>
        <sz val="12"/>
        <rFont val="Arial MT"/>
        <family val="0"/>
      </rPr>
      <t xml:space="preserve">only person </t>
    </r>
    <r>
      <rPr>
        <sz val="12"/>
        <rFont val="Arial MT"/>
        <family val="0"/>
      </rPr>
      <t>making a claim</t>
    </r>
    <r>
      <rPr>
        <b/>
        <sz val="12"/>
        <rFont val="Arial MT"/>
        <family val="0"/>
      </rPr>
      <t>,</t>
    </r>
    <r>
      <rPr>
        <sz val="12"/>
        <rFont val="Arial MT"/>
        <family val="0"/>
      </rPr>
      <t xml:space="preserve"> line 7 equals line 6 in Part B, and you were enrolled in a program (see " Educational</t>
    </r>
  </si>
  <si>
    <t>program" on the attached sheet).</t>
  </si>
  <si>
    <r>
      <t>person</t>
    </r>
    <r>
      <rPr>
        <sz val="12"/>
        <rFont val="Arial MT"/>
        <family val="0"/>
      </rPr>
      <t xml:space="preserve"> (as described under "Who can claim child care expenses?" on the attached sheet) were enrolled in a program (see</t>
    </r>
  </si>
  <si>
    <r>
      <t xml:space="preserve">"Educational program" on the attached sheet).  </t>
    </r>
    <r>
      <rPr>
        <b/>
        <sz val="12"/>
        <rFont val="Arial MT"/>
        <family val="0"/>
      </rPr>
      <t>But first, complete Part C.</t>
    </r>
  </si>
  <si>
    <r>
      <t>full-time</t>
    </r>
    <r>
      <rPr>
        <sz val="12"/>
        <rFont val="Arial MT"/>
        <family val="0"/>
      </rPr>
      <t xml:space="preserve"> education program.  If there was </t>
    </r>
    <r>
      <rPr>
        <b/>
        <sz val="12"/>
        <rFont val="Arial MT"/>
        <family val="0"/>
      </rPr>
      <t>another person</t>
    </r>
    <r>
      <rPr>
        <sz val="12"/>
        <rFont val="Arial MT"/>
        <family val="0"/>
      </rPr>
      <t xml:space="preserve"> (as described in the section "Who can claim child</t>
    </r>
  </si>
  <si>
    <r>
      <t xml:space="preserve">care expenses?"), he or she must also have been enrolled in a  </t>
    </r>
    <r>
      <rPr>
        <b/>
        <sz val="12"/>
        <rFont val="Arial MT"/>
        <family val="0"/>
      </rPr>
      <t>full-time</t>
    </r>
    <r>
      <rPr>
        <sz val="12"/>
        <rFont val="Arial MT"/>
        <family val="0"/>
      </rPr>
      <t xml:space="preserve"> educational program during</t>
    </r>
  </si>
  <si>
    <r>
      <t xml:space="preserve">the </t>
    </r>
    <r>
      <rPr>
        <b/>
        <sz val="12"/>
        <rFont val="Arial MT"/>
        <family val="0"/>
      </rPr>
      <t>same weeks.</t>
    </r>
  </si>
  <si>
    <r>
      <t xml:space="preserve">there was no </t>
    </r>
    <r>
      <rPr>
        <b/>
        <sz val="12"/>
        <rFont val="Arial MT"/>
        <family val="0"/>
      </rPr>
      <t>other person</t>
    </r>
    <r>
      <rPr>
        <sz val="12"/>
        <rFont val="Arial MT"/>
        <family val="0"/>
      </rPr>
      <t xml:space="preserve"> (as described under "Who can claim child care expenses?" on the attached</t>
    </r>
  </si>
  <si>
    <r>
      <t xml:space="preserve">sheet) and you were enrolled in a </t>
    </r>
    <r>
      <rPr>
        <b/>
        <sz val="12"/>
        <rFont val="Arial MT"/>
        <family val="0"/>
      </rPr>
      <t>part-time</t>
    </r>
    <r>
      <rPr>
        <sz val="12"/>
        <rFont val="Arial MT"/>
        <family val="0"/>
      </rPr>
      <t xml:space="preserve"> educational program; or</t>
    </r>
  </si>
  <si>
    <r>
      <t xml:space="preserve">Enter the amount from line 18, 19, 20, 21, or (if it applies) 22, whichever is </t>
    </r>
    <r>
      <rPr>
        <b/>
        <sz val="12"/>
        <rFont val="Arial MT"/>
        <family val="0"/>
      </rPr>
      <t>least.</t>
    </r>
  </si>
  <si>
    <t>Enter the amount from line 9 (in Part B) or line 14 (in Part C), whichever applies to you.</t>
  </si>
  <si>
    <t>Joint Election To Split Pension Income</t>
  </si>
  <si>
    <t>Complete this form if you (the Pensioner) are electing to split your eligible pension income with your spouse or common-law partner</t>
  </si>
  <si>
    <t>form to his or her paper return. If you are filing electronically, keep it in case we ask to see it.</t>
  </si>
  <si>
    <t>(see the guide for details).</t>
  </si>
  <si>
    <r>
      <rPr>
        <b/>
        <sz val="12"/>
        <rFont val="Arial MT"/>
        <family val="0"/>
      </rPr>
      <t>Only one joint election can be made for a tax year.</t>
    </r>
    <r>
      <rPr>
        <sz val="12"/>
        <rFont val="Arial MT"/>
        <family val="0"/>
      </rPr>
      <t xml:space="preserve"> If both you and your spouse or common-law partner have eligible pension income,</t>
    </r>
  </si>
  <si>
    <r>
      <t xml:space="preserve">you will have to decide which </t>
    </r>
    <r>
      <rPr>
        <b/>
        <sz val="12"/>
        <rFont val="Arial MT"/>
        <family val="0"/>
      </rPr>
      <t>one</t>
    </r>
    <r>
      <rPr>
        <sz val="12"/>
        <rFont val="Arial MT"/>
        <family val="0"/>
      </rPr>
      <t xml:space="preserve"> of you will split his or her pension income. This form is to be filed by your</t>
    </r>
    <r>
      <rPr>
        <b/>
        <sz val="12"/>
        <rFont val="Arial MT"/>
        <family val="0"/>
      </rPr>
      <t xml:space="preserve"> filing due date</t>
    </r>
    <r>
      <rPr>
        <sz val="12"/>
        <rFont val="Arial MT"/>
        <family val="0"/>
      </rPr>
      <t xml:space="preserve"> for the year</t>
    </r>
  </si>
  <si>
    <r>
      <rPr>
        <b/>
        <sz val="12"/>
        <rFont val="Arial MT"/>
        <family val="0"/>
      </rPr>
      <t>Sign and attach</t>
    </r>
    <r>
      <rPr>
        <sz val="12"/>
        <rFont val="Arial MT"/>
        <family val="0"/>
      </rPr>
      <t xml:space="preserve"> this form to your paper return. Your spouse or common-law partner must also attach a completed and signed copy of this</t>
    </r>
  </si>
  <si>
    <t>Information about you (the Pensioner)</t>
  </si>
  <si>
    <t xml:space="preserve">Tax Year   </t>
  </si>
  <si>
    <t>Information about your spouse or common-law partner (the Pension Transferee)</t>
  </si>
  <si>
    <t xml:space="preserve"> Home address (if different from above)</t>
  </si>
  <si>
    <t>To calculate the amount of eligible pension income for the purpose of this election, you (the Pensioner) must</t>
  </si>
  <si>
    <r>
      <t xml:space="preserve">Enter on this line, the amount from line A of the chart for line 314 of your </t>
    </r>
    <r>
      <rPr>
        <i/>
        <sz val="12"/>
        <rFont val="Arial MT"/>
        <family val="0"/>
      </rPr>
      <t>Federal Worksheet.</t>
    </r>
  </si>
  <si>
    <t>Enter the amount, not exceeding the amount from line D, that you (the Pensioner) and your spouse or</t>
  </si>
  <si>
    <t>Go to Step 4 on the next page =&gt;</t>
  </si>
  <si>
    <r>
      <t>Part A - If you are the Pensioner</t>
    </r>
    <r>
      <rPr>
        <sz val="12"/>
        <rFont val="Arial MT"/>
        <family val="0"/>
      </rPr>
      <t>, complete the following calculation:</t>
    </r>
  </si>
  <si>
    <r>
      <t>Part B - If you are the Pension Transferee</t>
    </r>
    <r>
      <rPr>
        <sz val="12"/>
        <rFont val="Arial MT"/>
        <family val="0"/>
      </rPr>
      <t>, complete the following calculation:</t>
    </r>
  </si>
  <si>
    <r>
      <t xml:space="preserve">Enter the amount from line E unless the </t>
    </r>
    <r>
      <rPr>
        <b/>
        <sz val="12"/>
        <rFont val="Arial MT"/>
        <family val="0"/>
      </rPr>
      <t>note</t>
    </r>
    <r>
      <rPr>
        <sz val="12"/>
        <rFont val="Arial MT"/>
        <family val="0"/>
      </rPr>
      <t xml:space="preserve"> below applies.</t>
    </r>
  </si>
  <si>
    <t>If you have an amount on line 115 or line 129 of your return, enter the amount from line A from the chart</t>
  </si>
  <si>
    <t>Pensioner is age 65 or older, and he or she received any RRIF, RRSP or other annuity payments (other than amounts received</t>
  </si>
  <si>
    <t>due to the death of his or her spouse or common-law partner), calculate the amount to enter on line K as follows</t>
  </si>
  <si>
    <t>(use a separate sheet):</t>
  </si>
  <si>
    <r>
      <t xml:space="preserve"> </t>
    </r>
    <r>
      <rPr>
        <b/>
        <sz val="12"/>
        <rFont val="Arial MT"/>
        <family val="0"/>
      </rPr>
      <t xml:space="preserve"> (2)</t>
    </r>
    <r>
      <rPr>
        <sz val="12"/>
        <rFont val="Arial MT"/>
        <family val="0"/>
      </rPr>
      <t xml:space="preserve">     If the balance from (1) above is </t>
    </r>
    <r>
      <rPr>
        <b/>
        <sz val="12"/>
        <rFont val="Arial MT"/>
        <family val="0"/>
      </rPr>
      <t>$4,000 or more</t>
    </r>
    <r>
      <rPr>
        <sz val="12"/>
        <rFont val="Arial MT"/>
        <family val="0"/>
      </rPr>
      <t>, enter on line K the amount from line E</t>
    </r>
  </si>
  <si>
    <r>
      <rPr>
        <b/>
        <sz val="12"/>
        <rFont val="Arial MT"/>
        <family val="0"/>
      </rPr>
      <t xml:space="preserve">  (3)</t>
    </r>
    <r>
      <rPr>
        <sz val="12"/>
        <rFont val="Arial MT"/>
        <family val="0"/>
      </rPr>
      <t xml:space="preserve">    If the balance from (1) above is</t>
    </r>
    <r>
      <rPr>
        <b/>
        <sz val="12"/>
        <rFont val="Arial MT"/>
        <family val="0"/>
      </rPr>
      <t xml:space="preserve"> less than $4,000</t>
    </r>
    <r>
      <rPr>
        <sz val="12"/>
        <rFont val="Arial MT"/>
        <family val="0"/>
      </rPr>
      <t>, complete the Step 2 calculation using the balance from (1) as the amount for</t>
    </r>
  </si>
  <si>
    <r>
      <t xml:space="preserve">           line A. Enter on line K the result of this calculation or the amount from line E, whichever is </t>
    </r>
    <r>
      <rPr>
        <b/>
        <sz val="12"/>
        <rFont val="Arial MT"/>
        <family val="0"/>
      </rPr>
      <t>less.</t>
    </r>
  </si>
  <si>
    <t>Enter the total tax deducted from your (the Pensioner) information slips</t>
  </si>
  <si>
    <t>that relates only to the eligible pension income entered on line A.*</t>
  </si>
  <si>
    <t>You must complete the following calculation to determine the part of the tax deducted that relates to the elected split-pension amount:</t>
  </si>
  <si>
    <t>* If your (the Pensioner) information slip(s) includes both eligible and non-eligible pension income for which income tax was</t>
  </si>
  <si>
    <t>income entered on line A.</t>
  </si>
  <si>
    <r>
      <t xml:space="preserve">deducted, you </t>
    </r>
    <r>
      <rPr>
        <b/>
        <sz val="12"/>
        <rFont val="Arial MT"/>
        <family val="0"/>
      </rPr>
      <t>must</t>
    </r>
    <r>
      <rPr>
        <sz val="12"/>
        <rFont val="Arial MT"/>
        <family val="0"/>
      </rPr>
      <t xml:space="preserve"> calculate and include on line M, the part of income tax deducted that relates only to the eligible pension</t>
    </r>
  </si>
  <si>
    <r>
      <t xml:space="preserve">If you are the Pensioner, </t>
    </r>
    <r>
      <rPr>
        <b/>
        <sz val="12"/>
        <rFont val="Arial MT"/>
        <family val="0"/>
      </rPr>
      <t>subtract</t>
    </r>
    <r>
      <rPr>
        <sz val="12"/>
        <rFont val="Arial MT"/>
        <family val="0"/>
      </rPr>
      <t xml:space="preserve"> the amount on line N from the total of your income tax deducted from </t>
    </r>
    <r>
      <rPr>
        <b/>
        <sz val="12"/>
        <rFont val="Arial MT"/>
        <family val="0"/>
      </rPr>
      <t>all</t>
    </r>
    <r>
      <rPr>
        <sz val="12"/>
        <rFont val="Arial MT"/>
        <family val="0"/>
      </rPr>
      <t xml:space="preserve"> of your information slips.</t>
    </r>
  </si>
  <si>
    <r>
      <t xml:space="preserve">If you are the Pension Transferee, </t>
    </r>
    <r>
      <rPr>
        <b/>
        <sz val="12"/>
        <rFont val="Arial MT"/>
        <family val="0"/>
      </rPr>
      <t>add</t>
    </r>
    <r>
      <rPr>
        <sz val="12"/>
        <rFont val="Arial MT"/>
        <family val="0"/>
      </rPr>
      <t xml:space="preserve"> the amount on line N to the total of your income tax deducted from </t>
    </r>
    <r>
      <rPr>
        <b/>
        <sz val="12"/>
        <rFont val="Arial MT"/>
        <family val="0"/>
      </rPr>
      <t>all</t>
    </r>
    <r>
      <rPr>
        <sz val="12"/>
        <rFont val="Arial MT"/>
        <family val="0"/>
      </rPr>
      <t xml:space="preserve"> of your information</t>
    </r>
  </si>
  <si>
    <r>
      <t xml:space="preserve">By completing this form and signing below, </t>
    </r>
    <r>
      <rPr>
        <b/>
        <sz val="12"/>
        <rFont val="Arial MT"/>
        <family val="0"/>
      </rPr>
      <t>we</t>
    </r>
    <r>
      <rPr>
        <sz val="12"/>
        <rFont val="Arial MT"/>
        <family val="0"/>
      </rPr>
      <t xml:space="preserve"> jointly </t>
    </r>
    <r>
      <rPr>
        <b/>
        <sz val="12"/>
        <rFont val="Arial MT"/>
        <family val="0"/>
      </rPr>
      <t xml:space="preserve">elect and agree </t>
    </r>
    <r>
      <rPr>
        <sz val="12"/>
        <rFont val="Arial MT"/>
        <family val="0"/>
      </rPr>
      <t>that the split-pension amount entered on line E of Step 3 will be</t>
    </r>
  </si>
  <si>
    <t>deducted in computing the net income of the Pensioner and reported as income by the Pension Transferee on our income tax returns</t>
  </si>
  <si>
    <t>be owing as a result of this election.</t>
  </si>
  <si>
    <t xml:space="preserve">    Part 2 - Calculating your Employment Insurance overpayment</t>
  </si>
  <si>
    <r>
      <t xml:space="preserve">Required premium: </t>
    </r>
    <r>
      <rPr>
        <b/>
        <sz val="9"/>
        <color indexed="8"/>
        <rFont val="Arial"/>
        <family val="2"/>
      </rPr>
      <t>Residents of other than Quebec</t>
    </r>
    <r>
      <rPr>
        <sz val="9"/>
        <color indexed="8"/>
        <rFont val="Arial"/>
        <family val="2"/>
      </rPr>
      <t xml:space="preserve"> (multiply line 1 by 1.73%)</t>
    </r>
  </si>
  <si>
    <r>
      <t xml:space="preserve">1. </t>
    </r>
    <r>
      <rPr>
        <b/>
        <sz val="9"/>
        <color indexed="8"/>
        <rFont val="Arial"/>
        <family val="2"/>
      </rPr>
      <t>Add</t>
    </r>
    <r>
      <rPr>
        <sz val="9"/>
        <color indexed="8"/>
        <rFont val="Arial"/>
        <family val="2"/>
      </rPr>
      <t xml:space="preserve"> the amounts in boxes 20, 22, and 26 of all your T4RSP  slips, you received for spousal or</t>
    </r>
  </si>
  <si>
    <t>common-law partner RRSPs for the year you indicated above. Enter the total.</t>
  </si>
  <si>
    <t>2. Enter the part of the line 1 amount that was directly transferred to another RSP or RRIF, or</t>
  </si>
  <si>
    <t>used to buy an annuity that cannot be commuted for at least three years from the day it was bought.</t>
  </si>
  <si>
    <t xml:space="preserve"> year you indicated above and the two preceding years.</t>
  </si>
  <si>
    <r>
      <t xml:space="preserve">8. Enter the amount from line 3 or line 6, </t>
    </r>
    <r>
      <rPr>
        <b/>
        <sz val="9"/>
        <color indexed="8"/>
        <rFont val="Arial"/>
        <family val="2"/>
      </rPr>
      <t>whichever is less</t>
    </r>
    <r>
      <rPr>
        <sz val="9"/>
        <color indexed="8"/>
        <rFont val="Arial"/>
        <family val="2"/>
      </rPr>
      <t>. Your spouse or common-law partner reports this income on</t>
    </r>
  </si>
  <si>
    <t xml:space="preserve">   line 129 of his or her return for the year you indicated above.</t>
  </si>
  <si>
    <r>
      <t xml:space="preserve">9. Line 7 </t>
    </r>
    <r>
      <rPr>
        <b/>
        <sz val="9"/>
        <color indexed="8"/>
        <rFont val="Arial"/>
        <family val="2"/>
      </rPr>
      <t>minus</t>
    </r>
    <r>
      <rPr>
        <sz val="9"/>
        <color indexed="8"/>
        <rFont val="Arial"/>
        <family val="2"/>
      </rPr>
      <t xml:space="preserve"> line 8. Report this income on line 129 of your return for the year you indicated above.</t>
    </r>
  </si>
  <si>
    <t xml:space="preserve"> common-law partner RRIFs for the year you indicated above.</t>
  </si>
  <si>
    <t xml:space="preserve">11. Enter the total of the amounts in box 24 of the T4RIF slips you received  </t>
  </si>
  <si>
    <t xml:space="preserve">    from spousal or common-law partner RRIFs in the year you indicated </t>
  </si>
  <si>
    <t xml:space="preserve">   above.</t>
  </si>
  <si>
    <t>to another RRIF or an RRSP, or used to buy an annuity that cannot</t>
  </si>
  <si>
    <t xml:space="preserve"> be commuted for at least three years from the day it was bought.</t>
  </si>
  <si>
    <t>15. Enter the total amount that your spouse or common-law partner contributed to your RRSPs in</t>
  </si>
  <si>
    <t xml:space="preserve">     the year you indicated above and the two preceding years. If you completed Part 1 above, </t>
  </si>
  <si>
    <t xml:space="preserve">    enter the amount from line 4.</t>
  </si>
  <si>
    <t>16. Enter the portion of the line 15 amount that your spouse or common-law partner contributed to</t>
  </si>
  <si>
    <t xml:space="preserve">      your RRSPs in the two preceding years and indicated in income for one of those two preceding</t>
  </si>
  <si>
    <t xml:space="preserve">     years.  If you completed Part 1 above, add the amounts from line 5 and line 8 and enter the  result.</t>
  </si>
  <si>
    <t xml:space="preserve"> the year you indicated above, and enter the total.</t>
  </si>
  <si>
    <r>
      <t xml:space="preserve">19. Enter the amount from line 14 or line 17, </t>
    </r>
    <r>
      <rPr>
        <b/>
        <sz val="9"/>
        <color indexed="8"/>
        <rFont val="Arial"/>
        <family val="2"/>
      </rPr>
      <t>whichever is less.</t>
    </r>
    <r>
      <rPr>
        <sz val="9"/>
        <color indexed="8"/>
        <rFont val="Arial"/>
        <family val="2"/>
      </rPr>
      <t xml:space="preserve"> If spouse or common-law partner was 65 or older</t>
    </r>
  </si>
  <si>
    <t xml:space="preserve">    at the end of the year you indicated above, he or she reports this income on line 115 of his or her return for that year.</t>
  </si>
  <si>
    <t xml:space="preserve">    Otherwise, your spouse or common-law partner reports this amount on line 130.</t>
  </si>
  <si>
    <r>
      <t xml:space="preserve">20. Line 18 </t>
    </r>
    <r>
      <rPr>
        <b/>
        <sz val="9"/>
        <color indexed="8"/>
        <rFont val="Arial"/>
        <family val="2"/>
      </rPr>
      <t>minus</t>
    </r>
    <r>
      <rPr>
        <sz val="9"/>
        <color indexed="8"/>
        <rFont val="Arial"/>
        <family val="2"/>
      </rPr>
      <t xml:space="preserve"> line 19. If you were 65 or older at the end of the year you indicted in the title, report this income on</t>
    </r>
  </si>
  <si>
    <t xml:space="preserve">      line 115 of your own return for that year. Otherwise, report this amount on line 130.</t>
  </si>
  <si>
    <t>T2205 E (08)</t>
  </si>
  <si>
    <t>2005: $3,000</t>
  </si>
  <si>
    <t>2006: $8,000</t>
  </si>
  <si>
    <t>2008: $ 0</t>
  </si>
  <si>
    <t>2007: $5,000</t>
  </si>
  <si>
    <t>2008: $4,000</t>
  </si>
  <si>
    <t>James had to include $5,000 in income for 2007. That $5,000 represented, in order, $3,000 from 2005, and</t>
  </si>
  <si>
    <t>$2,000 from the 2006 contribution of $8,000.</t>
  </si>
  <si>
    <t>When Tania completes this form for 2008, the amount on line 5 will be $2,000 (the amount James included in</t>
  </si>
  <si>
    <t>income for the 2006 contribution).</t>
  </si>
  <si>
    <r>
      <t xml:space="preserve">to </t>
    </r>
    <r>
      <rPr>
        <b/>
        <sz val="12"/>
        <rFont val="Arial MT"/>
        <family val="0"/>
      </rPr>
      <t>all foreign countries is more than $200</t>
    </r>
    <r>
      <rPr>
        <sz val="12"/>
        <rFont val="Arial MT"/>
        <family val="0"/>
      </rPr>
      <t>, do a calculation on a separate sheet for each foreign country to which you paid taxes, and add the totals to</t>
    </r>
  </si>
  <si>
    <r>
      <t xml:space="preserve">Enter the amount from line 4, 7, or 8, whichever is </t>
    </r>
    <r>
      <rPr>
        <b/>
        <sz val="12"/>
        <rFont val="Arial MT"/>
        <family val="0"/>
      </rPr>
      <t>less</t>
    </r>
  </si>
  <si>
    <t xml:space="preserve">     for that income;</t>
  </si>
  <si>
    <r>
      <rPr>
        <b/>
        <sz val="12"/>
        <rFont val="Arial MT"/>
        <family val="0"/>
      </rPr>
      <t>minus</t>
    </r>
    <r>
      <rPr>
        <sz val="12"/>
        <rFont val="Arial MT"/>
        <family val="0"/>
      </rPr>
      <t xml:space="preserve"> any:</t>
    </r>
  </si>
  <si>
    <r>
      <t xml:space="preserve">(h)  </t>
    </r>
    <r>
      <rPr>
        <b/>
        <sz val="12"/>
        <rFont val="Arial MT"/>
        <family val="0"/>
      </rPr>
      <t>Basic federal tax</t>
    </r>
    <r>
      <rPr>
        <sz val="12"/>
        <rFont val="Arial MT"/>
        <family val="0"/>
      </rPr>
      <t xml:space="preserve"> – Line 429 of Schedule 1 </t>
    </r>
    <r>
      <rPr>
        <b/>
        <sz val="12"/>
        <rFont val="Arial MT"/>
        <family val="0"/>
      </rPr>
      <t>plus</t>
    </r>
    <r>
      <rPr>
        <sz val="12"/>
        <rFont val="Arial MT"/>
        <family val="0"/>
      </rPr>
      <t xml:space="preserve"> any:</t>
    </r>
  </si>
  <si>
    <t>EI benefits repayment from line 4 of the chart on your T4E slip (if any)</t>
  </si>
  <si>
    <t>Line 6 minus line 10</t>
  </si>
  <si>
    <t>Add lines 12 and 13.</t>
  </si>
  <si>
    <t>Add lines 11 and 14.</t>
  </si>
  <si>
    <t>Multiply the amount on line 17 by 15%</t>
  </si>
  <si>
    <t>Line 15 minus line 16 (if negative, enter "0")</t>
  </si>
  <si>
    <r>
      <t xml:space="preserve">Enter the amount from line 5 or line 18, whichever is </t>
    </r>
    <r>
      <rPr>
        <b/>
        <sz val="14"/>
        <color indexed="8"/>
        <rFont val="Arial"/>
        <family val="2"/>
      </rPr>
      <t>less</t>
    </r>
  </si>
  <si>
    <t>Add lines 19 and 20.  Enter this amount on lines 235 and 422 of your  return.</t>
  </si>
  <si>
    <t>your spouse's or common-law partner's Schedule 1.</t>
  </si>
  <si>
    <r>
      <t xml:space="preserve">Enter, on line 314 of Schedule 1, </t>
    </r>
    <r>
      <rPr>
        <b/>
        <sz val="12"/>
        <color indexed="8"/>
        <rFont val="Arial"/>
        <family val="2"/>
      </rPr>
      <t>$2,000</t>
    </r>
    <r>
      <rPr>
        <sz val="12"/>
        <color indexed="8"/>
        <rFont val="Arial"/>
        <family val="2"/>
      </rPr>
      <t xml:space="preserve"> or the amount on line A, whichever is </t>
    </r>
    <r>
      <rPr>
        <b/>
        <sz val="12"/>
        <color indexed="8"/>
        <rFont val="Arial"/>
        <family val="2"/>
      </rPr>
      <t>less.</t>
    </r>
    <r>
      <rPr>
        <sz val="12"/>
        <color indexed="8"/>
        <rFont val="Arial"/>
        <family val="2"/>
      </rPr>
      <t xml:space="preserve"> However, if you and your spouse or common-law</t>
    </r>
  </si>
  <si>
    <r>
      <t xml:space="preserve">partner are electing to split </t>
    </r>
    <r>
      <rPr>
        <b/>
        <sz val="12"/>
        <color indexed="8"/>
        <rFont val="Arial"/>
        <family val="2"/>
      </rPr>
      <t>your</t>
    </r>
    <r>
      <rPr>
        <sz val="12"/>
        <color indexed="8"/>
        <rFont val="Arial"/>
        <family val="2"/>
      </rPr>
      <t xml:space="preserve"> eligible pension income, enter the amount from line A on line A of Form T1032, </t>
    </r>
    <r>
      <rPr>
        <i/>
        <sz val="12"/>
        <color indexed="8"/>
        <rFont val="Arial"/>
        <family val="2"/>
      </rPr>
      <t>Joint Election to Split</t>
    </r>
  </si>
  <si>
    <r>
      <rPr>
        <i/>
        <sz val="12"/>
        <color indexed="8"/>
        <rFont val="Arial"/>
        <family val="2"/>
      </rPr>
      <t>Pension Income</t>
    </r>
    <r>
      <rPr>
        <sz val="12"/>
        <color indexed="8"/>
        <rFont val="Arial"/>
        <family val="2"/>
      </rPr>
      <t>. Follow the instructions at Step 4 on Form T1032 to calculate the pension income amount to enter on line 314 of your and</t>
    </r>
  </si>
  <si>
    <t>Add lines 4 and 5.</t>
  </si>
  <si>
    <t>Line 3 minus line 6</t>
  </si>
  <si>
    <t>Add lines 8 and 9.</t>
  </si>
  <si>
    <t>Adjusted family net income: add lines 7 and 10.</t>
  </si>
  <si>
    <t>Line 14 minus line 15 (if negative, enter "0").  Enter this amount on line 452 of your return.</t>
  </si>
  <si>
    <t>Enter the amount from line 7 above (if any).</t>
  </si>
  <si>
    <t>THE T1 &amp; SCH LINES THAT NEED THE DATA</t>
  </si>
  <si>
    <t>Data
T4PS #5</t>
  </si>
  <si>
    <t xml:space="preserve"> For example, if you have the following amounts in three box 35's:  21500.00, 1467.33, 991.56, </t>
  </si>
  <si>
    <t>If you have more than five T4RIF forms, you can add the data from the extra ones as a sum rather than a single #.</t>
  </si>
  <si>
    <t>Data
T4RIF #1</t>
  </si>
  <si>
    <t>Data
T4RIF #2</t>
  </si>
  <si>
    <t>Data
T4RIF #3</t>
  </si>
  <si>
    <t>Data
T4RIF #4</t>
  </si>
  <si>
    <t>Data
T4RIF #5</t>
  </si>
  <si>
    <t>Enter this amount on line 5864 of your Form AB428.</t>
  </si>
  <si>
    <t>Schedule AB(S11)</t>
  </si>
  <si>
    <t>Total of lines 5804 to 5848 of your Form AB428</t>
  </si>
  <si>
    <t>Your language of correspondence:</t>
  </si>
  <si>
    <t>232</t>
  </si>
  <si>
    <t>250</t>
  </si>
  <si>
    <t>Sch3</t>
  </si>
  <si>
    <t>425</t>
  </si>
  <si>
    <t>431</t>
  </si>
  <si>
    <t>433</t>
  </si>
  <si>
    <t>456</t>
  </si>
  <si>
    <t>107</t>
  </si>
  <si>
    <r>
      <t xml:space="preserve">the </t>
    </r>
    <r>
      <rPr>
        <i/>
        <sz val="12"/>
        <color indexed="8"/>
        <rFont val="Arial"/>
        <family val="2"/>
      </rPr>
      <t>Provincial Worksheet</t>
    </r>
  </si>
  <si>
    <t>Enter your Alberta political contributions</t>
  </si>
  <si>
    <r>
      <t>the</t>
    </r>
    <r>
      <rPr>
        <i/>
        <sz val="12"/>
        <color indexed="8"/>
        <rFont val="Arial"/>
        <family val="2"/>
      </rPr>
      <t xml:space="preserve"> Provincial Worksheet</t>
    </r>
  </si>
  <si>
    <t>of claim</t>
  </si>
  <si>
    <t>Result: (a-b-c) or 0 if negative, +d</t>
  </si>
  <si>
    <t>Net Income</t>
  </si>
  <si>
    <t>5880</t>
  </si>
  <si>
    <t>Welcome to the data entry interface for your T5007 slips.</t>
  </si>
  <si>
    <t>MyTAX does NOT allow you to enter T5007 data directly to other sheets and forms and schedules</t>
  </si>
  <si>
    <t xml:space="preserve">Amounts transferred from your spouse or common-law partner: </t>
  </si>
  <si>
    <t>Attach a separate sheet of paper if you need more space.  Attach a copy of this schedule to your return.</t>
  </si>
  <si>
    <t>Line 5872 - Allowable amount of medical expenses for other dependants</t>
  </si>
  <si>
    <t>Medical expenses for other dependant</t>
  </si>
  <si>
    <t>Canada Revenue</t>
  </si>
  <si>
    <t>Agency</t>
  </si>
  <si>
    <t>Agence du revenu</t>
  </si>
  <si>
    <t>du Canada</t>
  </si>
  <si>
    <t>X 50%</t>
  </si>
  <si>
    <t>Data
T3 #5</t>
  </si>
  <si>
    <t>STATEMENT OF OLD AGE SECURITY</t>
  </si>
  <si>
    <t>Welcome to the data entry interface for your T4E slips.</t>
  </si>
  <si>
    <t>MyTAX does NOT allow you to enter T4E data directly to other sheets and forms and schedules</t>
  </si>
  <si>
    <r>
      <t xml:space="preserve">  </t>
    </r>
    <r>
      <rPr>
        <b/>
        <sz val="12"/>
        <color indexed="8"/>
        <rFont val="Arial"/>
        <family val="2"/>
      </rPr>
      <t>Result:</t>
    </r>
    <r>
      <rPr>
        <sz val="12"/>
        <color indexed="8"/>
        <rFont val="Arial"/>
        <family val="2"/>
      </rPr>
      <t xml:space="preserve"> (if negative, enter "0")</t>
    </r>
  </si>
  <si>
    <t>Multiply the amount on line 197 by 50%.  Enter the total taxable capital gains on line 127 of your return.</t>
  </si>
  <si>
    <t>you would position the cursor the data entry line 104 below, and then key in</t>
  </si>
  <si>
    <t>Welcome to the data entry interface for your T4RSP slips.</t>
  </si>
  <si>
    <t>Attach your personal label here.  Correct any wrong information.</t>
  </si>
  <si>
    <t>Protected against change</t>
  </si>
  <si>
    <t>for whom the disability amount cannot be claimed</t>
  </si>
  <si>
    <r>
      <t xml:space="preserve">Born in </t>
    </r>
  </si>
  <si>
    <t>Tuition and education amounts:</t>
  </si>
  <si>
    <t>x $7,000</t>
  </si>
  <si>
    <t>x $10,000</t>
  </si>
  <si>
    <t>x $4,000</t>
  </si>
  <si>
    <r>
      <t xml:space="preserve">Enter your </t>
    </r>
    <r>
      <rPr>
        <b/>
        <sz val="12"/>
        <rFont val="Arial MT"/>
        <family val="0"/>
      </rPr>
      <t>earned income</t>
    </r>
  </si>
  <si>
    <t>x  2/3</t>
  </si>
  <si>
    <t>Canada</t>
  </si>
  <si>
    <t xml:space="preserve">If none of these situations applies to you, do not complete this schedule.  </t>
  </si>
  <si>
    <t>Just enter your total RRSP contributions here:</t>
  </si>
  <si>
    <t>6801</t>
  </si>
  <si>
    <t>6798</t>
  </si>
  <si>
    <t>6796</t>
  </si>
  <si>
    <t>Unprotected cell</t>
  </si>
  <si>
    <t>Amount from Box E on the pensioner's T1032E</t>
  </si>
  <si>
    <t>Amount from Box L on the pensioner's T1032E</t>
  </si>
  <si>
    <t>Amount from Box N on the pensioner's T1032E</t>
  </si>
  <si>
    <t>(This amount will be transferred automatically to line 314 on Schedule 1)</t>
  </si>
  <si>
    <t>(This amount will be transferred automatically to line 437 in T1GEN-2-3-4)</t>
  </si>
  <si>
    <r>
      <t xml:space="preserve">Complete this section </t>
    </r>
    <r>
      <rPr>
        <b/>
        <sz val="12"/>
        <rFont val="Arial MT"/>
        <family val="0"/>
      </rPr>
      <t>ONLY IF</t>
    </r>
    <r>
      <rPr>
        <sz val="12"/>
        <rFont val="Arial MT"/>
        <family val="0"/>
      </rPr>
      <t xml:space="preserve"> this is the MyTAX workbook for the pensioner transferee. </t>
    </r>
  </si>
  <si>
    <t>(This amount will be transferred automatically to line 116 in T1GEN-2-3-4)</t>
  </si>
  <si>
    <t>Manually transfer to this section the relevant data from Form T1032E that is in the pensioner's MyTAX workbook.</t>
  </si>
  <si>
    <r>
      <t xml:space="preserve">DO NOT </t>
    </r>
    <r>
      <rPr>
        <sz val="12"/>
        <rFont val="Arial MT"/>
        <family val="0"/>
      </rPr>
      <t xml:space="preserve">complete this section if this is the MyTAX workbook of the pensioner electing to split pension income </t>
    </r>
  </si>
  <si>
    <t>Do not submit to CRA the printed page containing this Step with the return of the pensioner transferee.</t>
  </si>
  <si>
    <t>For Pensioner Transferee T1032E Form ONLY  - NOT for the Pensioner's  T1032E form.</t>
  </si>
  <si>
    <t>Step 7:</t>
  </si>
  <si>
    <t>Amount from line 234 of your return</t>
  </si>
  <si>
    <t>Enter the amount from box 30</t>
  </si>
  <si>
    <t>BC WRK</t>
  </si>
  <si>
    <t>BC(S2)</t>
  </si>
  <si>
    <t>BC(S11)</t>
  </si>
  <si>
    <t>AB WRK</t>
  </si>
  <si>
    <t>AB(S2)</t>
  </si>
  <si>
    <t>AB(S11)</t>
  </si>
  <si>
    <t>NS WRK</t>
  </si>
  <si>
    <t>NS(S2)</t>
  </si>
  <si>
    <t>NS(S11)</t>
  </si>
  <si>
    <t>T1 GENERAL</t>
  </si>
  <si>
    <t>T626</t>
  </si>
  <si>
    <t>T657</t>
  </si>
  <si>
    <t>T777</t>
  </si>
  <si>
    <t>T1139</t>
  </si>
  <si>
    <t>We list the major changes below, including income tax changes that have been announced but have not become law at this time. If they become law as proposed, they will be effective for 2009 or as the dates indicated.</t>
  </si>
  <si>
    <t>Registered disability savings plan (RDSP)</t>
  </si>
  <si>
    <t xml:space="preserve">The deadline for opening an RDSP, making contributions, and applying for the matching grant and the income-tested bond for 2008 was extended from December 31, 2008, to March 2, 2009. The 2009 RDSP contribution year began March 3, 2009. </t>
  </si>
  <si>
    <t>Apprenticeship completion grant</t>
  </si>
  <si>
    <t>Enter on line 130 income received from an apprenticeship completion grant. For more information, see line 130 - Other kinds of income.</t>
  </si>
  <si>
    <t>The amount has increased to $10,320. For more information, see line 300 - Basic personal amount.</t>
  </si>
  <si>
    <t xml:space="preserve">The maximum amount has increased to $6,408. For more information, see line 301- Age amount. </t>
  </si>
  <si>
    <t xml:space="preserve">The maximum amount has increased to $10,320. For more information, see line 303 - Spouse or common-law partner amount. </t>
  </si>
  <si>
    <t xml:space="preserve">The maximum amount has increased to $10,320. For more information, see line 305 - Amount for an eligible dependant. </t>
  </si>
  <si>
    <t xml:space="preserve">Home renovation expenses </t>
  </si>
  <si>
    <t>For 2009 only, you can claim an amount for eligible expenses incurred for work performed or goods acquired after January 27, 2009, and before February 1, 2010. For more information, see line 368- Home renovation expenses.</t>
  </si>
  <si>
    <t>Home buyers’ amount</t>
  </si>
  <si>
    <t>You can claim an amount of $5,000 if you purchased a qualifying home after January 27, 2009 (closing after this date). For more information, see line 369- Home buyers' amount.</t>
  </si>
  <si>
    <t xml:space="preserve">The deadline to claim the mineral exploration tax credit on qualifying expenses renounced under flow-through share agreements has been extended to March 31, 2010. For more information, see line 412 - Investment tax credit. </t>
  </si>
  <si>
    <t>New payment method</t>
  </si>
  <si>
    <t xml:space="preserve">You may be able to pay online using CRA’s My Payment option. </t>
  </si>
  <si>
    <t>Home Buyers’ Plan (HBP)</t>
  </si>
  <si>
    <t xml:space="preserve">The maximum amount you can withdraw from an RRSP under the HBP has increased to $25,000. For more information, see Home Buyers' Plan (HBP). </t>
  </si>
  <si>
    <t xml:space="preserve">Final return of a deceased person </t>
  </si>
  <si>
    <t xml:space="preserve">If an unmatured RRSP or RRIF of a deceased person decreases in value following death, and the final payment from that RRSP or RRIF is made after 2008, a deduction may be claimed on the final return of the deceased person for that decrease in value. For more information, see Guide T4040, RRSPs and Other Registered Plans for Retirement. </t>
  </si>
  <si>
    <t>http://www.cra-arc.gc.ca/tx/ndvdls/tpcs/rdsp-reei/menu-eng.html</t>
  </si>
  <si>
    <t>http://www.cra-arc.gc.ca/tx/ndvdls/tpcs/ncm-tx/rtrn/cmpltng/whtsnw-eng.html</t>
  </si>
  <si>
    <t>http://www.cra-arc.gc.ca/tx/ndvdls/tpcs/ncm-tx/rtrn/cmpltng/rprtng-ncm/lns101-170/130/s-thr-eng.html</t>
  </si>
  <si>
    <t>http://www.cra-arc.gc.ca/tx/ndvdls/tpcs/ncm-tx/rtrn/cmpltng/ddctns/lns300-350/300-eng.html</t>
  </si>
  <si>
    <t>http://www.cra-arc.gc.ca/tx/ndvdls/tpcs/ncm-tx/rtrn/cmpltng/ddctns/lns300-350/301/menu-eng.html</t>
  </si>
  <si>
    <t>http://www.cra-arc.gc.ca/tx/ndvdls/tpcs/ncm-tx/rtrn/cmpltng/ddctns/lns300-350/303/menu-eng.html</t>
  </si>
  <si>
    <t>http://www.cra-arc.gc.ca/tx/ndvdls/tpcs/ncm-tx/rtrn/cmpltng/ddctns/lns300-350/305/menu-eng.html</t>
  </si>
  <si>
    <t>http://www.cra-arc.gc.ca/tx/ndvdls/tpcs/ncm-tx/rtrn/cmpltng/ddctns/lns360-390/368-eng.html</t>
  </si>
  <si>
    <t>http://www.cra-arc.gc.ca/tx/ndvdls/tpcs/ncm-tx/rtrn/cmpltng/ddctns/lns360-390/369/menu-eng.html</t>
  </si>
  <si>
    <t>http://www.cra-arc.gc.ca/tx/ndvdls/tpcs/ncm-tx/rtrn/cmpltng/ddctns/lns409-485/412/menu-eng.html</t>
  </si>
  <si>
    <t>http://www.cra-arc.gc.ca/esrvc-srvce/tx/mypymnt/menu-eng.html</t>
  </si>
  <si>
    <t>http://www.cra-arc.gc.ca/tx/ndvdls/tpcs/rrsp-reer/hbp-rap/menu-eng.html?=slnk</t>
  </si>
  <si>
    <t>http://www.cra-arc.gc.ca/E/pub/tg/t4040/README.html</t>
  </si>
  <si>
    <t>your latest notice</t>
  </si>
  <si>
    <t>of assessment, notice of reassessment, or Form T1028,</t>
  </si>
  <si>
    <t>Total contributions * made to your RRSP or your spouse's or common-law partner's RRSP from:</t>
  </si>
  <si>
    <t>Total RRSP contributions: add lines 1 and 4.</t>
  </si>
  <si>
    <t>* Include your transfers and contributions that you are designating as a repayment under the HBP or LLP.
  See the guide for the list of contributions to exclude.</t>
  </si>
  <si>
    <t>RRSP contributions available to deduct</t>
  </si>
  <si>
    <t>notice of reassessment, or Form T1028,</t>
  </si>
  <si>
    <t>Tick this box if the address shown on page 1 of your return is the same as the</t>
  </si>
  <si>
    <t>Tick this box to designate that your spouse or common-law partner was the student for</t>
  </si>
  <si>
    <t>whom the funds were withdrawn under the LLP.</t>
  </si>
  <si>
    <r>
      <t xml:space="preserve">   Limit Statement" on your latest notice of assessment, notice of reassessment, or Form T1028, </t>
    </r>
    <r>
      <rPr>
        <i/>
        <sz val="12"/>
        <color indexed="8"/>
        <rFont val="Arial"/>
        <family val="2"/>
      </rPr>
      <t>RRSP information</t>
    </r>
  </si>
  <si>
    <t>on your latest notice of assessment,</t>
  </si>
  <si>
    <t>address of the home you purchased under the HBP.</t>
  </si>
  <si>
    <t xml:space="preserve"> (maximum $42,800)</t>
  </si>
  <si>
    <t>Line 8 minus line 9 (if negative, enter "0").  Enter this amount on line 421 of your return.</t>
  </si>
  <si>
    <t>Add lines 340 and 342.</t>
  </si>
  <si>
    <t xml:space="preserve">of assessment or notice of reassessment      </t>
  </si>
  <si>
    <t>Total of lines 1 to 19 of Schedule 1</t>
  </si>
  <si>
    <r>
      <t xml:space="preserve">Note:     </t>
    </r>
    <r>
      <rPr>
        <sz val="13"/>
        <color indexed="8"/>
        <rFont val="Arial"/>
        <family val="2"/>
      </rPr>
      <t xml:space="preserve">  If your spouse or common-law partner is claiming an amount for you on line 303 or line 326 of his or</t>
    </r>
  </si>
  <si>
    <t>Instalments</t>
  </si>
  <si>
    <t>Registered disability savings plan income (line 125 of your return)</t>
  </si>
  <si>
    <t>Registered disability savings plan income repayment</t>
  </si>
  <si>
    <t>(included in the amount at line 232 of your return)</t>
  </si>
  <si>
    <r>
      <t xml:space="preserve">Line 1 minus line 2; if the result is more than $4,198, </t>
    </r>
    <r>
      <rPr>
        <b/>
        <sz val="14"/>
        <color indexed="8"/>
        <rFont val="Arial"/>
        <family val="2"/>
      </rPr>
      <t>enter $4,198</t>
    </r>
  </si>
  <si>
    <r>
      <t xml:space="preserve">Line 1 minus line 2; if it is more than $4,198, </t>
    </r>
    <r>
      <rPr>
        <b/>
        <sz val="14"/>
        <color indexed="8"/>
        <rFont val="Arial"/>
        <family val="2"/>
      </rPr>
      <t>enter</t>
    </r>
    <r>
      <rPr>
        <sz val="14"/>
        <color indexed="8"/>
        <rFont val="Arial"/>
        <family val="2"/>
      </rPr>
      <t xml:space="preserve"> </t>
    </r>
    <r>
      <rPr>
        <b/>
        <sz val="14"/>
        <color indexed="8"/>
        <rFont val="Arial"/>
        <family val="2"/>
      </rPr>
      <t>$4,198.</t>
    </r>
  </si>
  <si>
    <t>If you claimed this dependant on line 305 of Schedule 1, enter the amount claimed.</t>
  </si>
  <si>
    <r>
      <t xml:space="preserve">Enter on line 316 of Schedule 1, $7,196 </t>
    </r>
    <r>
      <rPr>
        <b/>
        <sz val="14"/>
        <color indexed="8"/>
        <rFont val="Arial"/>
        <family val="2"/>
      </rPr>
      <t>plus</t>
    </r>
    <r>
      <rPr>
        <sz val="14"/>
        <color indexed="8"/>
        <rFont val="Arial"/>
        <family val="2"/>
      </rPr>
      <t xml:space="preserve"> the amount on line 5 (maximum claim $11,394)</t>
    </r>
  </si>
  <si>
    <t>(line 125 of your and your spouse's or common-law partner's return)</t>
  </si>
  <si>
    <t>Registered disability savings plan income</t>
  </si>
  <si>
    <r>
      <t xml:space="preserve">Universal Child Care Benefit repayment (line 213 of your return) </t>
    </r>
    <r>
      <rPr>
        <b/>
        <sz val="13"/>
        <color indexed="8"/>
        <rFont val="Arial"/>
        <family val="2"/>
      </rPr>
      <t>plus</t>
    </r>
    <r>
      <rPr>
        <sz val="13"/>
        <color indexed="8"/>
        <rFont val="Arial"/>
        <family val="2"/>
      </rPr>
      <t xml:space="preserve"> the Universal Child</t>
    </r>
  </si>
  <si>
    <t>Car Benefit repayment of your spouse or common-law partner from page 1 of your return</t>
  </si>
  <si>
    <t>Registered disability savings plan income repayment (included in the amount</t>
  </si>
  <si>
    <t>on line 232 of your and your spouse's or common-law partner's return)</t>
  </si>
  <si>
    <t>Universal Child Care Benefit (line 117 of your return) or the benefit of your spouse</t>
  </si>
  <si>
    <r>
      <t xml:space="preserve">Enter </t>
    </r>
    <r>
      <rPr>
        <b/>
        <sz val="13"/>
        <color indexed="8"/>
        <rFont val="Arial"/>
        <family val="2"/>
      </rPr>
      <t>$1067,</t>
    </r>
    <r>
      <rPr>
        <sz val="13"/>
        <color indexed="8"/>
        <rFont val="Arial"/>
        <family val="2"/>
      </rPr>
      <t xml:space="preserve"> or 25% of the total of line 215 (of your return) and line 332 (of Schedule 1), whichever is </t>
    </r>
    <r>
      <rPr>
        <b/>
        <sz val="13"/>
        <color indexed="8"/>
        <rFont val="Arial"/>
        <family val="2"/>
      </rPr>
      <t>less.</t>
    </r>
  </si>
  <si>
    <r>
      <t xml:space="preserve">Multiply the amount on </t>
    </r>
    <r>
      <rPr>
        <b/>
        <sz val="14"/>
        <color indexed="8"/>
        <rFont val="Arial"/>
        <family val="2"/>
      </rPr>
      <t>line 13</t>
    </r>
    <r>
      <rPr>
        <sz val="14"/>
        <color indexed="8"/>
        <rFont val="Arial"/>
        <family val="2"/>
      </rPr>
      <t xml:space="preserve"> by 5%.</t>
    </r>
  </si>
  <si>
    <t>Enter the amount from line 260 of his or her return.</t>
  </si>
  <si>
    <t>Add lines 1 and 5.</t>
  </si>
  <si>
    <t>Add lines 11 and 12.</t>
  </si>
  <si>
    <t>Multiply line 23 by line 24.</t>
  </si>
  <si>
    <t>Add lines 38 and 39.</t>
  </si>
  <si>
    <t>If you claimed this dependant on line 5816, enter the amount claimed.</t>
  </si>
  <si>
    <t>of your return is more than $66,335, see line 235 in your tax guide.</t>
  </si>
  <si>
    <t>lines 213 and 234 minus line 117 is more than $52,875.</t>
  </si>
  <si>
    <t>minus line 117 and 125</t>
  </si>
  <si>
    <t>plus the amount of RDSP in line 232</t>
  </si>
  <si>
    <t>Enter the amount of RDSP  in line 232</t>
  </si>
  <si>
    <r>
      <t xml:space="preserve">contributions.  See "Making additional CPP contributions" on page 34 of the </t>
    </r>
    <r>
      <rPr>
        <i/>
        <sz val="9"/>
        <color indexed="8"/>
        <rFont val="Arial"/>
        <family val="2"/>
      </rPr>
      <t>General Income Tax and Benefit Guide.</t>
    </r>
  </si>
  <si>
    <t>(maximum  $46,300)</t>
  </si>
  <si>
    <t>(maximum  $42,800)</t>
  </si>
  <si>
    <t>(maximum  $2,118.60)</t>
  </si>
  <si>
    <r>
      <t>Enter the amount from line 4 or 5, whichever is less, on</t>
    </r>
    <r>
      <rPr>
        <b/>
        <sz val="9"/>
        <color indexed="8"/>
        <rFont val="Arial"/>
        <family val="2"/>
      </rPr>
      <t xml:space="preserve"> line 308</t>
    </r>
    <r>
      <rPr>
        <sz val="9"/>
        <color indexed="8"/>
        <rFont val="Arial"/>
        <family val="2"/>
      </rPr>
      <t xml:space="preserve"> of Schedule 1 and , if it applies, on </t>
    </r>
    <r>
      <rPr>
        <b/>
        <sz val="9"/>
        <color indexed="8"/>
        <rFont val="Arial"/>
        <family val="2"/>
      </rPr>
      <t>line</t>
    </r>
    <r>
      <rPr>
        <sz val="9"/>
        <color indexed="8"/>
        <rFont val="Arial"/>
        <family val="2"/>
      </rPr>
      <t xml:space="preserve"> </t>
    </r>
    <r>
      <rPr>
        <b/>
        <sz val="9"/>
        <color indexed="8"/>
        <rFont val="Arial"/>
        <family val="2"/>
      </rPr>
      <t>5824</t>
    </r>
    <r>
      <rPr>
        <sz val="9"/>
        <color indexed="8"/>
        <rFont val="Arial"/>
        <family val="2"/>
      </rPr>
      <t xml:space="preserve"> of Form 428.</t>
    </r>
  </si>
  <si>
    <t>in Part 1.</t>
  </si>
  <si>
    <r>
      <t>Complete S</t>
    </r>
    <r>
      <rPr>
        <b/>
        <sz val="9"/>
        <color indexed="8"/>
        <rFont val="Arial"/>
        <family val="2"/>
      </rPr>
      <t xml:space="preserve">ection A </t>
    </r>
    <r>
      <rPr>
        <sz val="9"/>
        <color indexed="8"/>
        <rFont val="Arial"/>
        <family val="2"/>
      </rPr>
      <t>in</t>
    </r>
    <r>
      <rPr>
        <b/>
        <sz val="9"/>
        <color indexed="8"/>
        <rFont val="Arial"/>
        <family val="2"/>
      </rPr>
      <t xml:space="preserve"> Part 1</t>
    </r>
    <r>
      <rPr>
        <sz val="9"/>
        <color indexed="8"/>
        <rFont val="Arial"/>
        <family val="2"/>
      </rPr>
      <t xml:space="preserve"> to determine any overpayment of Canada Pension Plan (CPP) or Quebec Pension Plan (QPP) contributions</t>
    </r>
  </si>
  <si>
    <r>
      <t xml:space="preserve">age or older, or you received a CPP or QPP retirement pension, complete </t>
    </r>
    <r>
      <rPr>
        <b/>
        <sz val="9"/>
        <color indexed="8"/>
        <rFont val="Arial"/>
        <family val="2"/>
      </rPr>
      <t xml:space="preserve">Section B </t>
    </r>
    <r>
      <rPr>
        <sz val="9"/>
        <color indexed="8"/>
        <rFont val="Arial"/>
        <family val="2"/>
      </rPr>
      <t>in</t>
    </r>
    <r>
      <rPr>
        <b/>
        <sz val="9"/>
        <color indexed="8"/>
        <rFont val="Arial"/>
        <family val="2"/>
      </rPr>
      <t xml:space="preserve"> Part 1</t>
    </r>
    <r>
      <rPr>
        <sz val="9"/>
        <color indexed="8"/>
        <rFont val="Arial"/>
        <family val="2"/>
      </rPr>
      <t xml:space="preserve"> on the next page. Do not complete Section A</t>
    </r>
  </si>
  <si>
    <t>See line 452 in your Quebec provincial income tax guide.</t>
  </si>
  <si>
    <r>
      <t xml:space="preserve">Complete </t>
    </r>
    <r>
      <rPr>
        <b/>
        <sz val="9"/>
        <color indexed="8"/>
        <rFont val="Arial"/>
        <family val="2"/>
      </rPr>
      <t>Part 2</t>
    </r>
    <r>
      <rPr>
        <sz val="9"/>
        <color indexed="8"/>
        <rFont val="Arial"/>
        <family val="2"/>
      </rPr>
      <t xml:space="preserve"> on the next page to determine any overpayment of Employment Insurance (EI) premiums.</t>
    </r>
  </si>
  <si>
    <t>Section A</t>
  </si>
  <si>
    <t xml:space="preserve">  – Read the above instructions to determine if you should complete this section.</t>
  </si>
  <si>
    <t>maximum amounts for lines 1, 2, 3, and 5:</t>
  </si>
  <si>
    <t>If any of the following situations apply to you, read the instructions below and if applicable, use the table below to determine the</t>
  </si>
  <si>
    <t xml:space="preserve">  the number of months in the year you did not or were not entitled to receive the pension.</t>
  </si>
  <si>
    <t>Schedule 10.</t>
  </si>
  <si>
    <r>
      <t xml:space="preserve">Complete </t>
    </r>
    <r>
      <rPr>
        <b/>
        <sz val="9"/>
        <rFont val="Arial"/>
        <family val="2"/>
      </rPr>
      <t>Part 2</t>
    </r>
    <r>
      <rPr>
        <sz val="9"/>
        <rFont val="Arial"/>
        <family val="2"/>
      </rPr>
      <t xml:space="preserve"> to determine any overpayment of Employment Insurance (EI) premiums. To be refunded, the amount of the EI overpayment</t>
    </r>
  </si>
  <si>
    <t xml:space="preserve">             (maximum $42,300. If $2,000 or less, enter "0")</t>
  </si>
  <si>
    <t>(maximum  $731.79)</t>
  </si>
  <si>
    <t>(maximum  $583.74)</t>
  </si>
  <si>
    <r>
      <t xml:space="preserve">Part 1 Section B on the next page  </t>
    </r>
    <r>
      <rPr>
        <b/>
        <sz val="9"/>
        <rFont val="Calibri"/>
        <family val="2"/>
      </rPr>
      <t>→</t>
    </r>
  </si>
  <si>
    <t>Section B</t>
  </si>
  <si>
    <t xml:space="preserve">  – Complete this section only if you worked in Quebec, or you worked in Quebec and in a province other than Quebec</t>
  </si>
  <si>
    <t>If any of the following situations apply to you, determine the amount to enter at line 7 as follows:</t>
  </si>
  <si>
    <t xml:space="preserve">   in the year you did not or were not entitled to receive the pension.</t>
  </si>
  <si>
    <t xml:space="preserve">   use the monthly proration table on the previous page to determine the maximum amount for line 7 by using the number of months</t>
  </si>
  <si>
    <t xml:space="preserve">   line 7 by using the number of months in the year up to and including the month you turned 70 years of age.</t>
  </si>
  <si>
    <t>● If you turned 70 years of age in 2009, use the monthly proration table on the previous page to determine the maximum amount for</t>
  </si>
  <si>
    <t>Total CPP pensionable earnings (box 26 or, if blank, box 14 of your T4 slips where</t>
  </si>
  <si>
    <t>the province of employment is not Québec) or the maximum amount as per</t>
  </si>
  <si>
    <t>above instructions, whichever is less.</t>
  </si>
  <si>
    <t>CPP pensionable earnings</t>
  </si>
  <si>
    <t>Total QPP pensionable earnings (box 26 or, if blank, box 14 of</t>
  </si>
  <si>
    <t>your T4 slips where the province of employment is Québec)</t>
  </si>
  <si>
    <t>QPP pensionable earnings</t>
  </si>
  <si>
    <t>Add lines 7 and 8. Total CPP/QPP pensionable earnings</t>
  </si>
  <si>
    <t>Basic CPP/QPP exemption</t>
  </si>
  <si>
    <t>Required contribution: multiply line 11 by 4.95%</t>
  </si>
  <si>
    <r>
      <t xml:space="preserve">Enter the amount from line 12 or 13, whichever is less, on </t>
    </r>
    <r>
      <rPr>
        <b/>
        <sz val="9"/>
        <color indexed="8"/>
        <rFont val="Arial"/>
        <family val="2"/>
      </rPr>
      <t>line 308</t>
    </r>
    <r>
      <rPr>
        <sz val="9"/>
        <color indexed="8"/>
        <rFont val="Arial"/>
        <family val="2"/>
      </rPr>
      <t xml:space="preserve"> of Schedule 1 and, if it applies, on </t>
    </r>
    <r>
      <rPr>
        <b/>
        <sz val="9"/>
        <color indexed="8"/>
        <rFont val="Arial"/>
        <family val="2"/>
      </rPr>
      <t>line 5824</t>
    </r>
    <r>
      <rPr>
        <sz val="9"/>
        <color indexed="8"/>
        <rFont val="Arial"/>
        <family val="2"/>
      </rPr>
      <t xml:space="preserve"> of Form 428.</t>
    </r>
  </si>
  <si>
    <r>
      <t xml:space="preserve">If the amount from line 14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t>
    </r>
  </si>
  <si>
    <t>(maximum $ 46,300)</t>
  </si>
  <si>
    <t>(maximum $ 42,800)</t>
  </si>
  <si>
    <t>Canada Pension Plan overpayment</t>
  </si>
  <si>
    <t>ARE YOU COMPLETING THIS SECTION (A)?</t>
  </si>
  <si>
    <t>ARE YOU COMPLETING THIS SECTION (B)?</t>
  </si>
  <si>
    <t>Amount for line 448 if positive</t>
  </si>
  <si>
    <t>Lesser of 4 or 5</t>
  </si>
  <si>
    <t>Lesser of 12 or 13</t>
  </si>
  <si>
    <t xml:space="preserve"> Line 5824 of Form 428</t>
  </si>
  <si>
    <t>Amount for line 308 of Sch1 and</t>
  </si>
  <si>
    <t xml:space="preserve">           Quebec residents (multiply line 1 by 1.38%)</t>
  </si>
  <si>
    <r>
      <t xml:space="preserve">(the Pension Transferee) and if </t>
    </r>
    <r>
      <rPr>
        <b/>
        <sz val="12"/>
        <rFont val="Arial MT"/>
        <family val="0"/>
      </rPr>
      <t>all</t>
    </r>
    <r>
      <rPr>
        <sz val="12"/>
        <rFont val="Arial MT"/>
        <family val="0"/>
      </rPr>
      <t xml:space="preserve"> of the following conditions are met:</t>
    </r>
  </si>
  <si>
    <r>
      <t xml:space="preserve">complete the chart for line 314 on the </t>
    </r>
    <r>
      <rPr>
        <i/>
        <sz val="12"/>
        <rFont val="Arial MT"/>
        <family val="0"/>
      </rPr>
      <t>Federal Worksheet</t>
    </r>
    <r>
      <rPr>
        <sz val="12"/>
        <rFont val="Arial MT"/>
        <family val="0"/>
      </rPr>
      <t xml:space="preserve"> which you will find in the forms book.</t>
    </r>
  </si>
  <si>
    <t>common-law partner (the Pension Transferee) jointly elect to be your split-pension amount for the year.</t>
  </si>
  <si>
    <t>T1032 E  (09)</t>
  </si>
  <si>
    <r>
      <t xml:space="preserve">for line 314 on </t>
    </r>
    <r>
      <rPr>
        <b/>
        <sz val="12"/>
        <rFont val="Arial MT"/>
        <family val="0"/>
      </rPr>
      <t>your</t>
    </r>
    <r>
      <rPr>
        <sz val="12"/>
        <rFont val="Arial MT"/>
        <family val="0"/>
      </rPr>
      <t xml:space="preserve"> </t>
    </r>
    <r>
      <rPr>
        <i/>
        <sz val="12"/>
        <rFont val="Arial MT"/>
        <family val="0"/>
      </rPr>
      <t>Federal Worksheet</t>
    </r>
    <r>
      <rPr>
        <sz val="12"/>
        <rFont val="Arial MT"/>
        <family val="0"/>
      </rPr>
      <t>, otherwise enter "0".</t>
    </r>
  </si>
  <si>
    <r>
      <t xml:space="preserve">Enter on line 314 of your Schedule 1, $2000 the amount from line L, whichever is </t>
    </r>
    <r>
      <rPr>
        <b/>
        <sz val="12"/>
        <rFont val="Arial MT"/>
        <family val="0"/>
      </rPr>
      <t>less.</t>
    </r>
  </si>
  <si>
    <r>
      <t xml:space="preserve">If the amount on line J is </t>
    </r>
    <r>
      <rPr>
        <b/>
        <sz val="12"/>
        <rFont val="Arial MT"/>
        <family val="0"/>
      </rPr>
      <t>less than $2,000</t>
    </r>
    <r>
      <rPr>
        <sz val="12"/>
        <rFont val="Arial MT"/>
        <family val="0"/>
      </rPr>
      <t xml:space="preserve">, you (the Pension Transferee) were under age 65 on December 31 of the year </t>
    </r>
    <r>
      <rPr>
        <b/>
        <sz val="12"/>
        <rFont val="Arial MT"/>
        <family val="0"/>
      </rPr>
      <t>and</t>
    </r>
    <r>
      <rPr>
        <sz val="12"/>
        <rFont val="Arial MT"/>
        <family val="0"/>
      </rPr>
      <t xml:space="preserve"> the</t>
    </r>
  </si>
  <si>
    <t>Amount from line M</t>
  </si>
  <si>
    <t>Amount from Line E</t>
  </si>
  <si>
    <r>
      <t xml:space="preserve">Enter on line 314 of your Schedule 1, $2000 or the amount from line H, whichever is </t>
    </r>
    <r>
      <rPr>
        <b/>
        <sz val="12"/>
        <rFont val="Arial MT"/>
        <family val="0"/>
      </rPr>
      <t>less.</t>
    </r>
  </si>
  <si>
    <t>deductions, as well as deductions claimed under subsection 4(3) and under subsections 20(11) or 20(12) of the Act — do not include any</t>
  </si>
  <si>
    <t xml:space="preserve">deduction you claimed for a dividend you received from a controlled foreign affiliate). Reduce your foreign non-business income by any </t>
  </si>
  <si>
    <t xml:space="preserve">income from that foreign country for which you claimed a capital gains deduction, and by any income from that country that was, under a tax </t>
  </si>
  <si>
    <t xml:space="preserve">treaty between Canada and that country, deductible as exempt from tax in Canada or in that country. Also, reduce it by any part of </t>
  </si>
  <si>
    <t xml:space="preserve">employment income from that country for which you claimed an overseas employment tax credit. If your net foreign non-business income is </t>
  </si>
  <si>
    <t>more than your net income, use your net income in the calculation.</t>
  </si>
  <si>
    <r>
      <t xml:space="preserve">For more information on deductions claimed under subsections 20(11) and 20(12) of the Act, see Interpretation Bulletin IT-506, </t>
    </r>
    <r>
      <rPr>
        <i/>
        <sz val="12"/>
        <rFont val="Arial MT"/>
        <family val="0"/>
      </rPr>
      <t>Foreign</t>
    </r>
  </si>
  <si>
    <r>
      <t xml:space="preserve">(c)  Net income (see note below) – Line 236 of your return plus the amount on line 4 of Form T1206, </t>
    </r>
    <r>
      <rPr>
        <i/>
        <sz val="12"/>
        <rFont val="Arial MT"/>
        <family val="0"/>
      </rPr>
      <t>Tax on Split Income</t>
    </r>
    <r>
      <rPr>
        <sz val="12"/>
        <rFont val="Arial MT"/>
        <family val="0"/>
      </rPr>
      <t xml:space="preserve">, </t>
    </r>
    <r>
      <rPr>
        <b/>
        <sz val="12"/>
        <rFont val="Arial MT"/>
        <family val="0"/>
      </rPr>
      <t>minus</t>
    </r>
    <r>
      <rPr>
        <sz val="12"/>
        <rFont val="Arial MT"/>
        <family val="0"/>
      </rPr>
      <t xml:space="preserve"> any:</t>
    </r>
  </si>
  <si>
    <t>●   amount deductible as a Canadian Forces personnel and police deduction (line 244 of your return);</t>
  </si>
  <si>
    <r>
      <t xml:space="preserve">(d)  Basic federal tax (see note below) – Line 429 of Schedule 1 </t>
    </r>
    <r>
      <rPr>
        <b/>
        <sz val="12"/>
        <rFont val="Arial MT"/>
        <family val="0"/>
      </rPr>
      <t>plus</t>
    </r>
    <r>
      <rPr>
        <sz val="12"/>
        <rFont val="Arial MT"/>
        <family val="0"/>
      </rPr>
      <t xml:space="preserve"> any:</t>
    </r>
  </si>
  <si>
    <r>
      <t>Note:</t>
    </r>
    <r>
      <rPr>
        <sz val="12"/>
        <rFont val="Arial MT"/>
        <family val="0"/>
      </rPr>
      <t xml:space="preserve"> If you were a resident of Quebec, </t>
    </r>
    <r>
      <rPr>
        <b/>
        <sz val="12"/>
        <rFont val="Arial MT"/>
        <family val="0"/>
      </rPr>
      <t>federal tax</t>
    </r>
    <r>
      <rPr>
        <sz val="12"/>
        <rFont val="Arial MT"/>
        <family val="0"/>
      </rPr>
      <t xml:space="preserve"> is the amount on line 429 of Schedule 1 </t>
    </r>
    <r>
      <rPr>
        <b/>
        <sz val="12"/>
        <rFont val="Arial MT"/>
        <family val="0"/>
      </rPr>
      <t>plus</t>
    </r>
    <r>
      <rPr>
        <sz val="12"/>
        <rFont val="Arial MT"/>
        <family val="0"/>
      </rPr>
      <t xml:space="preserve"> any:</t>
    </r>
  </si>
  <si>
    <r>
      <t xml:space="preserve">(f)  </t>
    </r>
    <r>
      <rPr>
        <b/>
        <sz val="12"/>
        <rFont val="Arial MT"/>
        <family val="0"/>
      </rPr>
      <t>Unused foreign tax credits</t>
    </r>
    <r>
      <rPr>
        <sz val="12"/>
        <rFont val="Arial MT"/>
        <family val="0"/>
      </rPr>
      <t xml:space="preserve"> – The carry-forward period for unused foreign tax credits for a tax year ending after March 22, 2004, is</t>
    </r>
  </si>
  <si>
    <t>10 years.</t>
  </si>
  <si>
    <r>
      <t xml:space="preserve">tax in Canada or in that country. If your net foreign business income is more than your net income, use your </t>
    </r>
    <r>
      <rPr>
        <b/>
        <sz val="12"/>
        <rFont val="Arial MT"/>
        <family val="0"/>
      </rPr>
      <t>net income</t>
    </r>
    <r>
      <rPr>
        <sz val="12"/>
        <rFont val="Arial MT"/>
        <family val="0"/>
      </rPr>
      <t xml:space="preserve"> in the calculation.</t>
    </r>
  </si>
  <si>
    <r>
      <t xml:space="preserve">For more details, see "Amounts from a spousal or common-law partner RRSP or RRIF" in Chapter 4 of Guide T4040, </t>
    </r>
    <r>
      <rPr>
        <i/>
        <sz val="12"/>
        <rFont val="Arial"/>
        <family val="2"/>
      </rPr>
      <t>RRSPs</t>
    </r>
  </si>
  <si>
    <r>
      <t xml:space="preserve">Form T746, </t>
    </r>
    <r>
      <rPr>
        <i/>
        <sz val="12"/>
        <rFont val="Arial"/>
        <family val="2"/>
      </rPr>
      <t>Calculating Your Deduction for Refund of Unused RRSP Contributions.</t>
    </r>
  </si>
  <si>
    <r>
      <t xml:space="preserve">b) The other person attended school and was enrolled in a </t>
    </r>
    <r>
      <rPr>
        <b/>
        <sz val="12"/>
        <rFont val="Arial MT"/>
        <family val="0"/>
      </rPr>
      <t>full-time</t>
    </r>
    <r>
      <rPr>
        <sz val="12"/>
        <rFont val="Arial MT"/>
        <family val="0"/>
      </rPr>
      <t xml:space="preserve"> educational program (see "Educational program" on the</t>
    </r>
  </si>
  <si>
    <r>
      <t>(other than a month that includes a week that any of the situations in</t>
    </r>
    <r>
      <rPr>
        <b/>
        <sz val="12"/>
        <rFont val="Arial MT"/>
        <family val="0"/>
      </rPr>
      <t xml:space="preserve"> b) </t>
    </r>
    <r>
      <rPr>
        <sz val="12"/>
        <rFont val="Arial MT"/>
        <family val="0"/>
      </rPr>
      <t>to</t>
    </r>
    <r>
      <rPr>
        <b/>
        <sz val="12"/>
        <rFont val="Arial MT"/>
        <family val="0"/>
      </rPr>
      <t xml:space="preserve"> f)</t>
    </r>
    <r>
      <rPr>
        <sz val="12"/>
        <rFont val="Arial MT"/>
        <family val="0"/>
      </rPr>
      <t xml:space="preserve"> existed).</t>
    </r>
  </si>
  <si>
    <t>Otherwise, enter this amount on line 214 of your return.</t>
  </si>
  <si>
    <t>Add lines 16 and 17.</t>
  </si>
  <si>
    <r>
      <t xml:space="preserve">Enter your </t>
    </r>
    <r>
      <rPr>
        <b/>
        <sz val="12"/>
        <rFont val="Arial MT"/>
        <family val="0"/>
      </rPr>
      <t>net income (</t>
    </r>
    <r>
      <rPr>
        <sz val="12"/>
        <rFont val="Arial MT"/>
        <family val="0"/>
      </rPr>
      <t>not including amounts on line 214 or 235).</t>
    </r>
  </si>
  <si>
    <t xml:space="preserve">Add line 23 and line 24. Enter this amount on line 214 of your return. </t>
  </si>
  <si>
    <t>Calculations for T2204 number of months</t>
  </si>
  <si>
    <t>Age &gt; 70 condition:</t>
  </si>
  <si>
    <t>Turned 70 this year:</t>
  </si>
  <si>
    <t>Turned 18 this year:</t>
  </si>
  <si>
    <t>Less than 18 this year:</t>
  </si>
  <si>
    <t>Number of months:</t>
  </si>
  <si>
    <t>to qualify</t>
  </si>
  <si>
    <t>One Condition: Above line must be equal to or greater than</t>
  </si>
  <si>
    <t>on line 12 will be transferred to line 452.  See page 50 in the guide.</t>
  </si>
  <si>
    <r>
      <t>h) Medical Expenses:</t>
    </r>
    <r>
      <rPr>
        <sz val="14"/>
        <rFont val="Arial MT"/>
        <family val="0"/>
      </rPr>
      <t xml:space="preserve">   MISC Sheet, Line labelled Sch1 330.</t>
    </r>
  </si>
  <si>
    <t>There are three CRA versions of Sch6.</t>
  </si>
  <si>
    <r>
      <t xml:space="preserve">Enter the amount from line 5 or line 11, whichever is </t>
    </r>
    <r>
      <rPr>
        <b/>
        <sz val="12"/>
        <color indexed="8"/>
        <rFont val="Arial"/>
        <family val="2"/>
      </rPr>
      <t>less.</t>
    </r>
  </si>
  <si>
    <t>Enter the amount you are transferring (cannot be more than line 19).</t>
  </si>
  <si>
    <t xml:space="preserve">    Attach your Schedule 1 (federal tax), and Form 428 (provincial or territorial tax)</t>
  </si>
  <si>
    <t xml:space="preserve">    here.  Also attach here any other schedules, information slips, forms, receipts,</t>
  </si>
  <si>
    <t xml:space="preserve">    and documents that you need to include with your return.</t>
  </si>
  <si>
    <t>If your spouse or common-law partner's net income is $34,799 or less, enter $4,675.</t>
  </si>
  <si>
    <t>Otherwise, enter the amount from line 5808 of his or her Form AB428.</t>
  </si>
  <si>
    <t>Enter the amount from line 5836 of his or her Form AB428.</t>
  </si>
  <si>
    <t>Enter the amount from line 5844 of his or her Form AB428.</t>
  </si>
  <si>
    <t>Enter the provincial amount designated in your name</t>
  </si>
  <si>
    <t>on his or her Form T2202, T2202A, TL11A, T11B, or TL11C.</t>
  </si>
  <si>
    <t>your spouse's or common-law partner's Form AB428.</t>
  </si>
  <si>
    <t>(maximum $1,292)</t>
  </si>
  <si>
    <r>
      <t xml:space="preserve">TL11B, and TL11C.  Only one claim per month, </t>
    </r>
    <r>
      <rPr>
        <b/>
        <sz val="12"/>
        <color indexed="8"/>
        <rFont val="Arial"/>
        <family val="2"/>
      </rPr>
      <t>maximum 12 months</t>
    </r>
    <r>
      <rPr>
        <sz val="12"/>
        <color indexed="8"/>
        <rFont val="Arial"/>
        <family val="2"/>
      </rPr>
      <t>).</t>
    </r>
  </si>
  <si>
    <t xml:space="preserve">  (do not include any month that is also included in column C).</t>
  </si>
  <si>
    <r>
      <t xml:space="preserve">  Enter the number of months from Column </t>
    </r>
    <r>
      <rPr>
        <b/>
        <sz val="12"/>
        <color indexed="8"/>
        <rFont val="Arial"/>
        <family val="2"/>
      </rPr>
      <t>C</t>
    </r>
    <r>
      <rPr>
        <sz val="12"/>
        <color indexed="8"/>
        <rFont val="Arial"/>
        <family val="2"/>
      </rPr>
      <t xml:space="preserve"> .</t>
    </r>
  </si>
  <si>
    <t>X $196</t>
  </si>
  <si>
    <t>X $652</t>
  </si>
  <si>
    <t>Add lines 2 to 4.</t>
  </si>
  <si>
    <r>
      <t xml:space="preserve">Enter the amount from line 1 or line 9, whichever is </t>
    </r>
    <r>
      <rPr>
        <b/>
        <sz val="12"/>
        <color indexed="8"/>
        <rFont val="Arial"/>
        <family val="2"/>
      </rPr>
      <t>less.</t>
    </r>
    <r>
      <rPr>
        <sz val="12"/>
        <color indexed="8"/>
        <rFont val="Arial"/>
        <family val="2"/>
      </rPr>
      <t xml:space="preserve"> </t>
    </r>
  </si>
  <si>
    <t>Enter the amount from line 5;  if it is more than $5,000, enter $5,000.</t>
  </si>
  <si>
    <r>
      <t>Note:</t>
    </r>
    <r>
      <rPr>
        <sz val="12"/>
        <color indexed="8"/>
        <rFont val="Arial"/>
        <family val="2"/>
      </rPr>
      <t xml:space="preserve">  If you have a spouse or common-law partner, special rules may apply: read line 5856 in the forms book.</t>
    </r>
  </si>
  <si>
    <r>
      <t>Only the student</t>
    </r>
    <r>
      <rPr>
        <sz val="12"/>
        <color indexed="8"/>
        <rFont val="Arial"/>
        <family val="2"/>
      </rPr>
      <t xml:space="preserve"> attaches a copy of this schedule to </t>
    </r>
    <r>
      <rPr>
        <b/>
        <sz val="12"/>
        <color indexed="8"/>
        <rFont val="Arial"/>
        <family val="2"/>
      </rPr>
      <t>his or her</t>
    </r>
    <r>
      <rPr>
        <sz val="12"/>
        <color indexed="8"/>
        <rFont val="Arial"/>
        <family val="2"/>
      </rPr>
      <t xml:space="preserve"> return.</t>
    </r>
  </si>
  <si>
    <t>Line 1 minus line 2 (if negative, enter "0".  If it is more than $9,710, enter $9,710)</t>
  </si>
  <si>
    <t>Line 1 minus line 2 (if negative, enter "0"; if it is more than $9,711, enter $9,711)</t>
  </si>
  <si>
    <r>
      <t>Line 5844 - Disability amount</t>
    </r>
    <r>
      <rPr>
        <sz val="15"/>
        <color indexed="8"/>
        <rFont val="Arial"/>
        <family val="2"/>
      </rPr>
      <t xml:space="preserve"> </t>
    </r>
    <r>
      <rPr>
        <b/>
        <sz val="15"/>
        <color indexed="8"/>
        <rFont val="Arial"/>
        <family val="2"/>
      </rPr>
      <t>(</t>
    </r>
    <r>
      <rPr>
        <b/>
        <sz val="12"/>
        <color indexed="8"/>
        <rFont val="Arial"/>
        <family val="2"/>
      </rPr>
      <t>supplement</t>
    </r>
    <r>
      <rPr>
        <sz val="12"/>
        <color indexed="8"/>
        <rFont val="Arial"/>
        <family val="2"/>
      </rPr>
      <t xml:space="preserve"> calculation if you were </t>
    </r>
    <r>
      <rPr>
        <b/>
        <sz val="12"/>
        <color indexed="8"/>
        <rFont val="Arial"/>
        <family val="2"/>
      </rPr>
      <t xml:space="preserve">under age 18
                      </t>
    </r>
    <r>
      <rPr>
        <sz val="12"/>
        <color indexed="8"/>
        <rFont val="Arial"/>
        <family val="2"/>
      </rPr>
      <t>(read line 5844 in the forms book)</t>
    </r>
  </si>
  <si>
    <r>
      <t xml:space="preserve">Enter, on line 5844 of Form AB428, </t>
    </r>
    <r>
      <rPr>
        <b/>
        <sz val="12"/>
        <color indexed="8"/>
        <rFont val="Arial"/>
        <family val="2"/>
      </rPr>
      <t>the amount on line 5 plus $12,940</t>
    </r>
    <r>
      <rPr>
        <sz val="12"/>
        <color indexed="8"/>
        <rFont val="Arial"/>
        <family val="2"/>
      </rPr>
      <t xml:space="preserve"> (maximum claim $22,650), </t>
    </r>
    <r>
      <rPr>
        <b/>
        <sz val="12"/>
        <color indexed="8"/>
        <rFont val="Arial"/>
        <family val="2"/>
      </rPr>
      <t>unless</t>
    </r>
    <r>
      <rPr>
        <sz val="12"/>
        <color indexed="8"/>
        <rFont val="Arial"/>
        <family val="2"/>
      </rPr>
      <t xml:space="preserve"> this </t>
    </r>
  </si>
  <si>
    <t>Allowable amount for this dependant: Line 5 minus line 6 (if negative, enter "0").</t>
  </si>
  <si>
    <r>
      <t xml:space="preserve">Enter $2,168 or 3% of the dependant's net income whichever is </t>
    </r>
    <r>
      <rPr>
        <b/>
        <sz val="12"/>
        <color indexed="8"/>
        <rFont val="Arial"/>
        <family val="2"/>
      </rPr>
      <t>less</t>
    </r>
  </si>
  <si>
    <t>Line 1 minus line 2 (if negative, enter "0"  If it is more than $11,473, enter $11,473)</t>
  </si>
  <si>
    <r>
      <t xml:space="preserve">Enter the amount from line 1 or line 3, whichever is </t>
    </r>
    <r>
      <rPr>
        <b/>
        <sz val="12"/>
        <color indexed="8"/>
        <rFont val="Arial"/>
        <family val="2"/>
      </rPr>
      <t>less.</t>
    </r>
  </si>
  <si>
    <t>Line 7 minus line 8.</t>
  </si>
  <si>
    <r>
      <t xml:space="preserve">● If you have an amount at line 120 and </t>
    </r>
    <r>
      <rPr>
        <b/>
        <sz val="12"/>
        <color indexed="8"/>
        <rFont val="Arial"/>
        <family val="2"/>
      </rPr>
      <t>no amount</t>
    </r>
    <r>
      <rPr>
        <sz val="12"/>
        <color indexed="8"/>
        <rFont val="Arial"/>
        <family val="2"/>
      </rPr>
      <t xml:space="preserve"> at line 180 of your return, complete the following:</t>
    </r>
  </si>
  <si>
    <r>
      <t xml:space="preserve">● If you have amounts at lines 180 </t>
    </r>
    <r>
      <rPr>
        <b/>
        <sz val="12"/>
        <color indexed="8"/>
        <rFont val="Arial"/>
        <family val="2"/>
      </rPr>
      <t>and</t>
    </r>
    <r>
      <rPr>
        <sz val="12"/>
        <color indexed="8"/>
        <rFont val="Arial"/>
        <family val="2"/>
      </rPr>
      <t xml:space="preserve"> 120 of your return, complete the following:</t>
    </r>
  </si>
  <si>
    <t>X 10%  =</t>
  </si>
  <si>
    <t>X  3.5%  =</t>
  </si>
  <si>
    <t>X  10%  =</t>
  </si>
  <si>
    <r>
      <t xml:space="preserve">Use these charts to do some of the calculations you may need to complete Form AB428, </t>
    </r>
    <r>
      <rPr>
        <i/>
        <sz val="12"/>
        <color indexed="8"/>
        <rFont val="Arial"/>
        <family val="2"/>
      </rPr>
      <t>Alberta Tax and Credits.</t>
    </r>
  </si>
  <si>
    <t xml:space="preserve">   Add lines 4 and 5.</t>
  </si>
  <si>
    <t>claim $16,775</t>
  </si>
  <si>
    <r>
      <t xml:space="preserve">(use provincial worksheet)   </t>
    </r>
    <r>
      <rPr>
        <b/>
        <sz val="11"/>
        <color indexed="8"/>
        <rFont val="Arial"/>
        <family val="2"/>
      </rPr>
      <t>(maximum $4,675)</t>
    </r>
  </si>
  <si>
    <t xml:space="preserve"> Enter $2,168 or 3% of net income from line 236 of your</t>
  </si>
  <si>
    <r>
      <t xml:space="preserve"> return, whichever is </t>
    </r>
    <r>
      <rPr>
        <b/>
        <sz val="12"/>
        <color indexed="8"/>
        <rFont val="Arial"/>
        <family val="2"/>
      </rPr>
      <t>less.</t>
    </r>
  </si>
  <si>
    <t>Add lines 1 through 17 and line 22.</t>
  </si>
  <si>
    <r>
      <t xml:space="preserve">Pension Income amount </t>
    </r>
    <r>
      <rPr>
        <b/>
        <sz val="12"/>
        <color indexed="8"/>
        <rFont val="Arial"/>
        <family val="2"/>
      </rPr>
      <t>(maximum $1,292)</t>
    </r>
  </si>
  <si>
    <t>Donations and gifts</t>
  </si>
  <si>
    <t>Add lines 25 and 26.</t>
  </si>
  <si>
    <t>Enter this amount on line 33.</t>
  </si>
  <si>
    <t>Multiply line 28 by line 29.</t>
  </si>
  <si>
    <t>Add lines 30 and 31.</t>
  </si>
  <si>
    <t>Enter your Alberta non-refundable tax credits from line 27.</t>
  </si>
  <si>
    <t>Add lines 33 through 36.</t>
  </si>
  <si>
    <t>Enter the provincial foreign tax credit from Form T2036.</t>
  </si>
  <si>
    <r>
      <t xml:space="preserve">from your official receipt called </t>
    </r>
    <r>
      <rPr>
        <i/>
        <sz val="12"/>
        <color indexed="8"/>
        <rFont val="Arial"/>
        <family val="2"/>
      </rPr>
      <t>Annual Contribution.</t>
    </r>
  </si>
  <si>
    <t>Senatorial Selection Campaign Contribution.</t>
  </si>
  <si>
    <t>Add lines 44 and 46.</t>
  </si>
  <si>
    <t>Line 48 minus line 49 (if negative, enter "0").</t>
  </si>
  <si>
    <t>Alberta additional tax for minimum tax purposes 
  Form T691: Line 108 minus line 111</t>
  </si>
  <si>
    <t>or notice of reassessment.</t>
  </si>
  <si>
    <t>Alberta</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</si>
</sst>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numFmt numFmtId="179" formatCode="0.00_)"/>
    <numFmt numFmtId="180" formatCode="dd\-mmm\-yy_)"/>
    <numFmt numFmtId="181" formatCode="0.000_)"/>
    <numFmt numFmtId="182" formatCode="00000"/>
    <numFmt numFmtId="183" formatCode="0.0%"/>
    <numFmt numFmtId="184" formatCode="0.0_)"/>
    <numFmt numFmtId="185" formatCode="mmmm\ d\,\ yyyy"/>
    <numFmt numFmtId="186" formatCode="mm/dd/yy"/>
    <numFmt numFmtId="187" formatCode="yyyy\-mm\-dd"/>
    <numFmt numFmtId="188" formatCode="mm\-dd"/>
    <numFmt numFmtId="189" formatCode="#.##"/>
    <numFmt numFmtId="190" formatCode="mm/dd/yyyy"/>
    <numFmt numFmtId="191" formatCode="0.000"/>
    <numFmt numFmtId="192" formatCode="00"/>
    <numFmt numFmtId="193" formatCode="\|00"/>
    <numFmt numFmtId="194" formatCode="\|.00"/>
    <numFmt numFmtId="195" formatCode="0000"/>
    <numFmt numFmtId="196" formatCode="000"/>
    <numFmt numFmtId="197" formatCode="#,###.00"/>
    <numFmt numFmtId="198" formatCode="0.0000"/>
    <numFmt numFmtId="199" formatCode="yyyy"/>
    <numFmt numFmtId="200" formatCode="000\-000\-000"/>
    <numFmt numFmtId="201" formatCode="m/d/yy\ h:mm\ AM/PM"/>
    <numFmt numFmtId="202" formatCode="0.00000000"/>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000"/>
    <numFmt numFmtId="209" formatCode="[$-409]dddd\,\ mmmm\ dd\,\ yyyy"/>
    <numFmt numFmtId="210" formatCode="[$-F800]dddd\,\ mmmm\ dd\,\ yyyy"/>
    <numFmt numFmtId="211" formatCode="[$-409]mmmm\ d\,\ yyyy;@"/>
    <numFmt numFmtId="212" formatCode="0.00;\(0.00\)"/>
    <numFmt numFmtId="213" formatCode="##\|00"/>
    <numFmt numFmtId="214" formatCode="##\|.00"/>
    <numFmt numFmtId="215" formatCode="0.000000"/>
    <numFmt numFmtId="216" formatCode="[&lt;=9999999]###\-####;###\-###\-####"/>
    <numFmt numFmtId="217" formatCode="000\ 000\ 000"/>
    <numFmt numFmtId="218" formatCode="[$-1009]mmmm\ d\,\ yyyy;@"/>
    <numFmt numFmtId="219" formatCode="[$-409]d\-mmm\-yy;@"/>
    <numFmt numFmtId="220" formatCode="&quot;$&quot;#,##0"/>
    <numFmt numFmtId="221" formatCode="0.00_);\(0.00\)"/>
    <numFmt numFmtId="222" formatCode="[$-409]dd\-mmm\-yy;@"/>
  </numFmts>
  <fonts count="165">
    <font>
      <sz val="12"/>
      <name val="Arial MT"/>
      <family val="0"/>
    </font>
    <font>
      <sz val="10"/>
      <name val="Arial"/>
      <family val="0"/>
    </font>
    <font>
      <sz val="12"/>
      <color indexed="8"/>
      <name val="Arial"/>
      <family val="2"/>
    </font>
    <font>
      <b/>
      <sz val="12"/>
      <color indexed="8"/>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8"/>
      <color indexed="8"/>
      <name val="Arial"/>
      <family val="2"/>
    </font>
    <font>
      <b/>
      <sz val="12"/>
      <color indexed="9"/>
      <name val="Arial"/>
      <family val="2"/>
    </font>
    <font>
      <sz val="11"/>
      <color indexed="8"/>
      <name val="Arial"/>
      <family val="2"/>
    </font>
    <font>
      <sz val="18"/>
      <color indexed="8"/>
      <name val="Arial"/>
      <family val="2"/>
    </font>
    <font>
      <sz val="12"/>
      <color indexed="8"/>
      <name val="Renfrew"/>
      <family val="2"/>
    </font>
    <font>
      <b/>
      <sz val="10"/>
      <color indexed="8"/>
      <name val="Renfrew"/>
      <family val="2"/>
    </font>
    <font>
      <i/>
      <sz val="12"/>
      <color indexed="8"/>
      <name val="Arial"/>
      <family val="2"/>
    </font>
    <font>
      <b/>
      <sz val="12"/>
      <name val="Arial"/>
      <family val="2"/>
    </font>
    <font>
      <b/>
      <sz val="16"/>
      <color indexed="8"/>
      <name val="Arial"/>
      <family val="2"/>
    </font>
    <font>
      <sz val="16"/>
      <color indexed="8"/>
      <name val="Arial"/>
      <family val="2"/>
    </font>
    <font>
      <b/>
      <sz val="20"/>
      <color indexed="8"/>
      <name val="Arial"/>
      <family val="2"/>
    </font>
    <font>
      <b/>
      <sz val="26"/>
      <name val="Arial"/>
      <family val="2"/>
    </font>
    <font>
      <b/>
      <sz val="16"/>
      <name val="Arial"/>
      <family val="2"/>
    </font>
    <font>
      <b/>
      <sz val="10"/>
      <name val="Arial"/>
      <family val="2"/>
    </font>
    <font>
      <b/>
      <sz val="13"/>
      <name val="Arial"/>
      <family val="2"/>
    </font>
    <font>
      <sz val="12"/>
      <name val="Arial"/>
      <family val="2"/>
    </font>
    <font>
      <sz val="14"/>
      <name val="Arial"/>
      <family val="2"/>
    </font>
    <font>
      <sz val="16"/>
      <name val="Arial"/>
      <family val="2"/>
    </font>
    <font>
      <b/>
      <sz val="14"/>
      <name val="Arial"/>
      <family val="2"/>
    </font>
    <font>
      <sz val="13"/>
      <color indexed="8"/>
      <name val="Arial"/>
      <family val="2"/>
    </font>
    <font>
      <b/>
      <sz val="13"/>
      <color indexed="8"/>
      <name val="Arial"/>
      <family val="2"/>
    </font>
    <font>
      <sz val="14"/>
      <name val="Arial MT"/>
      <family val="0"/>
    </font>
    <font>
      <sz val="10"/>
      <name val="Arial MT"/>
      <family val="0"/>
    </font>
    <font>
      <b/>
      <sz val="14"/>
      <name val="Arial MT"/>
      <family val="0"/>
    </font>
    <font>
      <b/>
      <sz val="14"/>
      <color indexed="10"/>
      <name val="Arial"/>
      <family val="2"/>
    </font>
    <font>
      <sz val="11.5"/>
      <color indexed="8"/>
      <name val="Arial"/>
      <family val="2"/>
    </font>
    <font>
      <sz val="10"/>
      <color indexed="10"/>
      <name val="Arial"/>
      <family val="2"/>
    </font>
    <font>
      <sz val="8"/>
      <name val="Tahoma"/>
      <family val="2"/>
    </font>
    <font>
      <sz val="12"/>
      <name val="Tahoma"/>
      <family val="2"/>
    </font>
    <font>
      <b/>
      <sz val="12"/>
      <name val="Tahoma"/>
      <family val="2"/>
    </font>
    <font>
      <b/>
      <sz val="12"/>
      <name val="Arial MT"/>
      <family val="0"/>
    </font>
    <font>
      <b/>
      <sz val="10"/>
      <name val="Tahoma"/>
      <family val="2"/>
    </font>
    <font>
      <b/>
      <sz val="11.5"/>
      <color indexed="8"/>
      <name val="Arial"/>
      <family val="2"/>
    </font>
    <font>
      <b/>
      <sz val="11"/>
      <color indexed="8"/>
      <name val="Arial"/>
      <family val="2"/>
    </font>
    <font>
      <b/>
      <sz val="17"/>
      <color indexed="8"/>
      <name val="Arial"/>
      <family val="2"/>
    </font>
    <font>
      <b/>
      <sz val="8"/>
      <name val="Tahoma"/>
      <family val="2"/>
    </font>
    <font>
      <i/>
      <sz val="12"/>
      <name val="Arial MT"/>
      <family val="0"/>
    </font>
    <font>
      <b/>
      <sz val="16"/>
      <name val="Arial MT"/>
      <family val="0"/>
    </font>
    <font>
      <sz val="11"/>
      <name val="Arial MT"/>
      <family val="0"/>
    </font>
    <font>
      <b/>
      <sz val="11"/>
      <name val="Arial MT"/>
      <family val="0"/>
    </font>
    <font>
      <sz val="18"/>
      <name val="Bookman Old Style"/>
      <family val="1"/>
    </font>
    <font>
      <sz val="10"/>
      <name val="Tahoma"/>
      <family val="2"/>
    </font>
    <font>
      <u val="single"/>
      <sz val="7.8"/>
      <color indexed="12"/>
      <name val="Arial MT"/>
      <family val="0"/>
    </font>
    <font>
      <u val="single"/>
      <sz val="7.2"/>
      <color indexed="36"/>
      <name val="Arial MT"/>
      <family val="0"/>
    </font>
    <font>
      <sz val="12"/>
      <color indexed="9"/>
      <name val="Arial MT"/>
      <family val="0"/>
    </font>
    <font>
      <b/>
      <sz val="16"/>
      <color indexed="8"/>
      <name val="Renfrew"/>
      <family val="2"/>
    </font>
    <font>
      <b/>
      <sz val="18"/>
      <color indexed="10"/>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color indexed="9"/>
      <name val="Arial"/>
      <family val="2"/>
    </font>
    <font>
      <sz val="20"/>
      <color indexed="8"/>
      <name val="Arial"/>
      <family val="2"/>
    </font>
    <font>
      <sz val="8"/>
      <name val="Arial"/>
      <family val="2"/>
    </font>
    <font>
      <sz val="10"/>
      <color indexed="9"/>
      <name val="Arial"/>
      <family val="2"/>
    </font>
    <font>
      <sz val="18"/>
      <name val="Arial"/>
      <family val="2"/>
    </font>
    <font>
      <b/>
      <sz val="12"/>
      <color indexed="10"/>
      <name val="Arial"/>
      <family val="2"/>
    </font>
    <font>
      <b/>
      <sz val="14"/>
      <color indexed="10"/>
      <name val="Arial MT"/>
      <family val="0"/>
    </font>
    <font>
      <b/>
      <sz val="11"/>
      <name val="Tahoma"/>
      <family val="2"/>
    </font>
    <font>
      <u val="single"/>
      <sz val="12"/>
      <color indexed="12"/>
      <name val="Arial MT"/>
      <family val="0"/>
    </font>
    <font>
      <sz val="9.8"/>
      <name val="Arial"/>
      <family val="2"/>
    </font>
    <font>
      <i/>
      <sz val="14"/>
      <color indexed="8"/>
      <name val="Arial"/>
      <family val="2"/>
    </font>
    <font>
      <sz val="6"/>
      <name val="Arial"/>
      <family val="2"/>
    </font>
    <font>
      <b/>
      <sz val="15"/>
      <color indexed="8"/>
      <name val="Arial"/>
      <family val="2"/>
    </font>
    <font>
      <sz val="12"/>
      <color indexed="10"/>
      <name val="Arial"/>
      <family val="2"/>
    </font>
    <font>
      <sz val="12"/>
      <color indexed="9"/>
      <name val="Arial"/>
      <family val="2"/>
    </font>
    <font>
      <sz val="15"/>
      <color indexed="8"/>
      <name val="Arial"/>
      <family val="2"/>
    </font>
    <font>
      <sz val="12"/>
      <color indexed="9"/>
      <name val="Coronet"/>
      <family val="4"/>
    </font>
    <font>
      <i/>
      <sz val="12"/>
      <name val="Arial"/>
      <family val="2"/>
    </font>
    <font>
      <sz val="11.5"/>
      <name val="Arial MT"/>
      <family val="0"/>
    </font>
    <font>
      <sz val="12"/>
      <color indexed="8"/>
      <name val="System"/>
      <family val="2"/>
    </font>
    <font>
      <sz val="13"/>
      <name val="Arial MT"/>
      <family val="0"/>
    </font>
    <font>
      <b/>
      <sz val="13"/>
      <color indexed="9"/>
      <name val="Arial"/>
      <family val="2"/>
    </font>
    <font>
      <i/>
      <sz val="13"/>
      <color indexed="8"/>
      <name val="Arial"/>
      <family val="2"/>
    </font>
    <font>
      <sz val="10"/>
      <color indexed="41"/>
      <name val="Arial"/>
      <family val="2"/>
    </font>
    <font>
      <u val="single"/>
      <sz val="16"/>
      <color indexed="12"/>
      <name val="Arial MT"/>
      <family val="0"/>
    </font>
    <font>
      <sz val="14"/>
      <color indexed="8"/>
      <name val="Arial MT"/>
      <family val="0"/>
    </font>
    <font>
      <sz val="12"/>
      <color indexed="9"/>
      <name val="Renfrew"/>
      <family val="2"/>
    </font>
    <font>
      <b/>
      <sz val="12"/>
      <color indexed="9"/>
      <name val="Renfrew"/>
      <family val="0"/>
    </font>
    <font>
      <u val="single"/>
      <sz val="14"/>
      <color indexed="12"/>
      <name val="Arial MT"/>
      <family val="0"/>
    </font>
    <font>
      <sz val="13"/>
      <color indexed="9"/>
      <name val="Arial"/>
      <family val="2"/>
    </font>
    <font>
      <b/>
      <sz val="14"/>
      <color indexed="49"/>
      <name val="Arial"/>
      <family val="2"/>
    </font>
    <font>
      <b/>
      <sz val="12"/>
      <color indexed="48"/>
      <name val="Arial"/>
      <family val="2"/>
    </font>
    <font>
      <sz val="14"/>
      <color indexed="12"/>
      <name val="Arial MT"/>
      <family val="0"/>
    </font>
    <font>
      <u val="single"/>
      <sz val="11"/>
      <color indexed="12"/>
      <name val="Arial MT"/>
      <family val="0"/>
    </font>
    <font>
      <b/>
      <u val="single"/>
      <sz val="12"/>
      <color indexed="8"/>
      <name val="Arial"/>
      <family val="2"/>
    </font>
    <font>
      <u val="single"/>
      <sz val="12"/>
      <color indexed="8"/>
      <name val="Arial"/>
      <family val="2"/>
    </font>
    <font>
      <i/>
      <sz val="9"/>
      <color indexed="8"/>
      <name val="Arial"/>
      <family val="2"/>
    </font>
    <font>
      <sz val="9"/>
      <name val="Arial"/>
      <family val="2"/>
    </font>
    <font>
      <b/>
      <sz val="9"/>
      <name val="Arial"/>
      <family val="2"/>
    </font>
    <font>
      <sz val="9"/>
      <name val="Arial MT"/>
      <family val="0"/>
    </font>
    <font>
      <sz val="12"/>
      <color indexed="8"/>
      <name val="Arial MT"/>
      <family val="0"/>
    </font>
    <font>
      <b/>
      <sz val="16"/>
      <color indexed="57"/>
      <name val="Arial"/>
      <family val="2"/>
    </font>
    <font>
      <b/>
      <sz val="14"/>
      <color indexed="57"/>
      <name val="Arial"/>
      <family val="2"/>
    </font>
    <font>
      <b/>
      <sz val="12"/>
      <color indexed="57"/>
      <name val="Arial"/>
      <family val="2"/>
    </font>
    <font>
      <b/>
      <sz val="11"/>
      <color indexed="57"/>
      <name val="Arial"/>
      <family val="2"/>
    </font>
    <font>
      <sz val="11"/>
      <color indexed="9"/>
      <name val="Arial"/>
      <family val="2"/>
    </font>
    <font>
      <sz val="11"/>
      <name val="Arial"/>
      <family val="2"/>
    </font>
    <font>
      <b/>
      <sz val="18"/>
      <color indexed="57"/>
      <name val="Arial"/>
      <family val="2"/>
    </font>
    <font>
      <b/>
      <sz val="19"/>
      <name val="Arial MT"/>
      <family val="0"/>
    </font>
    <font>
      <b/>
      <sz val="12"/>
      <color indexed="9"/>
      <name val="Arial MT"/>
      <family val="0"/>
    </font>
    <font>
      <sz val="14"/>
      <color indexed="57"/>
      <name val="Arial"/>
      <family val="2"/>
    </font>
    <font>
      <sz val="10.8"/>
      <name val="Arial MT"/>
      <family val="0"/>
    </font>
    <font>
      <b/>
      <sz val="16"/>
      <color indexed="57"/>
      <name val="Arial MT"/>
      <family val="0"/>
    </font>
    <font>
      <sz val="12"/>
      <color indexed="10"/>
      <name val="Arial MT"/>
      <family val="0"/>
    </font>
    <font>
      <vertAlign val="superscript"/>
      <sz val="12"/>
      <name val="Arial MT"/>
      <family val="0"/>
    </font>
    <font>
      <b/>
      <sz val="18"/>
      <name val="Arial MT"/>
      <family val="0"/>
    </font>
    <font>
      <b/>
      <sz val="12"/>
      <color indexed="8"/>
      <name val="Calibri"/>
      <family val="2"/>
    </font>
    <font>
      <u val="single"/>
      <sz val="14"/>
      <color indexed="12"/>
      <name val="Arial"/>
      <family val="2"/>
    </font>
    <font>
      <u val="single"/>
      <sz val="12"/>
      <name val="Arial MT"/>
      <family val="0"/>
    </font>
    <font>
      <u val="single"/>
      <sz val="14"/>
      <color indexed="8"/>
      <name val="Arial"/>
      <family val="2"/>
    </font>
    <font>
      <sz val="13"/>
      <color indexed="9"/>
      <name val="Arial MT"/>
      <family val="0"/>
    </font>
    <font>
      <b/>
      <sz val="10"/>
      <color indexed="9"/>
      <name val="Arial"/>
      <family val="2"/>
    </font>
    <font>
      <b/>
      <sz val="22"/>
      <color indexed="17"/>
      <name val="Arial"/>
      <family val="2"/>
    </font>
    <font>
      <b/>
      <sz val="26"/>
      <color indexed="17"/>
      <name val="Arial"/>
      <family val="2"/>
    </font>
    <font>
      <b/>
      <sz val="9"/>
      <name val="Arial MT"/>
      <family val="0"/>
    </font>
    <font>
      <b/>
      <sz val="9"/>
      <name val="Calibri"/>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10"/>
      <name val="Arial"/>
      <family val="2"/>
    </font>
    <font>
      <b/>
      <sz val="12"/>
      <color indexed="8"/>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9"/>
      <color rgb="FFFF0000"/>
      <name val="Arial"/>
      <family val="2"/>
    </font>
    <font>
      <b/>
      <sz val="8"/>
      <name val="Arial MT"/>
      <family val="2"/>
    </font>
  </fonts>
  <fills count="4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theme="1"/>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style="thin"/>
      <right style="thin"/>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right>
        <color indexed="63"/>
      </right>
      <top>
        <color indexed="63"/>
      </top>
      <bottom style="thin">
        <color indexed="8"/>
      </bottom>
    </border>
    <border>
      <left style="thin"/>
      <right style="thin"/>
      <top style="thin"/>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color indexed="63"/>
      </left>
      <right>
        <color indexed="63"/>
      </right>
      <top>
        <color indexed="63"/>
      </top>
      <bottom style="double"/>
    </border>
    <border>
      <left style="thin">
        <color indexed="8"/>
      </left>
      <right style="thin">
        <color indexed="8"/>
      </right>
      <top style="thin"/>
      <bottom>
        <color indexed="63"/>
      </bottom>
    </border>
    <border>
      <left style="thin">
        <color indexed="8"/>
      </left>
      <right style="thin"/>
      <top style="thin"/>
      <bottom>
        <color indexed="63"/>
      </bottom>
    </border>
    <border>
      <left style="medium">
        <color indexed="8"/>
      </left>
      <right style="thin">
        <color indexed="8"/>
      </right>
      <top style="medium">
        <color indexed="8"/>
      </top>
      <bottom style="thin"/>
    </border>
    <border>
      <left style="thin">
        <color indexed="8"/>
      </left>
      <right style="thin"/>
      <top style="medium">
        <color indexed="8"/>
      </top>
      <bottom style="thin"/>
    </border>
    <border>
      <left style="thin"/>
      <right style="thin"/>
      <top style="medium">
        <color indexed="8"/>
      </top>
      <bottom style="thin"/>
    </border>
    <border>
      <left style="medium">
        <color indexed="8"/>
      </left>
      <right style="thin">
        <color indexed="8"/>
      </right>
      <top style="thin"/>
      <bottom style="medium">
        <color indexed="8"/>
      </bottom>
    </border>
    <border>
      <left style="thin">
        <color indexed="8"/>
      </left>
      <right style="thin"/>
      <top style="thin"/>
      <bottom style="medium">
        <color indexed="8"/>
      </bottom>
    </border>
    <border>
      <left style="thin"/>
      <right style="thin"/>
      <top>
        <color indexed="63"/>
      </top>
      <bottom style="medium">
        <color indexed="8"/>
      </bottom>
    </border>
    <border>
      <left style="thin"/>
      <right style="medium">
        <color indexed="8"/>
      </right>
      <top>
        <color indexed="63"/>
      </top>
      <bottom style="medium">
        <color indexed="8"/>
      </botto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medium">
        <color indexed="8"/>
      </top>
      <bottom>
        <color indexed="63"/>
      </bottom>
    </border>
    <border>
      <left style="thin"/>
      <right style="medium">
        <color indexed="8"/>
      </right>
      <top style="medium">
        <color indexed="8"/>
      </top>
      <bottom style="thin"/>
    </border>
    <border>
      <left>
        <color indexed="63"/>
      </left>
      <right>
        <color indexed="63"/>
      </right>
      <top style="thin"/>
      <bottom style="medium"/>
    </border>
    <border>
      <left>
        <color indexed="63"/>
      </left>
      <right style="thin"/>
      <top style="thin">
        <color indexed="8"/>
      </top>
      <bottom>
        <color indexed="63"/>
      </bottom>
    </border>
    <border>
      <left>
        <color indexed="63"/>
      </left>
      <right>
        <color indexed="63"/>
      </right>
      <top style="medium"/>
      <bottom style="double"/>
    </border>
    <border>
      <left>
        <color indexed="63"/>
      </left>
      <right>
        <color indexed="63"/>
      </right>
      <top style="thin"/>
      <bottom style="double"/>
    </border>
    <border>
      <left>
        <color indexed="63"/>
      </left>
      <right>
        <color indexed="63"/>
      </right>
      <top style="medium"/>
      <bottom style="thin"/>
    </border>
    <border>
      <left>
        <color indexed="63"/>
      </left>
      <right style="double"/>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color indexed="8"/>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medium"/>
      <top>
        <color indexed="63"/>
      </top>
      <bottom style="thin"/>
    </border>
    <border>
      <left>
        <color indexed="63"/>
      </left>
      <right>
        <color indexed="63"/>
      </right>
      <top>
        <color indexed="63"/>
      </top>
      <bottom style="dashed"/>
    </border>
    <border>
      <left style="medium"/>
      <right>
        <color indexed="63"/>
      </right>
      <top>
        <color indexed="63"/>
      </top>
      <bottom style="thin">
        <color indexed="8"/>
      </bottom>
    </border>
    <border>
      <left style="medium"/>
      <right style="medium"/>
      <top style="medium"/>
      <bottom style="medium"/>
    </border>
    <border>
      <left>
        <color indexed="63"/>
      </left>
      <right>
        <color indexed="63"/>
      </right>
      <top style="dotted"/>
      <bottom style="dotted"/>
    </border>
    <border>
      <left>
        <color indexed="63"/>
      </left>
      <right>
        <color indexed="63"/>
      </right>
      <top style="double"/>
      <bottom style="thin"/>
    </border>
    <border>
      <left>
        <color indexed="63"/>
      </left>
      <right style="medium"/>
      <top style="thin"/>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71">
    <xf numFmtId="179"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5" fillId="3" borderId="0" applyNumberFormat="0" applyBorder="0" applyAlignment="0" applyProtection="0"/>
    <xf numFmtId="0" fontId="145" fillId="4" borderId="0" applyNumberFormat="0" applyBorder="0" applyAlignment="0" applyProtection="0"/>
    <xf numFmtId="0" fontId="145" fillId="5" borderId="0" applyNumberFormat="0" applyBorder="0" applyAlignment="0" applyProtection="0"/>
    <xf numFmtId="0" fontId="145" fillId="6"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45" fillId="10"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5" fillId="14" borderId="0" applyNumberFormat="0" applyBorder="0" applyAlignment="0" applyProtection="0"/>
    <xf numFmtId="0" fontId="146" fillId="15"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146" fillId="19"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46" fillId="24" borderId="0" applyNumberFormat="0" applyBorder="0" applyAlignment="0" applyProtection="0"/>
    <xf numFmtId="0" fontId="146" fillId="25" borderId="0" applyNumberFormat="0" applyBorder="0" applyAlignment="0" applyProtection="0"/>
    <xf numFmtId="0" fontId="146" fillId="26" borderId="0" applyNumberFormat="0" applyBorder="0" applyAlignment="0" applyProtection="0"/>
    <xf numFmtId="0" fontId="147" fillId="27" borderId="0" applyNumberFormat="0" applyBorder="0" applyAlignment="0" applyProtection="0"/>
    <xf numFmtId="0" fontId="148" fillId="28" borderId="1" applyNumberFormat="0" applyAlignment="0" applyProtection="0"/>
    <xf numFmtId="0" fontId="149" fillId="29"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50" fillId="0" borderId="0" applyNumberFormat="0" applyFill="0" applyBorder="0" applyAlignment="0" applyProtection="0"/>
    <xf numFmtId="0" fontId="51" fillId="0" borderId="0" applyNumberFormat="0" applyFill="0" applyBorder="0" applyAlignment="0" applyProtection="0"/>
    <xf numFmtId="0" fontId="151" fillId="30" borderId="0" applyNumberFormat="0" applyBorder="0" applyAlignment="0" applyProtection="0"/>
    <xf numFmtId="0" fontId="152" fillId="0" borderId="3" applyNumberFormat="0" applyFill="0" applyAlignment="0" applyProtection="0"/>
    <xf numFmtId="0" fontId="153" fillId="0" borderId="4" applyNumberFormat="0" applyFill="0" applyAlignment="0" applyProtection="0"/>
    <xf numFmtId="0" fontId="154" fillId="0" borderId="5" applyNumberFormat="0" applyFill="0" applyAlignment="0" applyProtection="0"/>
    <xf numFmtId="0" fontId="154" fillId="0" borderId="0" applyNumberFormat="0" applyFill="0" applyBorder="0" applyAlignment="0" applyProtection="0"/>
    <xf numFmtId="0" fontId="50" fillId="0" borderId="0" applyNumberFormat="0" applyFill="0" applyBorder="0" applyAlignment="0" applyProtection="0"/>
    <xf numFmtId="0" fontId="155" fillId="31" borderId="1" applyNumberFormat="0" applyAlignment="0" applyProtection="0"/>
    <xf numFmtId="0" fontId="156" fillId="0" borderId="6" applyNumberFormat="0" applyFill="0" applyAlignment="0" applyProtection="0"/>
    <xf numFmtId="0" fontId="0" fillId="0" borderId="0">
      <alignment/>
      <protection/>
    </xf>
    <xf numFmtId="0" fontId="157" fillId="32" borderId="0" applyNumberFormat="0" applyBorder="0" applyAlignment="0" applyProtection="0"/>
    <xf numFmtId="179"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158" fillId="28" borderId="8" applyNumberFormat="0" applyAlignment="0" applyProtection="0"/>
    <xf numFmtId="9" fontId="1" fillId="0" borderId="0" applyFont="0" applyFill="0" applyBorder="0" applyAlignment="0" applyProtection="0"/>
    <xf numFmtId="179" fontId="2" fillId="34" borderId="0">
      <alignment/>
      <protection hidden="1"/>
    </xf>
    <xf numFmtId="0" fontId="2" fillId="35" borderId="0">
      <alignment/>
      <protection/>
    </xf>
    <xf numFmtId="0" fontId="159" fillId="0" borderId="0" applyNumberFormat="0" applyFill="0" applyBorder="0" applyAlignment="0" applyProtection="0"/>
    <xf numFmtId="0" fontId="160" fillId="0" borderId="9" applyNumberFormat="0" applyFill="0" applyAlignment="0" applyProtection="0"/>
    <xf numFmtId="0" fontId="161" fillId="0" borderId="0" applyNumberFormat="0" applyFill="0" applyBorder="0" applyAlignment="0" applyProtection="0"/>
  </cellStyleXfs>
  <cellXfs count="1846">
    <xf numFmtId="179" fontId="0" fillId="2" borderId="0" xfId="0" applyAlignment="1">
      <alignment/>
    </xf>
    <xf numFmtId="179" fontId="0" fillId="2" borderId="0" xfId="0" applyFont="1" applyAlignment="1" applyProtection="1">
      <alignment/>
      <protection/>
    </xf>
    <xf numFmtId="178" fontId="9" fillId="36" borderId="10" xfId="0" applyNumberFormat="1" applyFont="1" applyFill="1" applyBorder="1" applyAlignment="1" applyProtection="1">
      <alignment/>
      <protection/>
    </xf>
    <xf numFmtId="178" fontId="9" fillId="36" borderId="0" xfId="0" applyNumberFormat="1" applyFont="1" applyFill="1" applyAlignment="1" applyProtection="1">
      <alignment/>
      <protection/>
    </xf>
    <xf numFmtId="178" fontId="9" fillId="37" borderId="0" xfId="0" applyNumberFormat="1" applyFont="1" applyFill="1" applyAlignment="1" applyProtection="1">
      <alignment/>
      <protection/>
    </xf>
    <xf numFmtId="178" fontId="9" fillId="36" borderId="11" xfId="0" applyNumberFormat="1" applyFont="1" applyFill="1" applyBorder="1" applyAlignment="1" applyProtection="1">
      <alignment/>
      <protection/>
    </xf>
    <xf numFmtId="179" fontId="2" fillId="38" borderId="0" xfId="0" applyFont="1" applyFill="1" applyBorder="1" applyAlignment="1" applyProtection="1">
      <alignment/>
      <protection/>
    </xf>
    <xf numFmtId="179" fontId="3" fillId="38" borderId="0" xfId="0" applyFont="1" applyFill="1" applyBorder="1" applyAlignment="1" applyProtection="1">
      <alignment/>
      <protection/>
    </xf>
    <xf numFmtId="179" fontId="4" fillId="38" borderId="12" xfId="0" applyFont="1" applyFill="1" applyBorder="1" applyAlignment="1" applyProtection="1">
      <alignment/>
      <protection/>
    </xf>
    <xf numFmtId="0" fontId="1" fillId="39" borderId="0" xfId="60" applyFill="1">
      <alignment/>
      <protection/>
    </xf>
    <xf numFmtId="0" fontId="1" fillId="0" borderId="0" xfId="60">
      <alignment/>
      <protection/>
    </xf>
    <xf numFmtId="0" fontId="1" fillId="39" borderId="0" xfId="60" applyFill="1" applyAlignment="1">
      <alignment vertical="top"/>
      <protection/>
    </xf>
    <xf numFmtId="0" fontId="19" fillId="39" borderId="0" xfId="60" applyFont="1" applyFill="1" applyAlignment="1">
      <alignment horizontal="right"/>
      <protection/>
    </xf>
    <xf numFmtId="0" fontId="1" fillId="39" borderId="13" xfId="60" applyFill="1" applyBorder="1">
      <alignment/>
      <protection/>
    </xf>
    <xf numFmtId="0" fontId="1" fillId="39" borderId="14" xfId="60" applyFill="1" applyBorder="1">
      <alignment/>
      <protection/>
    </xf>
    <xf numFmtId="0" fontId="1" fillId="39" borderId="15" xfId="60" applyFill="1" applyBorder="1">
      <alignment/>
      <protection/>
    </xf>
    <xf numFmtId="0" fontId="1" fillId="39" borderId="12" xfId="60" applyFill="1" applyBorder="1">
      <alignment/>
      <protection/>
    </xf>
    <xf numFmtId="0" fontId="1" fillId="39" borderId="0" xfId="60" applyFill="1" applyBorder="1">
      <alignment/>
      <protection/>
    </xf>
    <xf numFmtId="0" fontId="1" fillId="39" borderId="16" xfId="60" applyFill="1" applyBorder="1">
      <alignment/>
      <protection/>
    </xf>
    <xf numFmtId="0" fontId="23" fillId="39" borderId="17" xfId="60" applyFont="1" applyFill="1" applyBorder="1" applyAlignment="1">
      <alignment vertical="center"/>
      <protection/>
    </xf>
    <xf numFmtId="0" fontId="1" fillId="39" borderId="0" xfId="60" applyFill="1" applyBorder="1" applyAlignment="1">
      <alignment horizontal="center"/>
      <protection/>
    </xf>
    <xf numFmtId="0" fontId="1" fillId="39" borderId="17" xfId="60" applyFill="1" applyBorder="1">
      <alignment/>
      <protection/>
    </xf>
    <xf numFmtId="0" fontId="1" fillId="39" borderId="0" xfId="60" applyFill="1" applyBorder="1" applyAlignment="1">
      <alignment vertical="center"/>
      <protection/>
    </xf>
    <xf numFmtId="0" fontId="1" fillId="39" borderId="0" xfId="60" applyFill="1" applyBorder="1" applyAlignment="1">
      <alignment vertical="top"/>
      <protection/>
    </xf>
    <xf numFmtId="0" fontId="25" fillId="39" borderId="0" xfId="60" applyFont="1" applyFill="1" applyBorder="1" applyAlignment="1" applyProtection="1">
      <alignment horizontal="center" vertical="center"/>
      <protection/>
    </xf>
    <xf numFmtId="0" fontId="24" fillId="39" borderId="17" xfId="60" applyFont="1" applyFill="1" applyBorder="1" applyAlignment="1" applyProtection="1">
      <alignment vertical="center"/>
      <protection/>
    </xf>
    <xf numFmtId="0" fontId="1" fillId="39" borderId="18" xfId="60" applyFill="1" applyBorder="1">
      <alignment/>
      <protection/>
    </xf>
    <xf numFmtId="0" fontId="1" fillId="39" borderId="19" xfId="60" applyFill="1" applyBorder="1">
      <alignment/>
      <protection/>
    </xf>
    <xf numFmtId="0" fontId="1" fillId="39" borderId="17" xfId="60" applyFill="1" applyBorder="1" applyAlignment="1">
      <alignment vertical="center"/>
      <protection/>
    </xf>
    <xf numFmtId="49" fontId="24" fillId="39" borderId="19" xfId="60" applyNumberFormat="1" applyFont="1" applyFill="1" applyBorder="1">
      <alignment/>
      <protection/>
    </xf>
    <xf numFmtId="192" fontId="24" fillId="2" borderId="20" xfId="60" applyNumberFormat="1" applyFont="1" applyFill="1" applyBorder="1" applyAlignment="1" applyProtection="1">
      <alignment horizontal="center"/>
      <protection locked="0"/>
    </xf>
    <xf numFmtId="0" fontId="1" fillId="39" borderId="0" xfId="60" applyFill="1" applyBorder="1" applyAlignment="1">
      <alignment horizontal="right"/>
      <protection/>
    </xf>
    <xf numFmtId="0" fontId="1" fillId="40" borderId="20" xfId="60" applyFill="1" applyBorder="1">
      <alignment/>
      <protection/>
    </xf>
    <xf numFmtId="179" fontId="4" fillId="39" borderId="0" xfId="58" applyFont="1" applyFill="1" applyAlignment="1" applyProtection="1">
      <alignment horizontal="center"/>
      <protection/>
    </xf>
    <xf numFmtId="179" fontId="3" fillId="39" borderId="0" xfId="58" applyFont="1" applyFill="1" applyAlignment="1" applyProtection="1">
      <alignment horizontal="left"/>
      <protection/>
    </xf>
    <xf numFmtId="179" fontId="2" fillId="39" borderId="0" xfId="58" applyFont="1" applyFill="1" applyProtection="1">
      <alignment/>
      <protection/>
    </xf>
    <xf numFmtId="179" fontId="3" fillId="39" borderId="0" xfId="58" applyFont="1" applyFill="1" applyAlignment="1" applyProtection="1" quotePrefix="1">
      <alignment horizontal="right"/>
      <protection/>
    </xf>
    <xf numFmtId="179" fontId="3" fillId="39" borderId="0" xfId="58" applyFont="1" applyFill="1" applyAlignment="1" applyProtection="1">
      <alignment horizontal="center"/>
      <protection/>
    </xf>
    <xf numFmtId="179" fontId="7" fillId="39" borderId="0" xfId="58" applyFont="1" applyFill="1" applyProtection="1">
      <alignment/>
      <protection/>
    </xf>
    <xf numFmtId="179" fontId="2" fillId="39" borderId="10" xfId="58" applyFont="1" applyFill="1" applyBorder="1" applyProtection="1">
      <alignment/>
      <protection/>
    </xf>
    <xf numFmtId="179" fontId="3" fillId="39" borderId="10" xfId="58" applyFont="1" applyFill="1" applyBorder="1" applyAlignment="1" applyProtection="1">
      <alignment horizontal="center"/>
      <protection/>
    </xf>
    <xf numFmtId="179" fontId="4" fillId="39" borderId="21" xfId="58" applyFont="1" applyFill="1" applyBorder="1" applyAlignment="1" applyProtection="1">
      <alignment horizontal="center" vertical="center" wrapText="1"/>
      <protection/>
    </xf>
    <xf numFmtId="179" fontId="4" fillId="39" borderId="21" xfId="58" applyFont="1" applyFill="1" applyBorder="1" applyAlignment="1" applyProtection="1">
      <alignment horizontal="right" vertical="center" wrapText="1"/>
      <protection/>
    </xf>
    <xf numFmtId="49" fontId="2" fillId="39" borderId="0" xfId="58" applyNumberFormat="1" applyFont="1" applyFill="1" applyBorder="1" applyAlignment="1" applyProtection="1">
      <alignment horizontal="center" vertical="center"/>
      <protection/>
    </xf>
    <xf numFmtId="179" fontId="2" fillId="39" borderId="0" xfId="58" applyFont="1" applyFill="1" applyBorder="1" applyProtection="1">
      <alignment/>
      <protection/>
    </xf>
    <xf numFmtId="179" fontId="3" fillId="39" borderId="0" xfId="58" applyFont="1" applyFill="1" applyBorder="1" applyAlignment="1" applyProtection="1">
      <alignment horizontal="center"/>
      <protection/>
    </xf>
    <xf numFmtId="49" fontId="7" fillId="39" borderId="0" xfId="58" applyNumberFormat="1" applyFont="1" applyFill="1" applyBorder="1" applyAlignment="1" applyProtection="1">
      <alignment horizontal="center" vertical="center"/>
      <protection/>
    </xf>
    <xf numFmtId="179" fontId="4" fillId="39" borderId="0" xfId="58" applyFont="1" applyFill="1" applyBorder="1" applyProtection="1">
      <alignment/>
      <protection/>
    </xf>
    <xf numFmtId="179" fontId="7" fillId="39" borderId="0" xfId="58" applyFont="1" applyFill="1" applyBorder="1" applyProtection="1">
      <alignment/>
      <protection/>
    </xf>
    <xf numFmtId="179" fontId="26" fillId="39" borderId="0" xfId="58" applyFont="1" applyFill="1" applyAlignment="1" applyProtection="1">
      <alignment horizontal="left"/>
      <protection/>
    </xf>
    <xf numFmtId="179" fontId="7" fillId="39" borderId="0" xfId="58" applyFont="1" applyFill="1" applyBorder="1" applyAlignment="1" applyProtection="1">
      <alignment horizontal="left"/>
      <protection/>
    </xf>
    <xf numFmtId="179" fontId="4" fillId="39" borderId="0" xfId="58" applyFont="1" applyFill="1" applyBorder="1" applyAlignment="1" applyProtection="1">
      <alignment horizontal="center"/>
      <protection/>
    </xf>
    <xf numFmtId="179" fontId="26" fillId="39" borderId="0" xfId="58" applyFont="1" applyFill="1" applyAlignment="1" applyProtection="1">
      <alignment horizontal="left" wrapText="1"/>
      <protection/>
    </xf>
    <xf numFmtId="179" fontId="26" fillId="39" borderId="0" xfId="58" applyFont="1" applyFill="1" applyAlignment="1" applyProtection="1">
      <alignment horizontal="center"/>
      <protection/>
    </xf>
    <xf numFmtId="179" fontId="7" fillId="39" borderId="0" xfId="58" applyFont="1" applyFill="1" applyBorder="1" applyAlignment="1" applyProtection="1">
      <alignment vertical="center"/>
      <protection/>
    </xf>
    <xf numFmtId="49" fontId="2" fillId="0" borderId="0" xfId="58" applyNumberFormat="1" applyFont="1" applyFill="1" applyBorder="1" applyAlignment="1" applyProtection="1">
      <alignment horizontal="center" vertical="center"/>
      <protection/>
    </xf>
    <xf numFmtId="49" fontId="7" fillId="39" borderId="0" xfId="58" applyNumberFormat="1" applyFont="1" applyFill="1" applyBorder="1" applyAlignment="1" applyProtection="1">
      <alignment horizontal="center" vertical="center" shrinkToFit="1"/>
      <protection/>
    </xf>
    <xf numFmtId="0" fontId="34" fillId="39" borderId="0" xfId="60" applyFont="1" applyFill="1" applyBorder="1" applyAlignment="1">
      <alignment horizontal="right"/>
      <protection/>
    </xf>
    <xf numFmtId="195" fontId="25" fillId="2" borderId="20" xfId="60" applyNumberFormat="1" applyFont="1" applyFill="1" applyBorder="1" applyAlignment="1" applyProtection="1">
      <alignment horizontal="center" vertical="center"/>
      <protection locked="0"/>
    </xf>
    <xf numFmtId="0" fontId="1" fillId="39" borderId="0" xfId="60" applyFont="1" applyFill="1" quotePrefix="1">
      <alignment/>
      <protection/>
    </xf>
    <xf numFmtId="179" fontId="2" fillId="2" borderId="0" xfId="0" applyFont="1" applyFill="1" applyAlignment="1" applyProtection="1">
      <alignment/>
      <protection/>
    </xf>
    <xf numFmtId="179" fontId="3" fillId="2" borderId="0" xfId="0" applyFont="1" applyFill="1" applyAlignment="1" applyProtection="1">
      <alignment/>
      <protection/>
    </xf>
    <xf numFmtId="179" fontId="2" fillId="2" borderId="0" xfId="0" applyFont="1" applyFill="1" applyAlignment="1" applyProtection="1">
      <alignment horizontal="right"/>
      <protection/>
    </xf>
    <xf numFmtId="179" fontId="13" fillId="2" borderId="0" xfId="0" applyFont="1" applyFill="1" applyAlignment="1" applyProtection="1">
      <alignment horizontal="right"/>
      <protection/>
    </xf>
    <xf numFmtId="187" fontId="2" fillId="2" borderId="22" xfId="0" applyNumberFormat="1" applyFont="1" applyFill="1" applyBorder="1" applyAlignment="1" applyProtection="1">
      <alignment horizontal="center"/>
      <protection locked="0"/>
    </xf>
    <xf numFmtId="178" fontId="9" fillId="37" borderId="0" xfId="0" applyNumberFormat="1" applyFont="1" applyFill="1" applyBorder="1" applyAlignment="1" applyProtection="1">
      <alignment/>
      <protection/>
    </xf>
    <xf numFmtId="178" fontId="9" fillId="36" borderId="17" xfId="0" applyNumberFormat="1" applyFont="1" applyFill="1" applyBorder="1" applyAlignment="1" applyProtection="1">
      <alignment/>
      <protection/>
    </xf>
    <xf numFmtId="0" fontId="1" fillId="39" borderId="0" xfId="60" applyFont="1" applyFill="1" applyBorder="1" applyAlignment="1">
      <alignment vertical="center"/>
      <protection/>
    </xf>
    <xf numFmtId="0" fontId="1" fillId="39" borderId="0" xfId="60" applyFont="1" applyFill="1" applyBorder="1">
      <alignment/>
      <protection/>
    </xf>
    <xf numFmtId="179" fontId="2" fillId="41" borderId="0" xfId="0" applyFont="1" applyFill="1" applyAlignment="1" applyProtection="1">
      <alignment/>
      <protection/>
    </xf>
    <xf numFmtId="179" fontId="41" fillId="41" borderId="0" xfId="0" applyFont="1" applyFill="1" applyAlignment="1" applyProtection="1">
      <alignment horizontal="right"/>
      <protection/>
    </xf>
    <xf numFmtId="179" fontId="10" fillId="41" borderId="0" xfId="0" applyFont="1" applyFill="1" applyAlignment="1" applyProtection="1">
      <alignment vertical="center"/>
      <protection/>
    </xf>
    <xf numFmtId="178" fontId="9" fillId="36" borderId="0" xfId="0" applyNumberFormat="1" applyFont="1" applyFill="1" applyAlignment="1" applyProtection="1" quotePrefix="1">
      <alignment/>
      <protection/>
    </xf>
    <xf numFmtId="178" fontId="9" fillId="37" borderId="0" xfId="0" applyNumberFormat="1" applyFont="1" applyFill="1" applyAlignment="1" applyProtection="1" quotePrefix="1">
      <alignment/>
      <protection/>
    </xf>
    <xf numFmtId="179" fontId="16" fillId="39" borderId="0" xfId="0" applyFont="1" applyFill="1" applyAlignment="1" applyProtection="1">
      <alignment/>
      <protection/>
    </xf>
    <xf numFmtId="179" fontId="2" fillId="39" borderId="17" xfId="0" applyFont="1" applyFill="1" applyBorder="1" applyAlignment="1" applyProtection="1">
      <alignment/>
      <protection/>
    </xf>
    <xf numFmtId="179" fontId="2" fillId="39" borderId="11" xfId="0" applyFont="1" applyFill="1" applyBorder="1" applyAlignment="1" applyProtection="1">
      <alignment/>
      <protection/>
    </xf>
    <xf numFmtId="179" fontId="2" fillId="39" borderId="11" xfId="0" applyFont="1" applyFill="1" applyBorder="1" applyAlignment="1" applyProtection="1">
      <alignment wrapText="1"/>
      <protection/>
    </xf>
    <xf numFmtId="179" fontId="2" fillId="39" borderId="0" xfId="0" applyFont="1" applyFill="1" applyAlignment="1" applyProtection="1">
      <alignment/>
      <protection/>
    </xf>
    <xf numFmtId="179" fontId="2" fillId="39" borderId="0" xfId="0" applyFont="1" applyFill="1" applyAlignment="1" applyProtection="1">
      <alignment horizontal="right"/>
      <protection/>
    </xf>
    <xf numFmtId="179" fontId="2" fillId="39" borderId="0" xfId="0" applyFont="1" applyFill="1" applyAlignment="1" applyProtection="1">
      <alignment horizontal="left"/>
      <protection/>
    </xf>
    <xf numFmtId="179" fontId="16" fillId="39" borderId="0" xfId="0" applyFont="1" applyFill="1" applyAlignment="1" applyProtection="1">
      <alignment horizontal="left"/>
      <protection/>
    </xf>
    <xf numFmtId="179" fontId="2" fillId="39" borderId="14" xfId="0" applyFont="1" applyFill="1" applyBorder="1" applyAlignment="1" applyProtection="1">
      <alignment/>
      <protection/>
    </xf>
    <xf numFmtId="179" fontId="2" fillId="39" borderId="14" xfId="0" applyFont="1" applyFill="1" applyBorder="1" applyAlignment="1" applyProtection="1">
      <alignment/>
      <protection/>
    </xf>
    <xf numFmtId="179" fontId="2" fillId="39" borderId="11" xfId="0" applyFont="1" applyFill="1" applyBorder="1" applyAlignment="1" applyProtection="1">
      <alignment horizontal="left"/>
      <protection/>
    </xf>
    <xf numFmtId="179" fontId="33" fillId="39" borderId="0" xfId="0" applyFont="1" applyFill="1" applyAlignment="1" applyProtection="1">
      <alignment horizontal="left"/>
      <protection/>
    </xf>
    <xf numFmtId="179" fontId="4" fillId="39" borderId="0" xfId="0" applyFont="1" applyFill="1" applyAlignment="1" applyProtection="1">
      <alignment/>
      <protection/>
    </xf>
    <xf numFmtId="179" fontId="0" fillId="42" borderId="11" xfId="0" applyFont="1" applyFill="1" applyBorder="1" applyAlignment="1" applyProtection="1">
      <alignment/>
      <protection/>
    </xf>
    <xf numFmtId="179" fontId="3" fillId="39" borderId="0" xfId="0" applyFont="1" applyFill="1" applyAlignment="1" applyProtection="1">
      <alignment horizontal="right"/>
      <protection/>
    </xf>
    <xf numFmtId="179" fontId="2" fillId="39" borderId="11" xfId="0" applyFont="1" applyFill="1" applyBorder="1" applyAlignment="1" applyProtection="1">
      <alignment horizontal="right"/>
      <protection/>
    </xf>
    <xf numFmtId="179" fontId="2" fillId="39" borderId="17" xfId="0" applyFont="1" applyFill="1" applyBorder="1" applyAlignment="1" applyProtection="1">
      <alignment horizontal="right"/>
      <protection/>
    </xf>
    <xf numFmtId="179" fontId="0" fillId="42" borderId="0" xfId="0" applyFont="1" applyFill="1" applyBorder="1" applyAlignment="1" applyProtection="1">
      <alignment/>
      <protection/>
    </xf>
    <xf numFmtId="178" fontId="3" fillId="39" borderId="11" xfId="0" applyNumberFormat="1" applyFont="1" applyFill="1" applyBorder="1" applyAlignment="1" applyProtection="1">
      <alignment/>
      <protection/>
    </xf>
    <xf numFmtId="197" fontId="2" fillId="2" borderId="11" xfId="0" applyNumberFormat="1" applyFont="1" applyFill="1" applyBorder="1" applyAlignment="1" applyProtection="1">
      <alignment/>
      <protection locked="0"/>
    </xf>
    <xf numFmtId="179" fontId="3" fillId="39" borderId="11" xfId="0" applyFont="1" applyFill="1" applyBorder="1" applyAlignment="1" applyProtection="1">
      <alignment/>
      <protection/>
    </xf>
    <xf numFmtId="179" fontId="3" fillId="39" borderId="0" xfId="0" applyFont="1" applyFill="1" applyAlignment="1" applyProtection="1">
      <alignment/>
      <protection/>
    </xf>
    <xf numFmtId="179" fontId="3" fillId="39" borderId="17" xfId="0" applyFont="1" applyFill="1" applyBorder="1" applyAlignment="1" applyProtection="1">
      <alignment/>
      <protection/>
    </xf>
    <xf numFmtId="179" fontId="3" fillId="39" borderId="14" xfId="0" applyFont="1" applyFill="1" applyBorder="1" applyAlignment="1" applyProtection="1">
      <alignment/>
      <protection/>
    </xf>
    <xf numFmtId="178" fontId="3" fillId="39" borderId="17" xfId="0" applyNumberFormat="1" applyFont="1" applyFill="1" applyBorder="1" applyAlignment="1" applyProtection="1">
      <alignment/>
      <protection/>
    </xf>
    <xf numFmtId="179" fontId="3" fillId="39" borderId="0" xfId="0" applyFont="1" applyFill="1" applyBorder="1" applyAlignment="1" applyProtection="1">
      <alignment/>
      <protection/>
    </xf>
    <xf numFmtId="179" fontId="4" fillId="39" borderId="17" xfId="0" applyFont="1" applyFill="1" applyBorder="1" applyAlignment="1" applyProtection="1">
      <alignment/>
      <protection/>
    </xf>
    <xf numFmtId="179" fontId="2" fillId="39" borderId="0" xfId="0" applyFont="1" applyFill="1" applyBorder="1" applyAlignment="1" applyProtection="1">
      <alignment horizontal="right"/>
      <protection/>
    </xf>
    <xf numFmtId="179" fontId="2" fillId="39" borderId="14" xfId="0" applyFont="1" applyFill="1" applyBorder="1" applyAlignment="1" applyProtection="1">
      <alignment horizontal="right"/>
      <protection/>
    </xf>
    <xf numFmtId="179" fontId="2" fillId="39" borderId="0" xfId="0" applyFont="1" applyFill="1" applyAlignment="1" applyProtection="1">
      <alignment horizontal="center"/>
      <protection/>
    </xf>
    <xf numFmtId="197" fontId="2" fillId="2" borderId="17" xfId="0" applyNumberFormat="1" applyFont="1" applyFill="1" applyBorder="1" applyAlignment="1" applyProtection="1">
      <alignment/>
      <protection locked="0"/>
    </xf>
    <xf numFmtId="179" fontId="2" fillId="39" borderId="0" xfId="0" applyFont="1" applyFill="1" applyBorder="1" applyAlignment="1" applyProtection="1">
      <alignment horizontal="left"/>
      <protection/>
    </xf>
    <xf numFmtId="178" fontId="3" fillId="39" borderId="0" xfId="0" applyNumberFormat="1" applyFont="1" applyFill="1" applyAlignment="1" applyProtection="1">
      <alignment/>
      <protection/>
    </xf>
    <xf numFmtId="179" fontId="10" fillId="39" borderId="17" xfId="0" applyFont="1" applyFill="1" applyBorder="1" applyAlignment="1" applyProtection="1">
      <alignment horizontal="right"/>
      <protection/>
    </xf>
    <xf numFmtId="179" fontId="4" fillId="39" borderId="0" xfId="0" applyFont="1" applyFill="1" applyAlignment="1" applyProtection="1">
      <alignment horizontal="right"/>
      <protection/>
    </xf>
    <xf numFmtId="179" fontId="3" fillId="39" borderId="0" xfId="0" applyFont="1" applyFill="1" applyAlignment="1" applyProtection="1" quotePrefix="1">
      <alignment/>
      <protection/>
    </xf>
    <xf numFmtId="178" fontId="4" fillId="39" borderId="0" xfId="0" applyNumberFormat="1" applyFont="1" applyFill="1" applyAlignment="1" applyProtection="1">
      <alignment horizontal="left"/>
      <protection/>
    </xf>
    <xf numFmtId="178" fontId="4" fillId="39" borderId="0" xfId="0" applyNumberFormat="1" applyFont="1" applyFill="1" applyAlignment="1" applyProtection="1">
      <alignment/>
      <protection/>
    </xf>
    <xf numFmtId="179" fontId="0" fillId="39" borderId="0" xfId="0" applyFill="1" applyAlignment="1">
      <alignment/>
    </xf>
    <xf numFmtId="179" fontId="3" fillId="39" borderId="0" xfId="0" applyFont="1" applyFill="1" applyAlignment="1" applyProtection="1">
      <alignment horizontal="center"/>
      <protection/>
    </xf>
    <xf numFmtId="179" fontId="7" fillId="39" borderId="0" xfId="0" applyFont="1" applyFill="1" applyAlignment="1" applyProtection="1">
      <alignment/>
      <protection/>
    </xf>
    <xf numFmtId="179" fontId="13" fillId="39" borderId="0" xfId="0" applyFont="1" applyFill="1" applyAlignment="1" applyProtection="1">
      <alignment horizontal="right"/>
      <protection/>
    </xf>
    <xf numFmtId="179" fontId="12" fillId="39" borderId="0" xfId="0" applyFont="1" applyFill="1" applyAlignment="1" applyProtection="1">
      <alignment/>
      <protection/>
    </xf>
    <xf numFmtId="179" fontId="3" fillId="39" borderId="0" xfId="0" applyFont="1" applyFill="1" applyAlignment="1" applyProtection="1">
      <alignment horizontal="left"/>
      <protection/>
    </xf>
    <xf numFmtId="179" fontId="4" fillId="39" borderId="13" xfId="0" applyFont="1" applyFill="1" applyBorder="1" applyAlignment="1" applyProtection="1">
      <alignment/>
      <protection/>
    </xf>
    <xf numFmtId="179" fontId="4" fillId="39" borderId="14" xfId="0" applyFont="1" applyFill="1" applyBorder="1" applyAlignment="1" applyProtection="1">
      <alignment/>
      <protection/>
    </xf>
    <xf numFmtId="179" fontId="2" fillId="39" borderId="12" xfId="0" applyFont="1" applyFill="1" applyBorder="1" applyAlignment="1" applyProtection="1">
      <alignment/>
      <protection/>
    </xf>
    <xf numFmtId="179" fontId="2" fillId="39" borderId="0" xfId="0" applyFont="1" applyFill="1" applyBorder="1" applyAlignment="1" applyProtection="1">
      <alignment/>
      <protection/>
    </xf>
    <xf numFmtId="179" fontId="2" fillId="39" borderId="18" xfId="0" applyFont="1" applyFill="1" applyBorder="1" applyAlignment="1" applyProtection="1">
      <alignment/>
      <protection/>
    </xf>
    <xf numFmtId="179" fontId="2" fillId="39" borderId="0" xfId="0" applyFont="1" applyFill="1" applyBorder="1" applyAlignment="1" applyProtection="1">
      <alignment horizontal="center"/>
      <protection/>
    </xf>
    <xf numFmtId="179" fontId="0" fillId="39" borderId="0" xfId="0" applyFill="1" applyBorder="1" applyAlignment="1">
      <alignment/>
    </xf>
    <xf numFmtId="179" fontId="0" fillId="39" borderId="17" xfId="0" applyFill="1" applyBorder="1" applyAlignment="1">
      <alignment/>
    </xf>
    <xf numFmtId="179" fontId="0" fillId="39" borderId="11" xfId="0" applyFill="1" applyBorder="1" applyAlignment="1">
      <alignment/>
    </xf>
    <xf numFmtId="179" fontId="0" fillId="39" borderId="23" xfId="0" applyFill="1" applyBorder="1" applyAlignment="1">
      <alignment/>
    </xf>
    <xf numFmtId="179" fontId="0" fillId="39" borderId="16" xfId="0" applyFill="1" applyBorder="1" applyAlignment="1">
      <alignment/>
    </xf>
    <xf numFmtId="179" fontId="0" fillId="39" borderId="19" xfId="0" applyFill="1" applyBorder="1" applyAlignment="1">
      <alignment/>
    </xf>
    <xf numFmtId="4" fontId="2" fillId="2" borderId="17" xfId="0" applyNumberFormat="1" applyFont="1" applyFill="1" applyBorder="1" applyAlignment="1" applyProtection="1">
      <alignment/>
      <protection locked="0"/>
    </xf>
    <xf numFmtId="197" fontId="7" fillId="2" borderId="17" xfId="0" applyNumberFormat="1" applyFont="1" applyFill="1" applyBorder="1" applyAlignment="1" applyProtection="1">
      <alignment/>
      <protection locked="0"/>
    </xf>
    <xf numFmtId="197" fontId="7" fillId="2" borderId="11" xfId="0" applyNumberFormat="1" applyFont="1" applyFill="1" applyBorder="1" applyAlignment="1" applyProtection="1">
      <alignment/>
      <protection locked="0"/>
    </xf>
    <xf numFmtId="179" fontId="7" fillId="39" borderId="0" xfId="0" applyFont="1" applyFill="1" applyBorder="1" applyAlignment="1" applyProtection="1">
      <alignment/>
      <protection/>
    </xf>
    <xf numFmtId="179" fontId="7" fillId="39" borderId="14" xfId="0" applyFont="1" applyFill="1" applyBorder="1" applyAlignment="1" applyProtection="1">
      <alignment/>
      <protection/>
    </xf>
    <xf numFmtId="179" fontId="8" fillId="39" borderId="0" xfId="0" applyFont="1" applyFill="1" applyAlignment="1" applyProtection="1">
      <alignment/>
      <protection/>
    </xf>
    <xf numFmtId="1" fontId="2" fillId="39" borderId="0" xfId="0" applyNumberFormat="1" applyFont="1" applyFill="1" applyBorder="1" applyAlignment="1" applyProtection="1">
      <alignment horizontal="left"/>
      <protection/>
    </xf>
    <xf numFmtId="179" fontId="2" fillId="39" borderId="15" xfId="0" applyFont="1" applyFill="1" applyBorder="1" applyAlignment="1" applyProtection="1">
      <alignment/>
      <protection/>
    </xf>
    <xf numFmtId="179" fontId="2" fillId="39" borderId="16" xfId="0" applyFont="1" applyFill="1" applyBorder="1" applyAlignment="1" applyProtection="1">
      <alignment/>
      <protection/>
    </xf>
    <xf numFmtId="1" fontId="2" fillId="39" borderId="0" xfId="0" applyNumberFormat="1" applyFont="1" applyFill="1" applyAlignment="1" applyProtection="1">
      <alignment horizontal="left"/>
      <protection/>
    </xf>
    <xf numFmtId="179" fontId="2" fillId="39" borderId="19" xfId="0" applyFont="1" applyFill="1" applyBorder="1" applyAlignment="1" applyProtection="1">
      <alignment/>
      <protection/>
    </xf>
    <xf numFmtId="179" fontId="14" fillId="39" borderId="10" xfId="0" applyFont="1" applyFill="1" applyBorder="1" applyAlignment="1" applyProtection="1">
      <alignment/>
      <protection/>
    </xf>
    <xf numFmtId="179" fontId="2" fillId="39" borderId="24" xfId="0" applyFont="1" applyFill="1" applyBorder="1" applyAlignment="1" applyProtection="1">
      <alignment/>
      <protection/>
    </xf>
    <xf numFmtId="179" fontId="2" fillId="39" borderId="10" xfId="0" applyFont="1" applyFill="1" applyBorder="1" applyAlignment="1" applyProtection="1">
      <alignment/>
      <protection/>
    </xf>
    <xf numFmtId="179" fontId="2" fillId="39" borderId="21" xfId="0" applyFont="1" applyFill="1" applyBorder="1" applyAlignment="1" applyProtection="1">
      <alignment/>
      <protection/>
    </xf>
    <xf numFmtId="179" fontId="3" fillId="39" borderId="24" xfId="0" applyFont="1" applyFill="1" applyBorder="1" applyAlignment="1" applyProtection="1">
      <alignment/>
      <protection/>
    </xf>
    <xf numFmtId="179" fontId="3" fillId="39" borderId="10" xfId="0" applyFont="1" applyFill="1" applyBorder="1" applyAlignment="1" applyProtection="1">
      <alignment horizontal="right"/>
      <protection/>
    </xf>
    <xf numFmtId="179" fontId="3" fillId="39" borderId="24" xfId="0" applyFont="1" applyFill="1" applyBorder="1" applyAlignment="1" applyProtection="1">
      <alignment horizontal="right"/>
      <protection/>
    </xf>
    <xf numFmtId="179" fontId="3" fillId="39" borderId="13" xfId="0" applyFont="1" applyFill="1" applyBorder="1" applyAlignment="1" applyProtection="1">
      <alignment/>
      <protection/>
    </xf>
    <xf numFmtId="179" fontId="2" fillId="39" borderId="25" xfId="0" applyFont="1" applyFill="1" applyBorder="1" applyAlignment="1" applyProtection="1">
      <alignment/>
      <protection/>
    </xf>
    <xf numFmtId="179" fontId="2" fillId="39" borderId="10" xfId="0" applyFont="1" applyFill="1" applyBorder="1" applyAlignment="1" applyProtection="1">
      <alignment horizontal="right"/>
      <protection/>
    </xf>
    <xf numFmtId="179" fontId="2" fillId="39" borderId="21" xfId="0" applyFont="1" applyFill="1" applyBorder="1" applyAlignment="1" applyProtection="1">
      <alignment horizontal="right"/>
      <protection/>
    </xf>
    <xf numFmtId="179" fontId="2" fillId="39" borderId="24" xfId="0" applyFont="1" applyFill="1" applyBorder="1" applyAlignment="1" applyProtection="1">
      <alignment horizontal="right"/>
      <protection/>
    </xf>
    <xf numFmtId="197" fontId="2" fillId="2" borderId="17" xfId="0" applyNumberFormat="1" applyFont="1" applyFill="1" applyBorder="1" applyAlignment="1" applyProtection="1">
      <alignment vertical="center"/>
      <protection locked="0"/>
    </xf>
    <xf numFmtId="197" fontId="2" fillId="2" borderId="11" xfId="0" applyNumberFormat="1" applyFont="1" applyFill="1" applyBorder="1" applyAlignment="1" applyProtection="1">
      <alignment vertical="center"/>
      <protection locked="0"/>
    </xf>
    <xf numFmtId="178" fontId="3" fillId="39" borderId="0" xfId="0" applyNumberFormat="1" applyFont="1" applyFill="1" applyAlignment="1" applyProtection="1">
      <alignment horizontal="center"/>
      <protection/>
    </xf>
    <xf numFmtId="178" fontId="2" fillId="39" borderId="0" xfId="0" applyNumberFormat="1" applyFont="1" applyFill="1" applyAlignment="1" applyProtection="1">
      <alignment horizontal="center"/>
      <protection/>
    </xf>
    <xf numFmtId="178" fontId="3" fillId="39" borderId="14" xfId="0" applyNumberFormat="1" applyFont="1" applyFill="1" applyBorder="1" applyAlignment="1" applyProtection="1">
      <alignment horizontal="center"/>
      <protection/>
    </xf>
    <xf numFmtId="178" fontId="3" fillId="39" borderId="0" xfId="0" applyNumberFormat="1" applyFont="1" applyFill="1" applyBorder="1" applyAlignment="1" applyProtection="1">
      <alignment horizontal="center"/>
      <protection/>
    </xf>
    <xf numFmtId="197" fontId="0" fillId="2" borderId="17" xfId="0" applyNumberFormat="1" applyBorder="1" applyAlignment="1" applyProtection="1">
      <alignment/>
      <protection locked="0"/>
    </xf>
    <xf numFmtId="197" fontId="0" fillId="2" borderId="11" xfId="0" applyNumberFormat="1" applyBorder="1" applyAlignment="1" applyProtection="1">
      <alignment/>
      <protection locked="0"/>
    </xf>
    <xf numFmtId="179" fontId="3" fillId="39" borderId="17" xfId="0" applyFont="1" applyFill="1" applyBorder="1" applyAlignment="1" applyProtection="1">
      <alignment horizontal="right"/>
      <protection/>
    </xf>
    <xf numFmtId="179" fontId="2" fillId="39" borderId="10" xfId="0" applyFont="1" applyFill="1" applyBorder="1" applyAlignment="1" applyProtection="1">
      <alignment horizontal="center"/>
      <protection/>
    </xf>
    <xf numFmtId="179" fontId="3" fillId="39" borderId="11" xfId="0" applyFont="1" applyFill="1" applyBorder="1" applyAlignment="1" applyProtection="1">
      <alignment horizontal="right"/>
      <protection/>
    </xf>
    <xf numFmtId="179" fontId="2" fillId="39" borderId="17" xfId="0" applyFont="1" applyFill="1" applyBorder="1" applyAlignment="1" applyProtection="1">
      <alignment vertical="top"/>
      <protection/>
    </xf>
    <xf numFmtId="179" fontId="2" fillId="39" borderId="17" xfId="0" applyFont="1" applyFill="1" applyBorder="1" applyAlignment="1" applyProtection="1">
      <alignment horizontal="left"/>
      <protection/>
    </xf>
    <xf numFmtId="179" fontId="11" fillId="39" borderId="0" xfId="0" applyFont="1" applyFill="1" applyAlignment="1" applyProtection="1">
      <alignment/>
      <protection/>
    </xf>
    <xf numFmtId="179" fontId="5" fillId="39" borderId="0" xfId="0" applyFont="1" applyFill="1" applyBorder="1" applyAlignment="1" applyProtection="1">
      <alignment horizontal="center"/>
      <protection/>
    </xf>
    <xf numFmtId="179" fontId="5" fillId="39" borderId="0" xfId="0" applyFont="1" applyFill="1" applyBorder="1" applyAlignment="1" applyProtection="1" quotePrefix="1">
      <alignment/>
      <protection/>
    </xf>
    <xf numFmtId="179" fontId="2" fillId="39" borderId="17" xfId="0" applyFont="1" applyFill="1" applyBorder="1" applyAlignment="1" applyProtection="1">
      <alignment horizontal="center"/>
      <protection/>
    </xf>
    <xf numFmtId="179" fontId="3" fillId="39" borderId="14" xfId="0" applyFont="1" applyFill="1" applyBorder="1" applyAlignment="1" applyProtection="1">
      <alignment horizontal="right"/>
      <protection/>
    </xf>
    <xf numFmtId="179" fontId="6" fillId="39" borderId="0" xfId="0" applyFont="1" applyFill="1" applyBorder="1" applyAlignment="1" applyProtection="1">
      <alignment horizontal="center"/>
      <protection/>
    </xf>
    <xf numFmtId="179" fontId="4" fillId="39" borderId="11" xfId="0" applyFont="1" applyFill="1" applyBorder="1" applyAlignment="1" applyProtection="1">
      <alignment/>
      <protection/>
    </xf>
    <xf numFmtId="179" fontId="3" fillId="39" borderId="0" xfId="0" applyFont="1" applyFill="1" applyAlignment="1" applyProtection="1" quotePrefix="1">
      <alignment horizontal="center"/>
      <protection/>
    </xf>
    <xf numFmtId="178" fontId="3" fillId="39" borderId="0" xfId="0" applyNumberFormat="1" applyFont="1" applyFill="1" applyBorder="1" applyAlignment="1" applyProtection="1">
      <alignment/>
      <protection/>
    </xf>
    <xf numFmtId="179" fontId="40" fillId="39" borderId="14" xfId="0" applyFont="1" applyFill="1" applyBorder="1" applyAlignment="1" applyProtection="1">
      <alignment horizontal="left"/>
      <protection/>
    </xf>
    <xf numFmtId="178" fontId="3" fillId="39" borderId="0" xfId="0" applyNumberFormat="1" applyFont="1" applyFill="1" applyAlignment="1" applyProtection="1">
      <alignment horizontal="left"/>
      <protection/>
    </xf>
    <xf numFmtId="197" fontId="0" fillId="2" borderId="0" xfId="0" applyNumberFormat="1" applyBorder="1" applyAlignment="1">
      <alignment/>
    </xf>
    <xf numFmtId="197" fontId="2" fillId="2" borderId="22" xfId="0" applyNumberFormat="1" applyFont="1" applyFill="1" applyBorder="1" applyAlignment="1" applyProtection="1">
      <alignment/>
      <protection locked="0"/>
    </xf>
    <xf numFmtId="179" fontId="10" fillId="39" borderId="13" xfId="0" applyFont="1" applyFill="1" applyBorder="1" applyAlignment="1" applyProtection="1">
      <alignment/>
      <protection/>
    </xf>
    <xf numFmtId="179" fontId="10" fillId="39" borderId="14" xfId="0" applyFont="1" applyFill="1" applyBorder="1" applyAlignment="1" applyProtection="1">
      <alignment/>
      <protection/>
    </xf>
    <xf numFmtId="179" fontId="2" fillId="39" borderId="15" xfId="0" applyFont="1" applyFill="1" applyBorder="1" applyAlignment="1" applyProtection="1">
      <alignment horizontal="center"/>
      <protection/>
    </xf>
    <xf numFmtId="179" fontId="5" fillId="39" borderId="26" xfId="0" applyFont="1" applyFill="1" applyBorder="1" applyAlignment="1" applyProtection="1">
      <alignment horizontal="center"/>
      <protection/>
    </xf>
    <xf numFmtId="179" fontId="5" fillId="39" borderId="22" xfId="0" applyFont="1" applyFill="1" applyBorder="1" applyAlignment="1" applyProtection="1">
      <alignment horizontal="center"/>
      <protection/>
    </xf>
    <xf numFmtId="197" fontId="2" fillId="2" borderId="20" xfId="0" applyNumberFormat="1" applyFont="1" applyFill="1" applyBorder="1" applyAlignment="1" applyProtection="1">
      <alignment/>
      <protection locked="0"/>
    </xf>
    <xf numFmtId="179" fontId="2" fillId="39" borderId="13" xfId="0" applyFont="1" applyFill="1" applyBorder="1" applyAlignment="1" applyProtection="1">
      <alignment horizontal="right"/>
      <protection/>
    </xf>
    <xf numFmtId="178" fontId="2" fillId="39" borderId="11" xfId="0" applyNumberFormat="1" applyFont="1" applyFill="1" applyBorder="1" applyAlignment="1" applyProtection="1">
      <alignment horizontal="right"/>
      <protection/>
    </xf>
    <xf numFmtId="178" fontId="2" fillId="39" borderId="17" xfId="0" applyNumberFormat="1" applyFont="1" applyFill="1" applyBorder="1" applyAlignment="1" applyProtection="1">
      <alignment/>
      <protection/>
    </xf>
    <xf numFmtId="179" fontId="16" fillId="39" borderId="0" xfId="0" applyFont="1" applyFill="1" applyAlignment="1" applyProtection="1">
      <alignment horizontal="right"/>
      <protection/>
    </xf>
    <xf numFmtId="178" fontId="2" fillId="39" borderId="0" xfId="0" applyNumberFormat="1" applyFont="1" applyFill="1" applyAlignment="1" applyProtection="1">
      <alignment horizontal="right"/>
      <protection/>
    </xf>
    <xf numFmtId="187" fontId="2" fillId="39" borderId="0" xfId="0" applyNumberFormat="1" applyFont="1" applyFill="1" applyAlignment="1" applyProtection="1">
      <alignment/>
      <protection/>
    </xf>
    <xf numFmtId="187" fontId="4" fillId="39" borderId="0" xfId="0" applyNumberFormat="1" applyFont="1" applyFill="1" applyAlignment="1" applyProtection="1">
      <alignment/>
      <protection/>
    </xf>
    <xf numFmtId="187" fontId="2" fillId="39" borderId="12" xfId="0" applyNumberFormat="1" applyFont="1" applyFill="1" applyBorder="1" applyAlignment="1" applyProtection="1">
      <alignment/>
      <protection/>
    </xf>
    <xf numFmtId="197" fontId="2" fillId="2" borderId="27" xfId="0" applyNumberFormat="1" applyFont="1" applyFill="1" applyBorder="1" applyAlignment="1" applyProtection="1">
      <alignment/>
      <protection locked="0"/>
    </xf>
    <xf numFmtId="197" fontId="2" fillId="2" borderId="28" xfId="0" applyNumberFormat="1" applyFont="1" applyFill="1" applyBorder="1" applyAlignment="1" applyProtection="1">
      <alignment/>
      <protection locked="0"/>
    </xf>
    <xf numFmtId="179" fontId="2" fillId="39" borderId="26" xfId="0" applyFont="1" applyFill="1" applyBorder="1" applyAlignment="1" applyProtection="1">
      <alignment horizontal="center"/>
      <protection/>
    </xf>
    <xf numFmtId="179" fontId="2" fillId="39" borderId="29" xfId="0" applyFont="1" applyFill="1" applyBorder="1" applyAlignment="1" applyProtection="1">
      <alignment horizontal="center"/>
      <protection/>
    </xf>
    <xf numFmtId="179" fontId="2" fillId="39" borderId="22" xfId="0" applyFont="1" applyFill="1" applyBorder="1" applyAlignment="1" applyProtection="1">
      <alignment/>
      <protection/>
    </xf>
    <xf numFmtId="197" fontId="2" fillId="2" borderId="20" xfId="0" applyNumberFormat="1" applyFont="1" applyFill="1" applyBorder="1" applyAlignment="1" applyProtection="1">
      <alignment horizontal="center"/>
      <protection locked="0"/>
    </xf>
    <xf numFmtId="197" fontId="2" fillId="2" borderId="22" xfId="66" applyNumberFormat="1" applyFill="1" applyBorder="1" applyAlignment="1" applyProtection="1">
      <alignment horizontal="center"/>
      <protection locked="0"/>
    </xf>
    <xf numFmtId="179" fontId="2" fillId="39" borderId="16" xfId="0" applyFont="1" applyFill="1" applyBorder="1" applyAlignment="1" applyProtection="1">
      <alignment horizontal="center"/>
      <protection/>
    </xf>
    <xf numFmtId="179" fontId="5" fillId="39" borderId="0" xfId="0" applyFont="1" applyFill="1" applyAlignment="1" applyProtection="1">
      <alignment/>
      <protection/>
    </xf>
    <xf numFmtId="179" fontId="16" fillId="39" borderId="0" xfId="0" applyFont="1" applyFill="1" applyAlignment="1" applyProtection="1">
      <alignment horizontal="center"/>
      <protection/>
    </xf>
    <xf numFmtId="178" fontId="2" fillId="39" borderId="0" xfId="0" applyNumberFormat="1" applyFont="1" applyFill="1" applyBorder="1" applyAlignment="1" applyProtection="1">
      <alignment/>
      <protection/>
    </xf>
    <xf numFmtId="178" fontId="3" fillId="39" borderId="0" xfId="0" applyNumberFormat="1" applyFont="1" applyFill="1" applyBorder="1" applyAlignment="1" applyProtection="1">
      <alignment horizontal="right"/>
      <protection/>
    </xf>
    <xf numFmtId="179" fontId="2" fillId="39" borderId="11" xfId="0" applyFont="1" applyFill="1" applyBorder="1" applyAlignment="1" applyProtection="1">
      <alignment horizontal="center"/>
      <protection/>
    </xf>
    <xf numFmtId="179" fontId="17" fillId="39" borderId="0" xfId="0" applyFont="1" applyFill="1" applyAlignment="1" applyProtection="1">
      <alignment/>
      <protection/>
    </xf>
    <xf numFmtId="179" fontId="0" fillId="43" borderId="0" xfId="0" applyFill="1" applyAlignment="1">
      <alignment/>
    </xf>
    <xf numFmtId="179" fontId="2" fillId="43" borderId="0" xfId="0" applyFont="1" applyFill="1" applyAlignment="1" applyProtection="1">
      <alignment/>
      <protection/>
    </xf>
    <xf numFmtId="179" fontId="16" fillId="43" borderId="0" xfId="0" applyFont="1" applyFill="1" applyAlignment="1" applyProtection="1">
      <alignment/>
      <protection/>
    </xf>
    <xf numFmtId="179" fontId="4" fillId="43" borderId="0" xfId="0" applyFont="1" applyFill="1" applyAlignment="1" applyProtection="1">
      <alignment/>
      <protection/>
    </xf>
    <xf numFmtId="179" fontId="2" fillId="43" borderId="17" xfId="0" applyFont="1" applyFill="1" applyBorder="1" applyAlignment="1" applyProtection="1">
      <alignment/>
      <protection/>
    </xf>
    <xf numFmtId="179" fontId="2" fillId="43" borderId="0" xfId="0" applyFont="1" applyFill="1" applyBorder="1" applyAlignment="1" applyProtection="1">
      <alignment/>
      <protection/>
    </xf>
    <xf numFmtId="179" fontId="3" fillId="43" borderId="0" xfId="0" applyFont="1" applyFill="1" applyAlignment="1" applyProtection="1">
      <alignment/>
      <protection/>
    </xf>
    <xf numFmtId="179" fontId="2" fillId="43" borderId="11" xfId="0" applyFont="1" applyFill="1" applyBorder="1" applyAlignment="1" applyProtection="1">
      <alignment/>
      <protection/>
    </xf>
    <xf numFmtId="179" fontId="10" fillId="43" borderId="11" xfId="0" applyFont="1" applyFill="1" applyBorder="1" applyAlignment="1" applyProtection="1">
      <alignment/>
      <protection/>
    </xf>
    <xf numFmtId="179" fontId="10" fillId="43" borderId="17" xfId="0" applyFont="1" applyFill="1" applyBorder="1" applyAlignment="1" applyProtection="1">
      <alignment/>
      <protection/>
    </xf>
    <xf numFmtId="179" fontId="3" fillId="43" borderId="0" xfId="0" applyFont="1" applyFill="1" applyAlignment="1" applyProtection="1">
      <alignment horizontal="right"/>
      <protection/>
    </xf>
    <xf numFmtId="179" fontId="10" fillId="43" borderId="11" xfId="0" applyFont="1" applyFill="1" applyBorder="1" applyAlignment="1" applyProtection="1">
      <alignment horizontal="right"/>
      <protection/>
    </xf>
    <xf numFmtId="179" fontId="2" fillId="43" borderId="17" xfId="0" applyFont="1" applyFill="1" applyBorder="1" applyAlignment="1" applyProtection="1">
      <alignment horizontal="right"/>
      <protection/>
    </xf>
    <xf numFmtId="179" fontId="2" fillId="43" borderId="30" xfId="0" applyFont="1" applyFill="1" applyBorder="1" applyAlignment="1" applyProtection="1">
      <alignment/>
      <protection/>
    </xf>
    <xf numFmtId="179" fontId="10" fillId="43" borderId="17" xfId="0" applyFont="1" applyFill="1" applyBorder="1" applyAlignment="1" applyProtection="1">
      <alignment horizontal="right"/>
      <protection/>
    </xf>
    <xf numFmtId="179" fontId="2" fillId="43" borderId="23" xfId="0" applyFont="1" applyFill="1" applyBorder="1" applyAlignment="1" applyProtection="1">
      <alignment horizontal="right"/>
      <protection/>
    </xf>
    <xf numFmtId="179" fontId="3" fillId="43" borderId="17" xfId="0" applyFont="1" applyFill="1" applyBorder="1" applyAlignment="1" applyProtection="1">
      <alignment horizontal="right"/>
      <protection/>
    </xf>
    <xf numFmtId="179" fontId="2" fillId="43" borderId="14" xfId="0" applyFont="1" applyFill="1" applyBorder="1" applyAlignment="1" applyProtection="1">
      <alignment/>
      <protection/>
    </xf>
    <xf numFmtId="179" fontId="2" fillId="43" borderId="0" xfId="0" applyFont="1" applyFill="1" applyAlignment="1" applyProtection="1">
      <alignment horizontal="center"/>
      <protection/>
    </xf>
    <xf numFmtId="179" fontId="3" fillId="43" borderId="0" xfId="0" applyFont="1" applyFill="1" applyBorder="1" applyAlignment="1" applyProtection="1" quotePrefix="1">
      <alignment horizontal="center"/>
      <protection/>
    </xf>
    <xf numFmtId="179" fontId="2" fillId="43" borderId="0" xfId="0" applyFont="1" applyFill="1" applyAlignment="1" applyProtection="1" quotePrefix="1">
      <alignment/>
      <protection/>
    </xf>
    <xf numFmtId="179" fontId="41" fillId="43" borderId="0" xfId="0" applyFont="1" applyFill="1" applyAlignment="1" applyProtection="1">
      <alignment horizontal="right"/>
      <protection/>
    </xf>
    <xf numFmtId="179" fontId="17" fillId="43" borderId="0" xfId="0" applyFont="1" applyFill="1" applyAlignment="1" applyProtection="1">
      <alignment/>
      <protection/>
    </xf>
    <xf numFmtId="179" fontId="8" fillId="43" borderId="0" xfId="0" applyFont="1" applyFill="1" applyAlignment="1" applyProtection="1">
      <alignment horizontal="center"/>
      <protection/>
    </xf>
    <xf numFmtId="179" fontId="3" fillId="43" borderId="0" xfId="0" applyFont="1" applyFill="1" applyAlignment="1" applyProtection="1" quotePrefix="1">
      <alignment horizontal="right"/>
      <protection/>
    </xf>
    <xf numFmtId="179" fontId="16" fillId="43" borderId="0" xfId="0" applyFont="1" applyFill="1" applyAlignment="1" applyProtection="1">
      <alignment horizontal="right"/>
      <protection/>
    </xf>
    <xf numFmtId="179" fontId="11" fillId="43" borderId="0" xfId="0" applyFont="1" applyFill="1" applyAlignment="1" applyProtection="1">
      <alignment/>
      <protection/>
    </xf>
    <xf numFmtId="179" fontId="2" fillId="43" borderId="0" xfId="0" applyFont="1" applyFill="1" applyAlignment="1" applyProtection="1">
      <alignment horizontal="right"/>
      <protection/>
    </xf>
    <xf numFmtId="179" fontId="2" fillId="43" borderId="10" xfId="0" applyFont="1" applyFill="1" applyBorder="1" applyAlignment="1" applyProtection="1">
      <alignment/>
      <protection/>
    </xf>
    <xf numFmtId="179" fontId="3" fillId="43" borderId="0" xfId="0" applyFont="1" applyFill="1" applyBorder="1" applyAlignment="1" applyProtection="1">
      <alignment/>
      <protection/>
    </xf>
    <xf numFmtId="179" fontId="2" fillId="43" borderId="0" xfId="0" applyFont="1" applyFill="1" applyBorder="1" applyAlignment="1" applyProtection="1">
      <alignment horizontal="right"/>
      <protection/>
    </xf>
    <xf numFmtId="179" fontId="2" fillId="43" borderId="10" xfId="0" applyFont="1" applyFill="1" applyBorder="1" applyAlignment="1" applyProtection="1">
      <alignment horizontal="right"/>
      <protection/>
    </xf>
    <xf numFmtId="179" fontId="3" fillId="43" borderId="24" xfId="0" applyFont="1" applyFill="1" applyBorder="1" applyAlignment="1" applyProtection="1">
      <alignment horizontal="right"/>
      <protection/>
    </xf>
    <xf numFmtId="179" fontId="3" fillId="43" borderId="0" xfId="0" applyFont="1" applyFill="1" applyBorder="1" applyAlignment="1" applyProtection="1">
      <alignment horizontal="right"/>
      <protection/>
    </xf>
    <xf numFmtId="179" fontId="3" fillId="43" borderId="10" xfId="0" applyFont="1" applyFill="1" applyBorder="1" applyAlignment="1" applyProtection="1">
      <alignment horizontal="right"/>
      <protection/>
    </xf>
    <xf numFmtId="179" fontId="2" fillId="43" borderId="15" xfId="0" applyFont="1" applyFill="1" applyBorder="1" applyAlignment="1" applyProtection="1">
      <alignment/>
      <protection/>
    </xf>
    <xf numFmtId="179" fontId="2" fillId="43" borderId="19" xfId="0" applyFont="1" applyFill="1" applyBorder="1" applyAlignment="1" applyProtection="1">
      <alignment/>
      <protection/>
    </xf>
    <xf numFmtId="178" fontId="3" fillId="43" borderId="0" xfId="0" applyNumberFormat="1" applyFont="1" applyFill="1" applyAlignment="1" applyProtection="1">
      <alignment horizontal="center"/>
      <protection/>
    </xf>
    <xf numFmtId="197" fontId="0" fillId="2" borderId="0" xfId="0" applyNumberFormat="1" applyBorder="1" applyAlignment="1" quotePrefix="1">
      <alignment/>
    </xf>
    <xf numFmtId="179" fontId="38" fillId="43" borderId="0" xfId="0" applyFont="1" applyFill="1" applyAlignment="1">
      <alignment/>
    </xf>
    <xf numFmtId="179" fontId="0" fillId="43" borderId="0" xfId="0" applyFont="1" applyFill="1" applyAlignment="1">
      <alignment/>
    </xf>
    <xf numFmtId="179" fontId="0" fillId="43" borderId="17" xfId="0" applyFont="1" applyFill="1" applyBorder="1" applyAlignment="1">
      <alignment/>
    </xf>
    <xf numFmtId="179" fontId="0" fillId="43" borderId="11" xfId="0" applyFont="1" applyFill="1" applyBorder="1" applyAlignment="1">
      <alignment/>
    </xf>
    <xf numFmtId="179" fontId="2" fillId="43" borderId="10" xfId="0" applyFont="1" applyFill="1" applyBorder="1" applyAlignment="1" applyProtection="1">
      <alignment horizontal="left"/>
      <protection/>
    </xf>
    <xf numFmtId="179" fontId="2" fillId="43" borderId="0" xfId="0" applyFont="1" applyFill="1" applyAlignment="1" applyProtection="1">
      <alignment horizontal="left"/>
      <protection/>
    </xf>
    <xf numFmtId="179" fontId="3" fillId="43" borderId="11" xfId="0" applyFont="1" applyFill="1" applyBorder="1" applyAlignment="1" applyProtection="1">
      <alignment horizontal="right"/>
      <protection/>
    </xf>
    <xf numFmtId="197" fontId="2" fillId="34" borderId="17" xfId="0" applyNumberFormat="1" applyFont="1" applyFill="1" applyBorder="1" applyAlignment="1" applyProtection="1">
      <alignment/>
      <protection/>
    </xf>
    <xf numFmtId="197" fontId="2" fillId="2" borderId="11" xfId="0" applyNumberFormat="1" applyFont="1" applyFill="1" applyBorder="1" applyAlignment="1" applyProtection="1">
      <alignment/>
      <protection locked="0"/>
    </xf>
    <xf numFmtId="179" fontId="0" fillId="0" borderId="18" xfId="0" applyFill="1" applyBorder="1" applyAlignment="1" applyProtection="1">
      <alignment/>
      <protection locked="0"/>
    </xf>
    <xf numFmtId="49" fontId="4" fillId="2" borderId="0" xfId="58" applyNumberFormat="1" applyFont="1" applyFill="1" applyBorder="1" applyAlignment="1" applyProtection="1">
      <alignment horizontal="right" vertical="center"/>
      <protection locked="0"/>
    </xf>
    <xf numFmtId="49" fontId="4" fillId="2" borderId="12" xfId="58" applyNumberFormat="1" applyFont="1" applyFill="1" applyBorder="1" applyAlignment="1" applyProtection="1">
      <alignment horizontal="right" vertical="center"/>
      <protection locked="0"/>
    </xf>
    <xf numFmtId="49" fontId="4" fillId="2" borderId="29" xfId="58" applyNumberFormat="1" applyFont="1" applyFill="1" applyBorder="1" applyAlignment="1" applyProtection="1">
      <alignment horizontal="right" vertical="center"/>
      <protection locked="0"/>
    </xf>
    <xf numFmtId="197" fontId="4" fillId="2" borderId="0" xfId="58" applyNumberFormat="1" applyFont="1" applyFill="1" applyBorder="1" applyAlignment="1" applyProtection="1">
      <alignment horizontal="right"/>
      <protection locked="0"/>
    </xf>
    <xf numFmtId="197" fontId="4" fillId="2" borderId="12" xfId="58" applyNumberFormat="1" applyFont="1" applyFill="1" applyBorder="1" applyAlignment="1" applyProtection="1">
      <alignment horizontal="right"/>
      <protection locked="0"/>
    </xf>
    <xf numFmtId="197" fontId="4" fillId="2" borderId="29" xfId="58" applyNumberFormat="1" applyFont="1" applyFill="1" applyBorder="1" applyAlignment="1" applyProtection="1">
      <alignment horizontal="right"/>
      <protection locked="0"/>
    </xf>
    <xf numFmtId="197" fontId="4" fillId="2" borderId="0" xfId="58" applyNumberFormat="1" applyFont="1" applyFill="1" applyBorder="1" applyAlignment="1" applyProtection="1">
      <alignment horizontal="right" vertical="center"/>
      <protection locked="0"/>
    </xf>
    <xf numFmtId="197" fontId="4" fillId="2" borderId="12" xfId="58" applyNumberFormat="1" applyFont="1" applyFill="1" applyBorder="1" applyAlignment="1" applyProtection="1">
      <alignment horizontal="right" vertical="center"/>
      <protection locked="0"/>
    </xf>
    <xf numFmtId="197" fontId="4" fillId="2" borderId="29" xfId="58" applyNumberFormat="1" applyFont="1" applyFill="1" applyBorder="1" applyAlignment="1" applyProtection="1">
      <alignment horizontal="right" vertical="center"/>
      <protection locked="0"/>
    </xf>
    <xf numFmtId="179" fontId="2" fillId="0" borderId="0" xfId="0" applyNumberFormat="1" applyFont="1" applyFill="1" applyBorder="1" applyAlignment="1" applyProtection="1">
      <alignment/>
      <protection/>
    </xf>
    <xf numFmtId="0" fontId="20" fillId="2" borderId="20" xfId="60" applyFont="1" applyFill="1" applyBorder="1" applyAlignment="1" applyProtection="1">
      <alignment horizontal="center" vertical="center"/>
      <protection locked="0"/>
    </xf>
    <xf numFmtId="179" fontId="10" fillId="39" borderId="0" xfId="0" applyFont="1" applyFill="1" applyAlignment="1" applyProtection="1">
      <alignment/>
      <protection/>
    </xf>
    <xf numFmtId="0" fontId="24" fillId="39" borderId="17" xfId="60" applyFont="1" applyFill="1" applyBorder="1" applyAlignment="1" applyProtection="1">
      <alignment horizontal="left" vertical="center"/>
      <protection/>
    </xf>
    <xf numFmtId="179" fontId="3" fillId="43" borderId="0" xfId="0" applyFont="1" applyFill="1" applyAlignment="1" applyProtection="1" quotePrefix="1">
      <alignment horizontal="center" vertical="center"/>
      <protection/>
    </xf>
    <xf numFmtId="179" fontId="3" fillId="43" borderId="0" xfId="0" applyFont="1" applyFill="1" applyAlignment="1" applyProtection="1">
      <alignment horizontal="right" vertical="center"/>
      <protection/>
    </xf>
    <xf numFmtId="179" fontId="3" fillId="43" borderId="0" xfId="0" applyFont="1" applyFill="1" applyAlignment="1" applyProtection="1" quotePrefix="1">
      <alignment horizontal="right" vertical="center"/>
      <protection/>
    </xf>
    <xf numFmtId="179" fontId="2" fillId="43" borderId="17" xfId="0" applyFont="1" applyFill="1" applyBorder="1" applyAlignment="1" applyProtection="1">
      <alignment vertical="center"/>
      <protection/>
    </xf>
    <xf numFmtId="179" fontId="8" fillId="43" borderId="17" xfId="0" applyFont="1" applyFill="1" applyBorder="1" applyAlignment="1" applyProtection="1">
      <alignment horizontal="center"/>
      <protection/>
    </xf>
    <xf numFmtId="179" fontId="2" fillId="43" borderId="11" xfId="0" applyFont="1" applyFill="1" applyBorder="1" applyAlignment="1" applyProtection="1">
      <alignment vertical="center"/>
      <protection/>
    </xf>
    <xf numFmtId="179" fontId="8" fillId="43" borderId="11" xfId="0" applyFont="1" applyFill="1" applyBorder="1" applyAlignment="1" applyProtection="1">
      <alignment horizontal="center"/>
      <protection/>
    </xf>
    <xf numFmtId="179" fontId="2" fillId="43" borderId="0" xfId="0" applyFont="1" applyFill="1" applyAlignment="1" applyProtection="1">
      <alignment vertical="center"/>
      <protection/>
    </xf>
    <xf numFmtId="179" fontId="4" fillId="43" borderId="0" xfId="0" applyFont="1" applyFill="1" applyAlignment="1" applyProtection="1">
      <alignment vertical="center"/>
      <protection/>
    </xf>
    <xf numFmtId="179" fontId="2" fillId="43" borderId="14" xfId="0" applyFont="1" applyFill="1" applyBorder="1" applyAlignment="1" applyProtection="1">
      <alignment vertical="center"/>
      <protection/>
    </xf>
    <xf numFmtId="179" fontId="3" fillId="43" borderId="0" xfId="0" applyFont="1" applyFill="1" applyAlignment="1" applyProtection="1">
      <alignment vertical="center"/>
      <protection/>
    </xf>
    <xf numFmtId="179" fontId="8" fillId="43" borderId="0" xfId="0" applyFont="1" applyFill="1" applyAlignment="1" applyProtection="1">
      <alignment horizontal="center" vertical="center"/>
      <protection/>
    </xf>
    <xf numFmtId="179" fontId="8" fillId="43" borderId="17" xfId="0" applyFont="1" applyFill="1" applyBorder="1" applyAlignment="1" applyProtection="1">
      <alignment horizontal="center" vertical="center"/>
      <protection/>
    </xf>
    <xf numFmtId="179" fontId="8" fillId="43" borderId="11" xfId="0" applyFont="1" applyFill="1" applyBorder="1" applyAlignment="1" applyProtection="1">
      <alignment horizontal="center" vertical="center"/>
      <protection/>
    </xf>
    <xf numFmtId="179" fontId="8" fillId="43" borderId="14" xfId="0" applyFont="1" applyFill="1" applyBorder="1" applyAlignment="1" applyProtection="1">
      <alignment horizontal="center" vertical="center"/>
      <protection/>
    </xf>
    <xf numFmtId="179" fontId="10" fillId="43" borderId="0" xfId="0" applyFont="1" applyFill="1" applyAlignment="1" applyProtection="1">
      <alignment vertical="center"/>
      <protection/>
    </xf>
    <xf numFmtId="179" fontId="2" fillId="43" borderId="0" xfId="0" applyFont="1" applyFill="1" applyAlignment="1" applyProtection="1">
      <alignment horizontal="right" vertical="center"/>
      <protection/>
    </xf>
    <xf numFmtId="179" fontId="2" fillId="43" borderId="0" xfId="0" applyFont="1" applyFill="1" applyBorder="1" applyAlignment="1" applyProtection="1">
      <alignment vertical="center"/>
      <protection/>
    </xf>
    <xf numFmtId="197" fontId="2" fillId="2" borderId="14" xfId="0" applyNumberFormat="1" applyFont="1" applyFill="1" applyBorder="1" applyAlignment="1" applyProtection="1">
      <alignment/>
      <protection locked="0"/>
    </xf>
    <xf numFmtId="178" fontId="9" fillId="37" borderId="17" xfId="0" applyNumberFormat="1" applyFont="1" applyFill="1" applyBorder="1" applyAlignment="1" applyProtection="1" quotePrefix="1">
      <alignment horizontal="center"/>
      <protection/>
    </xf>
    <xf numFmtId="1" fontId="2" fillId="2" borderId="17" xfId="0" applyNumberFormat="1" applyFont="1" applyFill="1" applyBorder="1" applyAlignment="1" applyProtection="1">
      <alignment horizontal="center"/>
      <protection locked="0"/>
    </xf>
    <xf numFmtId="1" fontId="0" fillId="2" borderId="17" xfId="0" applyNumberFormat="1" applyFill="1" applyBorder="1" applyAlignment="1" applyProtection="1">
      <alignment horizontal="center"/>
      <protection locked="0"/>
    </xf>
    <xf numFmtId="200" fontId="7" fillId="2" borderId="17" xfId="0" applyNumberFormat="1" applyFont="1" applyFill="1" applyBorder="1" applyAlignment="1" applyProtection="1">
      <alignment horizontal="center" shrinkToFit="1"/>
      <protection locked="0"/>
    </xf>
    <xf numFmtId="49" fontId="29" fillId="2" borderId="20" xfId="0" applyNumberFormat="1" applyFont="1" applyFill="1" applyBorder="1" applyAlignment="1" applyProtection="1">
      <alignment horizontal="center" vertical="center"/>
      <protection locked="0"/>
    </xf>
    <xf numFmtId="192" fontId="4" fillId="2" borderId="0" xfId="58" applyNumberFormat="1" applyFont="1" applyFill="1" applyBorder="1" applyAlignment="1" applyProtection="1">
      <alignment horizontal="right"/>
      <protection locked="0"/>
    </xf>
    <xf numFmtId="192" fontId="4" fillId="2" borderId="12" xfId="58" applyNumberFormat="1" applyFont="1" applyFill="1" applyBorder="1" applyAlignment="1" applyProtection="1">
      <alignment horizontal="right"/>
      <protection locked="0"/>
    </xf>
    <xf numFmtId="192" fontId="4" fillId="2" borderId="29" xfId="58" applyNumberFormat="1" applyFont="1" applyFill="1" applyBorder="1" applyAlignment="1" applyProtection="1">
      <alignment horizontal="right"/>
      <protection locked="0"/>
    </xf>
    <xf numFmtId="49" fontId="4" fillId="39" borderId="11" xfId="58" applyNumberFormat="1" applyFont="1" applyFill="1" applyBorder="1" applyAlignment="1" applyProtection="1">
      <alignment horizontal="center" vertical="center"/>
      <protection/>
    </xf>
    <xf numFmtId="49" fontId="7" fillId="39" borderId="11" xfId="58" applyNumberFormat="1" applyFont="1" applyFill="1" applyBorder="1" applyAlignment="1" applyProtection="1">
      <alignment horizontal="center" vertical="center"/>
      <protection/>
    </xf>
    <xf numFmtId="49" fontId="7" fillId="39" borderId="31" xfId="58" applyNumberFormat="1" applyFont="1" applyFill="1" applyBorder="1" applyAlignment="1" applyProtection="1">
      <alignment horizontal="center" vertical="center"/>
      <protection/>
    </xf>
    <xf numFmtId="179" fontId="26" fillId="39" borderId="31" xfId="58" applyFont="1" applyFill="1" applyBorder="1" applyAlignment="1" applyProtection="1">
      <alignment horizontal="left"/>
      <protection/>
    </xf>
    <xf numFmtId="179" fontId="4" fillId="39" borderId="31" xfId="58" applyFont="1" applyFill="1" applyBorder="1" applyAlignment="1" applyProtection="1">
      <alignment horizontal="center"/>
      <protection/>
    </xf>
    <xf numFmtId="179" fontId="7" fillId="39" borderId="31" xfId="58" applyFont="1" applyFill="1" applyBorder="1" applyProtection="1">
      <alignment/>
      <protection/>
    </xf>
    <xf numFmtId="49" fontId="4" fillId="39" borderId="17" xfId="58" applyNumberFormat="1" applyFont="1" applyFill="1" applyBorder="1" applyAlignment="1" applyProtection="1">
      <alignment horizontal="center" vertical="center"/>
      <protection/>
    </xf>
    <xf numFmtId="49" fontId="7" fillId="39" borderId="17" xfId="58" applyNumberFormat="1" applyFont="1" applyFill="1" applyBorder="1" applyAlignment="1" applyProtection="1">
      <alignment horizontal="center" vertical="center"/>
      <protection/>
    </xf>
    <xf numFmtId="179" fontId="26" fillId="39" borderId="24" xfId="58" applyFont="1" applyFill="1" applyBorder="1" applyAlignment="1" applyProtection="1">
      <alignment horizontal="left"/>
      <protection/>
    </xf>
    <xf numFmtId="49" fontId="7" fillId="39" borderId="24" xfId="58" applyNumberFormat="1" applyFont="1" applyFill="1" applyBorder="1" applyAlignment="1" applyProtection="1">
      <alignment horizontal="center" vertical="center"/>
      <protection/>
    </xf>
    <xf numFmtId="179" fontId="4" fillId="39" borderId="24" xfId="58" applyFont="1" applyFill="1" applyBorder="1" applyAlignment="1" applyProtection="1">
      <alignment horizontal="center"/>
      <protection/>
    </xf>
    <xf numFmtId="49" fontId="7" fillId="39" borderId="0" xfId="58" applyNumberFormat="1" applyFont="1" applyFill="1" applyBorder="1" applyAlignment="1" applyProtection="1">
      <alignment horizontal="center" vertical="center" wrapText="1"/>
      <protection/>
    </xf>
    <xf numFmtId="179" fontId="50" fillId="39" borderId="0" xfId="53" applyNumberFormat="1" applyFill="1" applyBorder="1" applyAlignment="1" applyProtection="1">
      <alignment/>
      <protection/>
    </xf>
    <xf numFmtId="179" fontId="15" fillId="39" borderId="0" xfId="58" applyFont="1" applyFill="1" applyAlignment="1" applyProtection="1">
      <alignment horizontal="left"/>
      <protection/>
    </xf>
    <xf numFmtId="49" fontId="2" fillId="39" borderId="31" xfId="58" applyNumberFormat="1" applyFont="1" applyFill="1" applyBorder="1" applyAlignment="1" applyProtection="1">
      <alignment horizontal="center" vertical="center"/>
      <protection/>
    </xf>
    <xf numFmtId="49" fontId="4" fillId="39" borderId="14" xfId="58" applyNumberFormat="1" applyFont="1" applyFill="1" applyBorder="1" applyAlignment="1" applyProtection="1">
      <alignment horizontal="center" vertical="center"/>
      <protection/>
    </xf>
    <xf numFmtId="49" fontId="7" fillId="39" borderId="14" xfId="58" applyNumberFormat="1" applyFont="1" applyFill="1" applyBorder="1" applyAlignment="1" applyProtection="1">
      <alignment horizontal="center" vertical="center"/>
      <protection/>
    </xf>
    <xf numFmtId="49" fontId="4" fillId="39" borderId="0" xfId="58" applyNumberFormat="1" applyFont="1" applyFill="1" applyBorder="1" applyAlignment="1" applyProtection="1">
      <alignment horizontal="center" vertical="center"/>
      <protection/>
    </xf>
    <xf numFmtId="197" fontId="31" fillId="2" borderId="22" xfId="58" applyNumberFormat="1" applyFont="1" applyFill="1" applyBorder="1" applyProtection="1">
      <alignment/>
      <protection locked="0"/>
    </xf>
    <xf numFmtId="197" fontId="31" fillId="2" borderId="20" xfId="58" applyNumberFormat="1" applyFont="1" applyFill="1" applyBorder="1" applyProtection="1">
      <alignment/>
      <protection locked="0"/>
    </xf>
    <xf numFmtId="2" fontId="31" fillId="2" borderId="20" xfId="58" applyNumberFormat="1" applyFont="1" applyFill="1" applyBorder="1" applyAlignment="1" applyProtection="1">
      <alignment vertical="center"/>
      <protection locked="0"/>
    </xf>
    <xf numFmtId="179" fontId="4" fillId="39" borderId="32" xfId="58" applyFont="1" applyFill="1" applyBorder="1" applyAlignment="1" applyProtection="1">
      <alignment horizontal="center" vertical="center" wrapText="1"/>
      <protection/>
    </xf>
    <xf numFmtId="49" fontId="7" fillId="39" borderId="33" xfId="58" applyNumberFormat="1" applyFont="1" applyFill="1" applyBorder="1" applyAlignment="1" applyProtection="1">
      <alignment horizontal="center" vertical="center"/>
      <protection/>
    </xf>
    <xf numFmtId="49" fontId="7" fillId="39" borderId="34" xfId="58" applyNumberFormat="1" applyFont="1" applyFill="1" applyBorder="1" applyAlignment="1" applyProtection="1">
      <alignment horizontal="center" vertical="center"/>
      <protection/>
    </xf>
    <xf numFmtId="49" fontId="4" fillId="39" borderId="35" xfId="58" applyNumberFormat="1" applyFont="1" applyFill="1" applyBorder="1" applyAlignment="1" applyProtection="1">
      <alignment horizontal="center" vertical="center"/>
      <protection/>
    </xf>
    <xf numFmtId="49" fontId="4" fillId="39" borderId="36" xfId="58" applyNumberFormat="1" applyFont="1" applyFill="1" applyBorder="1" applyAlignment="1" applyProtection="1">
      <alignment horizontal="center" vertical="center"/>
      <protection/>
    </xf>
    <xf numFmtId="179" fontId="4" fillId="39" borderId="0" xfId="58" applyFont="1" applyFill="1" applyAlignment="1" applyProtection="1">
      <alignment horizontal="left"/>
      <protection/>
    </xf>
    <xf numFmtId="197" fontId="4" fillId="2" borderId="17" xfId="58" applyNumberFormat="1" applyFont="1" applyFill="1" applyBorder="1" applyAlignment="1" applyProtection="1">
      <alignment horizontal="right" vertical="center"/>
      <protection locked="0"/>
    </xf>
    <xf numFmtId="197" fontId="4" fillId="2" borderId="18" xfId="58" applyNumberFormat="1" applyFont="1" applyFill="1" applyBorder="1" applyAlignment="1" applyProtection="1">
      <alignment horizontal="right" vertical="center"/>
      <protection locked="0"/>
    </xf>
    <xf numFmtId="197" fontId="4" fillId="2" borderId="22" xfId="58" applyNumberFormat="1" applyFont="1" applyFill="1" applyBorder="1" applyAlignment="1" applyProtection="1">
      <alignment horizontal="right" vertical="center"/>
      <protection locked="0"/>
    </xf>
    <xf numFmtId="197" fontId="31" fillId="39" borderId="14" xfId="58" applyNumberFormat="1" applyFont="1" applyFill="1" applyBorder="1" applyProtection="1">
      <alignment/>
      <protection/>
    </xf>
    <xf numFmtId="179" fontId="4" fillId="39" borderId="0" xfId="58" applyFont="1" applyFill="1" applyProtection="1">
      <alignment/>
      <protection/>
    </xf>
    <xf numFmtId="197" fontId="4" fillId="2" borderId="16" xfId="58" applyNumberFormat="1" applyFont="1" applyFill="1" applyBorder="1" applyAlignment="1" applyProtection="1">
      <alignment horizontal="right" vertical="center"/>
      <protection locked="0"/>
    </xf>
    <xf numFmtId="179" fontId="4" fillId="39" borderId="0" xfId="58" applyFont="1" applyFill="1" applyBorder="1" applyAlignment="1" applyProtection="1">
      <alignment horizontal="center" vertical="center" wrapText="1"/>
      <protection/>
    </xf>
    <xf numFmtId="197" fontId="31" fillId="39" borderId="0" xfId="58" applyNumberFormat="1" applyFont="1" applyFill="1" applyBorder="1" applyProtection="1">
      <alignment/>
      <protection/>
    </xf>
    <xf numFmtId="49" fontId="4" fillId="39" borderId="0" xfId="58" applyNumberFormat="1" applyFont="1" applyFill="1" applyBorder="1" applyAlignment="1" applyProtection="1">
      <alignment horizontal="left" vertical="center"/>
      <protection/>
    </xf>
    <xf numFmtId="49" fontId="7" fillId="39" borderId="0" xfId="58" applyNumberFormat="1" applyFont="1" applyFill="1" applyBorder="1" applyAlignment="1" applyProtection="1">
      <alignment horizontal="left" vertical="center"/>
      <protection/>
    </xf>
    <xf numFmtId="49" fontId="7" fillId="39" borderId="17" xfId="58" applyNumberFormat="1" applyFont="1" applyFill="1" applyBorder="1" applyAlignment="1" applyProtection="1">
      <alignment horizontal="left" vertical="center"/>
      <protection/>
    </xf>
    <xf numFmtId="197" fontId="31" fillId="34" borderId="17" xfId="58" applyNumberFormat="1" applyFont="1" applyFill="1" applyBorder="1" applyProtection="1">
      <alignment/>
      <protection/>
    </xf>
    <xf numFmtId="197" fontId="31" fillId="39" borderId="0" xfId="58" applyNumberFormat="1" applyFont="1" applyFill="1" applyBorder="1" applyProtection="1" quotePrefix="1">
      <alignment/>
      <protection/>
    </xf>
    <xf numFmtId="197" fontId="31" fillId="34" borderId="37" xfId="58" applyNumberFormat="1" applyFont="1" applyFill="1" applyBorder="1" applyProtection="1">
      <alignment/>
      <protection/>
    </xf>
    <xf numFmtId="9" fontId="4" fillId="2" borderId="16" xfId="58" applyNumberFormat="1" applyFont="1" applyFill="1" applyBorder="1" applyAlignment="1" applyProtection="1">
      <alignment horizontal="right" vertical="center"/>
      <protection locked="0"/>
    </xf>
    <xf numFmtId="197" fontId="31" fillId="39" borderId="0" xfId="58" applyNumberFormat="1" applyFont="1" applyFill="1" applyBorder="1" applyAlignment="1" applyProtection="1" quotePrefix="1">
      <alignment horizontal="center"/>
      <protection/>
    </xf>
    <xf numFmtId="49" fontId="7" fillId="39" borderId="0" xfId="58" applyNumberFormat="1" applyFont="1" applyFill="1" applyBorder="1" applyAlignment="1" applyProtection="1">
      <alignment horizontal="right" vertical="center"/>
      <protection/>
    </xf>
    <xf numFmtId="2" fontId="31" fillId="39" borderId="0" xfId="58" applyNumberFormat="1" applyFont="1" applyFill="1" applyBorder="1" applyAlignment="1" applyProtection="1">
      <alignment vertical="center"/>
      <protection/>
    </xf>
    <xf numFmtId="179" fontId="2" fillId="39" borderId="0" xfId="58" applyFont="1" applyFill="1" applyAlignment="1" applyProtection="1">
      <alignment horizontal="center"/>
      <protection/>
    </xf>
    <xf numFmtId="179" fontId="4" fillId="39" borderId="0" xfId="58" applyFont="1" applyFill="1" applyBorder="1" applyAlignment="1" applyProtection="1">
      <alignment horizontal="right" vertical="center" wrapText="1"/>
      <protection/>
    </xf>
    <xf numFmtId="179" fontId="2" fillId="39" borderId="0" xfId="58" applyFont="1" applyFill="1" applyAlignment="1" applyProtection="1">
      <alignment horizontal="right"/>
      <protection/>
    </xf>
    <xf numFmtId="179" fontId="7" fillId="39" borderId="0" xfId="58" applyFont="1" applyFill="1" applyAlignment="1" applyProtection="1">
      <alignment horizontal="left"/>
      <protection/>
    </xf>
    <xf numFmtId="197" fontId="4" fillId="2" borderId="16" xfId="58" applyNumberFormat="1" applyFont="1" applyFill="1" applyBorder="1" applyAlignment="1" applyProtection="1">
      <alignment horizontal="left" vertical="center"/>
      <protection locked="0"/>
    </xf>
    <xf numFmtId="1" fontId="4" fillId="2" borderId="16" xfId="58" applyNumberFormat="1" applyFont="1" applyFill="1" applyBorder="1" applyAlignment="1" applyProtection="1">
      <alignment horizontal="right" vertical="center"/>
      <protection locked="0"/>
    </xf>
    <xf numFmtId="197" fontId="31" fillId="39" borderId="20" xfId="58" applyNumberFormat="1" applyFont="1" applyFill="1" applyBorder="1" applyProtection="1">
      <alignment/>
      <protection/>
    </xf>
    <xf numFmtId="179" fontId="24" fillId="39" borderId="0" xfId="58" applyFont="1" applyFill="1" applyAlignment="1" applyProtection="1">
      <alignment horizontal="left"/>
      <protection/>
    </xf>
    <xf numFmtId="179" fontId="0" fillId="2" borderId="0" xfId="0" applyAlignment="1">
      <alignment horizontal="left"/>
    </xf>
    <xf numFmtId="179" fontId="53" fillId="39" borderId="0" xfId="0" applyFont="1" applyFill="1" applyAlignment="1" applyProtection="1">
      <alignment horizontal="left"/>
      <protection/>
    </xf>
    <xf numFmtId="197" fontId="31" fillId="39" borderId="22" xfId="58" applyNumberFormat="1" applyFont="1" applyFill="1" applyBorder="1" applyProtection="1">
      <alignment/>
      <protection/>
    </xf>
    <xf numFmtId="197" fontId="2" fillId="34" borderId="17" xfId="66" applyNumberFormat="1" applyBorder="1" applyProtection="1">
      <alignment/>
      <protection/>
    </xf>
    <xf numFmtId="197" fontId="31" fillId="2" borderId="23" xfId="58" applyNumberFormat="1" applyFont="1" applyFill="1" applyBorder="1" applyAlignment="1" applyProtection="1">
      <alignment horizontal="left" wrapText="1"/>
      <protection locked="0"/>
    </xf>
    <xf numFmtId="197" fontId="31" fillId="39" borderId="20" xfId="58" applyNumberFormat="1" applyFont="1" applyFill="1" applyBorder="1" applyAlignment="1" applyProtection="1">
      <alignment horizontal="left"/>
      <protection/>
    </xf>
    <xf numFmtId="179" fontId="38" fillId="39" borderId="11" xfId="0" applyFont="1" applyFill="1" applyBorder="1" applyAlignment="1">
      <alignment horizontal="center" wrapText="1"/>
    </xf>
    <xf numFmtId="179" fontId="38" fillId="39" borderId="23" xfId="0" applyFont="1" applyFill="1" applyBorder="1" applyAlignment="1">
      <alignment horizontal="center" wrapText="1"/>
    </xf>
    <xf numFmtId="179" fontId="31" fillId="39" borderId="0" xfId="0" applyFont="1" applyFill="1" applyAlignment="1">
      <alignment horizontal="center"/>
    </xf>
    <xf numFmtId="179" fontId="0" fillId="39" borderId="30" xfId="0" applyFill="1" applyBorder="1" applyAlignment="1">
      <alignment/>
    </xf>
    <xf numFmtId="179" fontId="0" fillId="39" borderId="17" xfId="0" applyFill="1" applyBorder="1" applyAlignment="1">
      <alignment horizontal="center"/>
    </xf>
    <xf numFmtId="179" fontId="0" fillId="39" borderId="11" xfId="0" applyFill="1" applyBorder="1" applyAlignment="1">
      <alignment horizontal="center"/>
    </xf>
    <xf numFmtId="179" fontId="38" fillId="39" borderId="11" xfId="0" applyFont="1" applyFill="1" applyBorder="1" applyAlignment="1">
      <alignment horizontal="center" vertical="top" wrapText="1"/>
    </xf>
    <xf numFmtId="179" fontId="38" fillId="39" borderId="30" xfId="0" applyFont="1" applyFill="1" applyBorder="1" applyAlignment="1">
      <alignment horizontal="center" wrapText="1"/>
    </xf>
    <xf numFmtId="197" fontId="2" fillId="34" borderId="21" xfId="0" applyNumberFormat="1" applyFont="1" applyFill="1" applyBorder="1" applyAlignment="1" applyProtection="1">
      <alignment horizontal="center"/>
      <protection/>
    </xf>
    <xf numFmtId="197" fontId="2" fillId="34" borderId="17" xfId="0" applyNumberFormat="1" applyFont="1" applyFill="1" applyBorder="1" applyAlignment="1" applyProtection="1">
      <alignment/>
      <protection/>
    </xf>
    <xf numFmtId="197" fontId="2" fillId="34" borderId="11" xfId="0" applyNumberFormat="1" applyFont="1" applyFill="1" applyBorder="1" applyAlignment="1" applyProtection="1">
      <alignment/>
      <protection/>
    </xf>
    <xf numFmtId="197" fontId="2" fillId="34" borderId="10" xfId="0" applyNumberFormat="1" applyFont="1" applyFill="1" applyBorder="1" applyAlignment="1" applyProtection="1">
      <alignment/>
      <protection/>
    </xf>
    <xf numFmtId="197" fontId="2" fillId="34" borderId="11" xfId="66" applyNumberFormat="1" applyBorder="1" applyProtection="1">
      <alignment/>
      <protection/>
    </xf>
    <xf numFmtId="197" fontId="2" fillId="34" borderId="10" xfId="0" applyNumberFormat="1" applyFont="1" applyFill="1" applyBorder="1" applyAlignment="1" applyProtection="1">
      <alignment horizontal="center"/>
      <protection/>
    </xf>
    <xf numFmtId="179" fontId="54" fillId="39" borderId="0" xfId="58" applyFont="1" applyFill="1" applyAlignment="1" applyProtection="1">
      <alignment horizontal="center"/>
      <protection/>
    </xf>
    <xf numFmtId="197" fontId="4" fillId="39" borderId="16" xfId="58" applyNumberFormat="1" applyFont="1" applyFill="1" applyBorder="1" applyAlignment="1" applyProtection="1">
      <alignment horizontal="right" vertical="center"/>
      <protection/>
    </xf>
    <xf numFmtId="179" fontId="4" fillId="0" borderId="0" xfId="58" applyFont="1" applyFill="1" applyAlignment="1" applyProtection="1">
      <alignment horizontal="center"/>
      <protection/>
    </xf>
    <xf numFmtId="179" fontId="54" fillId="39" borderId="0" xfId="58" applyFont="1" applyFill="1" applyAlignment="1" applyProtection="1">
      <alignment horizontal="left"/>
      <protection/>
    </xf>
    <xf numFmtId="197" fontId="4" fillId="39" borderId="0" xfId="58" applyNumberFormat="1" applyFont="1" applyFill="1" applyBorder="1" applyAlignment="1" applyProtection="1">
      <alignment horizontal="right" vertical="center"/>
      <protection/>
    </xf>
    <xf numFmtId="49" fontId="7" fillId="39" borderId="11" xfId="58" applyNumberFormat="1" applyFont="1" applyFill="1" applyBorder="1" applyAlignment="1" applyProtection="1">
      <alignment horizontal="right" vertical="center"/>
      <protection/>
    </xf>
    <xf numFmtId="197" fontId="7" fillId="34" borderId="17" xfId="66" applyNumberFormat="1" applyFont="1" applyBorder="1" applyProtection="1">
      <alignment/>
      <protection/>
    </xf>
    <xf numFmtId="179" fontId="38" fillId="39" borderId="30" xfId="0" applyFont="1" applyFill="1" applyBorder="1" applyAlignment="1">
      <alignment horizontal="left" vertical="top" wrapText="1"/>
    </xf>
    <xf numFmtId="179" fontId="31" fillId="39" borderId="0" xfId="0" applyFont="1" applyFill="1" applyAlignment="1">
      <alignment horizontal="left" vertical="center"/>
    </xf>
    <xf numFmtId="0" fontId="55" fillId="39" borderId="0" xfId="61" applyFont="1" applyFill="1" applyProtection="1" quotePrefix="1">
      <alignment/>
      <protection/>
    </xf>
    <xf numFmtId="0" fontId="3" fillId="39" borderId="0" xfId="61" applyFont="1" applyFill="1" applyProtection="1">
      <alignment/>
      <protection/>
    </xf>
    <xf numFmtId="0" fontId="55" fillId="39" borderId="0" xfId="61" applyFont="1" applyFill="1" applyProtection="1">
      <alignment/>
      <protection/>
    </xf>
    <xf numFmtId="0" fontId="1" fillId="39" borderId="0" xfId="61" applyFill="1">
      <alignment/>
      <protection/>
    </xf>
    <xf numFmtId="0" fontId="1" fillId="0" borderId="0" xfId="61">
      <alignment/>
      <protection/>
    </xf>
    <xf numFmtId="0" fontId="56" fillId="39" borderId="0" xfId="61" applyFont="1" applyFill="1" applyAlignment="1" applyProtection="1">
      <alignment horizontal="center"/>
      <protection/>
    </xf>
    <xf numFmtId="0" fontId="56" fillId="39" borderId="0" xfId="61" applyFont="1" applyFill="1" applyProtection="1">
      <alignment/>
      <protection/>
    </xf>
    <xf numFmtId="0" fontId="1" fillId="39" borderId="13" xfId="61" applyFill="1" applyBorder="1">
      <alignment/>
      <protection/>
    </xf>
    <xf numFmtId="0" fontId="56" fillId="39" borderId="14" xfId="61" applyFont="1" applyFill="1" applyBorder="1" applyAlignment="1" applyProtection="1">
      <alignment horizontal="center"/>
      <protection/>
    </xf>
    <xf numFmtId="0" fontId="55" fillId="39" borderId="14" xfId="61" applyFont="1" applyFill="1" applyBorder="1" applyProtection="1">
      <alignment/>
      <protection/>
    </xf>
    <xf numFmtId="0" fontId="55" fillId="39" borderId="15" xfId="61" applyFont="1" applyFill="1" applyBorder="1" applyProtection="1">
      <alignment/>
      <protection/>
    </xf>
    <xf numFmtId="0" fontId="55" fillId="39" borderId="0" xfId="61" applyFont="1" applyFill="1" applyBorder="1" applyProtection="1">
      <alignment/>
      <protection/>
    </xf>
    <xf numFmtId="0" fontId="1" fillId="39" borderId="12" xfId="61" applyFill="1" applyBorder="1">
      <alignment/>
      <protection/>
    </xf>
    <xf numFmtId="0" fontId="56" fillId="39" borderId="0" xfId="61" applyFont="1" applyFill="1" applyBorder="1" applyAlignment="1" applyProtection="1">
      <alignment horizontal="center"/>
      <protection/>
    </xf>
    <xf numFmtId="0" fontId="55" fillId="39" borderId="16" xfId="61" applyFont="1" applyFill="1" applyBorder="1" applyProtection="1">
      <alignment/>
      <protection/>
    </xf>
    <xf numFmtId="0" fontId="57" fillId="39" borderId="0" xfId="61" applyFont="1" applyFill="1" applyBorder="1" applyProtection="1">
      <alignment/>
      <protection/>
    </xf>
    <xf numFmtId="0" fontId="57" fillId="39" borderId="12" xfId="61" applyFont="1" applyFill="1" applyBorder="1" applyProtection="1">
      <alignment/>
      <protection/>
    </xf>
    <xf numFmtId="0" fontId="55" fillId="39" borderId="0" xfId="61" applyFont="1" applyFill="1" applyBorder="1" applyAlignment="1" applyProtection="1">
      <alignment horizontal="right"/>
      <protection/>
    </xf>
    <xf numFmtId="0" fontId="55" fillId="39" borderId="16" xfId="61" applyFont="1" applyFill="1" applyBorder="1" applyAlignment="1" applyProtection="1">
      <alignment horizontal="center"/>
      <protection/>
    </xf>
    <xf numFmtId="0" fontId="1" fillId="39" borderId="0" xfId="61" applyFill="1" applyBorder="1">
      <alignment/>
      <protection/>
    </xf>
    <xf numFmtId="0" fontId="56" fillId="39" borderId="0" xfId="61" applyFont="1" applyFill="1" applyBorder="1" applyAlignment="1" applyProtection="1">
      <alignment horizontal="right"/>
      <protection/>
    </xf>
    <xf numFmtId="0" fontId="56" fillId="39" borderId="0" xfId="61" applyFont="1" applyFill="1" applyBorder="1" applyProtection="1">
      <alignment/>
      <protection/>
    </xf>
    <xf numFmtId="0" fontId="55" fillId="39" borderId="0" xfId="61" applyFont="1" applyFill="1" applyBorder="1" applyAlignment="1" applyProtection="1" quotePrefix="1">
      <alignment horizontal="right"/>
      <protection/>
    </xf>
    <xf numFmtId="0" fontId="57" fillId="39" borderId="15" xfId="61" applyFont="1" applyFill="1" applyBorder="1" applyAlignment="1" applyProtection="1">
      <alignment horizontal="center"/>
      <protection/>
    </xf>
    <xf numFmtId="0" fontId="1" fillId="39" borderId="18" xfId="61" applyFill="1" applyBorder="1">
      <alignment/>
      <protection/>
    </xf>
    <xf numFmtId="0" fontId="57" fillId="39" borderId="19" xfId="61" applyFont="1" applyFill="1" applyBorder="1" applyAlignment="1" applyProtection="1">
      <alignment horizontal="center"/>
      <protection/>
    </xf>
    <xf numFmtId="0" fontId="57" fillId="39" borderId="18" xfId="61" applyFont="1" applyFill="1" applyBorder="1" applyAlignment="1" applyProtection="1">
      <alignment horizontal="center"/>
      <protection/>
    </xf>
    <xf numFmtId="0" fontId="1" fillId="39" borderId="30" xfId="61" applyFill="1" applyBorder="1">
      <alignment/>
      <protection/>
    </xf>
    <xf numFmtId="0" fontId="55" fillId="39" borderId="23" xfId="61" applyFont="1" applyFill="1" applyBorder="1" applyAlignment="1" applyProtection="1" quotePrefix="1">
      <alignment horizontal="center"/>
      <protection/>
    </xf>
    <xf numFmtId="8" fontId="55" fillId="39" borderId="30" xfId="61" applyNumberFormat="1" applyFont="1" applyFill="1" applyBorder="1" applyAlignment="1" applyProtection="1">
      <alignment horizontal="center"/>
      <protection/>
    </xf>
    <xf numFmtId="0" fontId="55" fillId="39" borderId="23" xfId="61" applyFont="1" applyFill="1" applyBorder="1" applyProtection="1">
      <alignment/>
      <protection/>
    </xf>
    <xf numFmtId="0" fontId="55" fillId="39" borderId="0" xfId="61" applyFont="1" applyFill="1" applyBorder="1" applyAlignment="1" applyProtection="1">
      <alignment/>
      <protection/>
    </xf>
    <xf numFmtId="0" fontId="55" fillId="39" borderId="17" xfId="61" applyFont="1" applyFill="1" applyBorder="1" applyProtection="1">
      <alignment/>
      <protection/>
    </xf>
    <xf numFmtId="0" fontId="56" fillId="39" borderId="17" xfId="61" applyFont="1" applyFill="1" applyBorder="1" applyAlignment="1" applyProtection="1">
      <alignment horizontal="center"/>
      <protection/>
    </xf>
    <xf numFmtId="0" fontId="1" fillId="39" borderId="14" xfId="61" applyFill="1" applyBorder="1">
      <alignment/>
      <protection/>
    </xf>
    <xf numFmtId="0" fontId="1" fillId="39" borderId="0" xfId="61" applyFill="1" applyAlignment="1">
      <alignment/>
      <protection/>
    </xf>
    <xf numFmtId="0" fontId="55" fillId="39" borderId="17" xfId="61" applyFont="1" applyFill="1" applyBorder="1" applyAlignment="1" applyProtection="1">
      <alignment/>
      <protection/>
    </xf>
    <xf numFmtId="0" fontId="55" fillId="39" borderId="19" xfId="61" applyFont="1" applyFill="1" applyBorder="1" applyProtection="1">
      <alignment/>
      <protection/>
    </xf>
    <xf numFmtId="0" fontId="56" fillId="39" borderId="14" xfId="61" applyFont="1" applyFill="1" applyBorder="1" applyProtection="1">
      <alignment/>
      <protection/>
    </xf>
    <xf numFmtId="0" fontId="55" fillId="39" borderId="14" xfId="61" applyFont="1" applyFill="1" applyBorder="1" applyAlignment="1" applyProtection="1">
      <alignment/>
      <protection/>
    </xf>
    <xf numFmtId="0" fontId="57" fillId="39" borderId="16" xfId="61" applyFont="1" applyFill="1" applyBorder="1" applyAlignment="1" applyProtection="1">
      <alignment horizontal="center"/>
      <protection/>
    </xf>
    <xf numFmtId="0" fontId="57" fillId="39" borderId="12" xfId="61" applyFont="1" applyFill="1" applyBorder="1" applyAlignment="1" applyProtection="1">
      <alignment horizontal="center"/>
      <protection/>
    </xf>
    <xf numFmtId="0" fontId="58" fillId="39" borderId="13" xfId="61" applyFont="1" applyFill="1" applyBorder="1" applyAlignment="1" applyProtection="1">
      <alignment horizontal="center"/>
      <protection/>
    </xf>
    <xf numFmtId="0" fontId="55" fillId="39" borderId="0" xfId="61" applyFont="1" applyFill="1" applyBorder="1" applyProtection="1" quotePrefix="1">
      <alignment/>
      <protection/>
    </xf>
    <xf numFmtId="179" fontId="2" fillId="38" borderId="11" xfId="0" applyFont="1" applyFill="1" applyBorder="1" applyAlignment="1" applyProtection="1">
      <alignment/>
      <protection/>
    </xf>
    <xf numFmtId="2" fontId="55" fillId="34" borderId="17" xfId="61" applyNumberFormat="1" applyFont="1" applyFill="1" applyBorder="1" applyAlignment="1" applyProtection="1" quotePrefix="1">
      <alignment horizontal="right"/>
      <protection/>
    </xf>
    <xf numFmtId="179" fontId="10" fillId="39" borderId="11" xfId="0" applyFont="1" applyFill="1" applyBorder="1" applyAlignment="1" applyProtection="1">
      <alignment horizontal="right"/>
      <protection/>
    </xf>
    <xf numFmtId="0" fontId="59" fillId="39" borderId="0" xfId="61" applyFont="1" applyFill="1" applyBorder="1" applyProtection="1">
      <alignment/>
      <protection/>
    </xf>
    <xf numFmtId="49" fontId="7" fillId="39" borderId="34" xfId="58" applyNumberFormat="1" applyFont="1" applyFill="1" applyBorder="1" applyAlignment="1" applyProtection="1">
      <alignment horizontal="left" vertical="center"/>
      <protection/>
    </xf>
    <xf numFmtId="197" fontId="2" fillId="34" borderId="17" xfId="66" applyNumberFormat="1" applyFont="1" applyBorder="1" applyProtection="1">
      <alignment/>
      <protection/>
    </xf>
    <xf numFmtId="179" fontId="11" fillId="43" borderId="0" xfId="0" applyFont="1" applyFill="1" applyAlignment="1" applyProtection="1">
      <alignment horizontal="center" vertical="center"/>
      <protection/>
    </xf>
    <xf numFmtId="179" fontId="16" fillId="43" borderId="0" xfId="0" applyFont="1" applyFill="1" applyAlignment="1" applyProtection="1">
      <alignment vertical="center"/>
      <protection/>
    </xf>
    <xf numFmtId="179" fontId="3" fillId="43" borderId="0" xfId="0" applyFont="1" applyFill="1" applyAlignment="1" applyProtection="1">
      <alignment/>
      <protection/>
    </xf>
    <xf numFmtId="179" fontId="41" fillId="43" borderId="11" xfId="0" applyFont="1" applyFill="1" applyBorder="1" applyAlignment="1" applyProtection="1">
      <alignment horizontal="center"/>
      <protection/>
    </xf>
    <xf numFmtId="179" fontId="2" fillId="43" borderId="11" xfId="0" applyFont="1" applyFill="1" applyBorder="1" applyAlignment="1" applyProtection="1">
      <alignment horizontal="center"/>
      <protection/>
    </xf>
    <xf numFmtId="179" fontId="2" fillId="43" borderId="14" xfId="0" applyFont="1" applyFill="1" applyBorder="1" applyAlignment="1" applyProtection="1">
      <alignment horizontal="center"/>
      <protection/>
    </xf>
    <xf numFmtId="179" fontId="10" fillId="43" borderId="11" xfId="0" applyFont="1" applyFill="1" applyBorder="1" applyAlignment="1" applyProtection="1">
      <alignment horizontal="center"/>
      <protection/>
    </xf>
    <xf numFmtId="179" fontId="2" fillId="43" borderId="11" xfId="0" applyFont="1" applyFill="1" applyBorder="1" applyAlignment="1" applyProtection="1">
      <alignment horizontal="right"/>
      <protection/>
    </xf>
    <xf numFmtId="179" fontId="10" fillId="43" borderId="14" xfId="0" applyFont="1" applyFill="1" applyBorder="1" applyAlignment="1" applyProtection="1">
      <alignment horizontal="right"/>
      <protection/>
    </xf>
    <xf numFmtId="179" fontId="41" fillId="43" borderId="11" xfId="0" applyFont="1" applyFill="1" applyBorder="1" applyAlignment="1" applyProtection="1">
      <alignment horizontal="right"/>
      <protection/>
    </xf>
    <xf numFmtId="179" fontId="10" fillId="43" borderId="17" xfId="0" applyFont="1" applyFill="1" applyBorder="1" applyAlignment="1" applyProtection="1">
      <alignment horizontal="left"/>
      <protection/>
    </xf>
    <xf numFmtId="179" fontId="10" fillId="43" borderId="14" xfId="0" applyFont="1" applyFill="1" applyBorder="1" applyAlignment="1" applyProtection="1">
      <alignment/>
      <protection/>
    </xf>
    <xf numFmtId="179" fontId="5" fillId="43" borderId="0" xfId="0" applyFont="1" applyFill="1" applyBorder="1" applyAlignment="1" applyProtection="1">
      <alignment/>
      <protection/>
    </xf>
    <xf numFmtId="179" fontId="60" fillId="43" borderId="0" xfId="0" applyFont="1" applyFill="1" applyAlignment="1" applyProtection="1">
      <alignment horizontal="center" vertical="center"/>
      <protection/>
    </xf>
    <xf numFmtId="179" fontId="18" fillId="43" borderId="0" xfId="0" applyFont="1" applyFill="1" applyAlignment="1" applyProtection="1">
      <alignment horizontal="center" vertical="center"/>
      <protection/>
    </xf>
    <xf numFmtId="179" fontId="2" fillId="43" borderId="18" xfId="0" applyFont="1" applyFill="1" applyBorder="1" applyAlignment="1" applyProtection="1">
      <alignment/>
      <protection/>
    </xf>
    <xf numFmtId="179" fontId="2" fillId="43" borderId="19" xfId="0" applyFont="1" applyFill="1" applyBorder="1" applyAlignment="1" applyProtection="1">
      <alignment horizontal="right"/>
      <protection/>
    </xf>
    <xf numFmtId="179" fontId="2" fillId="43" borderId="11" xfId="0" applyFont="1" applyFill="1" applyBorder="1" applyAlignment="1" applyProtection="1">
      <alignment horizontal="center" vertical="center"/>
      <protection/>
    </xf>
    <xf numFmtId="178" fontId="9" fillId="36" borderId="0" xfId="0" applyNumberFormat="1" applyFont="1" applyFill="1" applyAlignment="1" applyProtection="1">
      <alignment horizontal="center"/>
      <protection/>
    </xf>
    <xf numFmtId="179" fontId="14" fillId="43" borderId="17" xfId="0" applyFont="1" applyFill="1" applyBorder="1" applyAlignment="1" applyProtection="1">
      <alignment vertical="center"/>
      <protection/>
    </xf>
    <xf numFmtId="179" fontId="2" fillId="43" borderId="17" xfId="0" applyFont="1" applyFill="1" applyBorder="1" applyAlignment="1" applyProtection="1">
      <alignment horizontal="center" vertical="center"/>
      <protection/>
    </xf>
    <xf numFmtId="1" fontId="1" fillId="0" borderId="0" xfId="61" applyNumberFormat="1" applyProtection="1">
      <alignment/>
      <protection locked="0"/>
    </xf>
    <xf numFmtId="179" fontId="2" fillId="2" borderId="11" xfId="0" applyNumberFormat="1" applyFont="1" applyFill="1" applyBorder="1" applyAlignment="1" applyProtection="1">
      <alignment/>
      <protection/>
    </xf>
    <xf numFmtId="179" fontId="15" fillId="39" borderId="0" xfId="0" applyFont="1" applyFill="1" applyAlignment="1" applyProtection="1">
      <alignment/>
      <protection/>
    </xf>
    <xf numFmtId="179" fontId="23" fillId="39" borderId="0" xfId="0" applyFont="1" applyFill="1" applyAlignment="1" applyProtection="1">
      <alignment/>
      <protection/>
    </xf>
    <xf numFmtId="179" fontId="15" fillId="39" borderId="0" xfId="0" applyFont="1" applyFill="1" applyAlignment="1" applyProtection="1">
      <alignment horizontal="center"/>
      <protection/>
    </xf>
    <xf numFmtId="197" fontId="2" fillId="2" borderId="10" xfId="0" applyNumberFormat="1" applyFont="1" applyFill="1" applyBorder="1" applyAlignment="1" applyProtection="1">
      <alignment horizontal="left"/>
      <protection locked="0"/>
    </xf>
    <xf numFmtId="197" fontId="2" fillId="39" borderId="0" xfId="0" applyNumberFormat="1" applyFont="1" applyFill="1" applyBorder="1" applyAlignment="1" applyProtection="1">
      <alignment horizontal="center"/>
      <protection/>
    </xf>
    <xf numFmtId="2" fontId="31" fillId="2" borderId="22" xfId="58" applyNumberFormat="1" applyFont="1" applyFill="1" applyBorder="1" applyAlignment="1" applyProtection="1">
      <alignment vertical="center"/>
      <protection locked="0"/>
    </xf>
    <xf numFmtId="0" fontId="1" fillId="0" borderId="0" xfId="59">
      <alignment/>
      <protection/>
    </xf>
    <xf numFmtId="197" fontId="7" fillId="2" borderId="17" xfId="66" applyNumberFormat="1" applyFont="1" applyFill="1" applyBorder="1" applyProtection="1">
      <alignment/>
      <protection locked="0"/>
    </xf>
    <xf numFmtId="179" fontId="2" fillId="41" borderId="0" xfId="0" applyFont="1" applyFill="1" applyAlignment="1" applyProtection="1">
      <alignment vertical="center"/>
      <protection/>
    </xf>
    <xf numFmtId="179" fontId="7" fillId="39" borderId="0" xfId="0" applyFont="1" applyFill="1" applyBorder="1" applyAlignment="1" applyProtection="1">
      <alignment horizontal="right"/>
      <protection/>
    </xf>
    <xf numFmtId="179" fontId="4" fillId="38" borderId="0" xfId="0" applyFont="1" applyFill="1" applyBorder="1" applyAlignment="1" applyProtection="1">
      <alignment/>
      <protection/>
    </xf>
    <xf numFmtId="197" fontId="2" fillId="34" borderId="17" xfId="66" applyNumberFormat="1" applyBorder="1" applyAlignment="1" applyProtection="1">
      <alignment vertical="center"/>
      <protection/>
    </xf>
    <xf numFmtId="179" fontId="7" fillId="39" borderId="12" xfId="0" applyFont="1" applyFill="1" applyBorder="1" applyAlignment="1" applyProtection="1">
      <alignment horizontal="right"/>
      <protection/>
    </xf>
    <xf numFmtId="0" fontId="1" fillId="39" borderId="0" xfId="59" applyFill="1">
      <alignment/>
      <protection/>
    </xf>
    <xf numFmtId="0" fontId="1" fillId="39" borderId="0" xfId="59" applyFont="1" applyFill="1">
      <alignment/>
      <protection/>
    </xf>
    <xf numFmtId="0" fontId="21" fillId="39" borderId="11" xfId="59" applyFont="1" applyFill="1" applyBorder="1" applyAlignment="1">
      <alignment horizontal="center"/>
      <protection/>
    </xf>
    <xf numFmtId="0" fontId="21" fillId="39" borderId="23" xfId="59" applyFont="1" applyFill="1" applyBorder="1" applyAlignment="1">
      <alignment horizontal="center"/>
      <protection/>
    </xf>
    <xf numFmtId="0" fontId="21" fillId="39" borderId="14" xfId="59" applyFont="1" applyFill="1" applyBorder="1" applyAlignment="1">
      <alignment horizontal="center"/>
      <protection/>
    </xf>
    <xf numFmtId="0" fontId="21" fillId="39" borderId="22" xfId="59" applyFont="1" applyFill="1" applyBorder="1" applyAlignment="1">
      <alignment wrapText="1"/>
      <protection/>
    </xf>
    <xf numFmtId="0" fontId="21" fillId="39" borderId="17" xfId="59" applyFont="1" applyFill="1" applyBorder="1">
      <alignment/>
      <protection/>
    </xf>
    <xf numFmtId="0" fontId="61" fillId="39" borderId="0" xfId="59" applyFont="1" applyFill="1">
      <alignment/>
      <protection/>
    </xf>
    <xf numFmtId="179" fontId="7" fillId="39" borderId="0" xfId="0" applyFont="1" applyFill="1" applyAlignment="1" applyProtection="1">
      <alignment horizontal="right"/>
      <protection/>
    </xf>
    <xf numFmtId="0" fontId="26" fillId="39" borderId="0" xfId="59" applyFont="1" applyFill="1" applyAlignment="1">
      <alignment horizontal="left"/>
      <protection/>
    </xf>
    <xf numFmtId="200" fontId="4" fillId="2" borderId="16" xfId="58" applyNumberFormat="1" applyFont="1" applyFill="1" applyBorder="1" applyAlignment="1" applyProtection="1">
      <alignment horizontal="right" vertical="center" shrinkToFit="1"/>
      <protection locked="0"/>
    </xf>
    <xf numFmtId="179" fontId="2" fillId="39" borderId="0" xfId="58" applyFont="1" applyFill="1" applyAlignment="1" applyProtection="1">
      <alignment horizontal="center" vertical="top"/>
      <protection/>
    </xf>
    <xf numFmtId="179" fontId="4" fillId="39" borderId="0" xfId="58" applyFont="1" applyFill="1" applyAlignment="1" applyProtection="1">
      <alignment vertical="top"/>
      <protection/>
    </xf>
    <xf numFmtId="179" fontId="7" fillId="39" borderId="0" xfId="58" applyFont="1" applyFill="1" applyAlignment="1" applyProtection="1">
      <alignment wrapText="1"/>
      <protection/>
    </xf>
    <xf numFmtId="0" fontId="1" fillId="39" borderId="0" xfId="62" applyFill="1">
      <alignment/>
      <protection/>
    </xf>
    <xf numFmtId="0" fontId="55" fillId="42" borderId="0" xfId="62" applyFont="1" applyFill="1" applyAlignment="1" applyProtection="1">
      <alignment/>
      <protection/>
    </xf>
    <xf numFmtId="0" fontId="1" fillId="0" borderId="0" xfId="62">
      <alignment/>
      <protection/>
    </xf>
    <xf numFmtId="0" fontId="55" fillId="42" borderId="0" xfId="62" applyFont="1" applyFill="1" applyProtection="1">
      <alignment/>
      <protection/>
    </xf>
    <xf numFmtId="0" fontId="55" fillId="42" borderId="0" xfId="62" applyFont="1" applyFill="1" applyAlignment="1" applyProtection="1">
      <alignment vertical="top"/>
      <protection/>
    </xf>
    <xf numFmtId="0" fontId="3" fillId="42" borderId="0" xfId="62" applyFont="1" applyFill="1" applyAlignment="1" applyProtection="1">
      <alignment horizontal="right"/>
      <protection/>
    </xf>
    <xf numFmtId="0" fontId="3" fillId="42" borderId="0" xfId="62" applyFont="1" applyFill="1" applyProtection="1">
      <alignment/>
      <protection/>
    </xf>
    <xf numFmtId="0" fontId="7" fillId="42" borderId="0" xfId="62" applyFont="1" applyFill="1" applyProtection="1">
      <alignment/>
      <protection/>
    </xf>
    <xf numFmtId="0" fontId="55" fillId="42" borderId="0" xfId="62" applyFont="1" applyFill="1" applyAlignment="1" applyProtection="1">
      <alignment horizontal="center"/>
      <protection/>
    </xf>
    <xf numFmtId="0" fontId="55" fillId="42" borderId="13" xfId="62" applyFont="1" applyFill="1" applyBorder="1" applyProtection="1">
      <alignment/>
      <protection/>
    </xf>
    <xf numFmtId="0" fontId="55" fillId="42" borderId="14" xfId="62" applyFont="1" applyFill="1" applyBorder="1" applyProtection="1">
      <alignment/>
      <protection/>
    </xf>
    <xf numFmtId="0" fontId="7" fillId="42" borderId="14" xfId="62" applyFont="1" applyFill="1" applyBorder="1" applyProtection="1">
      <alignment/>
      <protection/>
    </xf>
    <xf numFmtId="0" fontId="55" fillId="42" borderId="14" xfId="62" applyFont="1" applyFill="1" applyBorder="1" applyAlignment="1" applyProtection="1">
      <alignment horizontal="left"/>
      <protection/>
    </xf>
    <xf numFmtId="0" fontId="3" fillId="42" borderId="15" xfId="62" applyFont="1" applyFill="1" applyBorder="1" applyAlignment="1" applyProtection="1">
      <alignment horizontal="right"/>
      <protection/>
    </xf>
    <xf numFmtId="0" fontId="55" fillId="39" borderId="18" xfId="62" applyFont="1" applyFill="1" applyBorder="1" applyProtection="1">
      <alignment/>
      <protection/>
    </xf>
    <xf numFmtId="0" fontId="3" fillId="39" borderId="19" xfId="62" applyFont="1" applyFill="1" applyBorder="1" applyAlignment="1" applyProtection="1">
      <alignment horizontal="right"/>
      <protection/>
    </xf>
    <xf numFmtId="0" fontId="55" fillId="42" borderId="12" xfId="62" applyFont="1" applyFill="1" applyBorder="1" applyProtection="1">
      <alignment/>
      <protection/>
    </xf>
    <xf numFmtId="0" fontId="55" fillId="42" borderId="0" xfId="62" applyFont="1" applyFill="1" applyBorder="1" applyProtection="1">
      <alignment/>
      <protection/>
    </xf>
    <xf numFmtId="0" fontId="7" fillId="42" borderId="0" xfId="62" applyFont="1" applyFill="1" applyBorder="1" applyProtection="1">
      <alignment/>
      <protection/>
    </xf>
    <xf numFmtId="0" fontId="3" fillId="42" borderId="0" xfId="62" applyFont="1" applyFill="1" applyBorder="1" applyAlignment="1" applyProtection="1">
      <alignment horizontal="right"/>
      <protection/>
    </xf>
    <xf numFmtId="0" fontId="1" fillId="42" borderId="0" xfId="62" applyFill="1" applyAlignment="1">
      <alignment horizontal="right"/>
      <protection/>
    </xf>
    <xf numFmtId="0" fontId="55" fillId="42" borderId="0" xfId="62" applyFont="1" applyFill="1" applyBorder="1" applyAlignment="1" applyProtection="1">
      <alignment horizontal="left" vertical="center"/>
      <protection/>
    </xf>
    <xf numFmtId="2" fontId="2" fillId="34" borderId="17" xfId="62" applyNumberFormat="1" applyFont="1" applyFill="1" applyBorder="1" applyAlignment="1" applyProtection="1" quotePrefix="1">
      <alignment horizontal="right"/>
      <protection/>
    </xf>
    <xf numFmtId="0" fontId="55" fillId="42" borderId="0" xfId="62" applyFont="1" applyFill="1" applyBorder="1" applyAlignment="1" applyProtection="1">
      <alignment horizontal="left"/>
      <protection/>
    </xf>
    <xf numFmtId="2" fontId="2" fillId="2" borderId="17" xfId="62" applyNumberFormat="1" applyFont="1" applyFill="1" applyBorder="1" applyAlignment="1" applyProtection="1" quotePrefix="1">
      <alignment horizontal="right"/>
      <protection locked="0"/>
    </xf>
    <xf numFmtId="0" fontId="3" fillId="42" borderId="0" xfId="62" applyFont="1" applyFill="1" applyBorder="1" applyAlignment="1" applyProtection="1">
      <alignment horizontal="center"/>
      <protection/>
    </xf>
    <xf numFmtId="0" fontId="1" fillId="39" borderId="0" xfId="62" applyFill="1" applyBorder="1">
      <alignment/>
      <protection/>
    </xf>
    <xf numFmtId="0" fontId="55" fillId="39" borderId="0" xfId="62" applyFont="1" applyFill="1" applyBorder="1" applyAlignment="1" applyProtection="1" quotePrefix="1">
      <alignment horizontal="right"/>
      <protection/>
    </xf>
    <xf numFmtId="0" fontId="55" fillId="42" borderId="0" xfId="62" applyFont="1" applyFill="1" applyBorder="1" applyAlignment="1" applyProtection="1">
      <alignment horizontal="right"/>
      <protection/>
    </xf>
    <xf numFmtId="0" fontId="55" fillId="42" borderId="0" xfId="62" applyFont="1" applyFill="1" applyAlignment="1" applyProtection="1">
      <alignment horizontal="left"/>
      <protection/>
    </xf>
    <xf numFmtId="0" fontId="56" fillId="42" borderId="0" xfId="62" applyFont="1" applyFill="1" applyAlignment="1" applyProtection="1">
      <alignment horizontal="right"/>
      <protection/>
    </xf>
    <xf numFmtId="0" fontId="56" fillId="42" borderId="0" xfId="62" applyFont="1" applyFill="1" applyBorder="1" applyAlignment="1" applyProtection="1">
      <alignment horizontal="right"/>
      <protection/>
    </xf>
    <xf numFmtId="0" fontId="55" fillId="42" borderId="0" xfId="62" applyFont="1" applyFill="1" applyBorder="1" applyAlignment="1" applyProtection="1" quotePrefix="1">
      <alignment horizontal="right"/>
      <protection/>
    </xf>
    <xf numFmtId="0" fontId="55" fillId="39" borderId="0" xfId="62" applyFont="1" applyFill="1" applyBorder="1" applyAlignment="1" applyProtection="1">
      <alignment horizontal="right"/>
      <protection/>
    </xf>
    <xf numFmtId="0" fontId="5" fillId="42" borderId="0" xfId="62" applyFont="1" applyFill="1" applyAlignment="1" applyProtection="1">
      <alignment horizontal="left"/>
      <protection/>
    </xf>
    <xf numFmtId="0" fontId="56" fillId="42" borderId="0" xfId="62" applyFont="1" applyFill="1" applyBorder="1" applyProtection="1">
      <alignment/>
      <protection/>
    </xf>
    <xf numFmtId="200" fontId="2" fillId="34" borderId="17" xfId="62" applyNumberFormat="1" applyFont="1" applyFill="1" applyBorder="1" applyAlignment="1" applyProtection="1">
      <alignment horizontal="center" vertical="center" shrinkToFit="1"/>
      <protection/>
    </xf>
    <xf numFmtId="0" fontId="64" fillId="42" borderId="0" xfId="62" applyFont="1" applyFill="1" applyBorder="1" applyAlignment="1" applyProtection="1">
      <alignment horizontal="left"/>
      <protection/>
    </xf>
    <xf numFmtId="0" fontId="55" fillId="42" borderId="18" xfId="62" applyFont="1" applyFill="1" applyBorder="1" applyProtection="1">
      <alignment/>
      <protection/>
    </xf>
    <xf numFmtId="0" fontId="3" fillId="42" borderId="19" xfId="62" applyFont="1" applyFill="1" applyBorder="1" applyAlignment="1" applyProtection="1">
      <alignment horizontal="right"/>
      <protection/>
    </xf>
    <xf numFmtId="1" fontId="4" fillId="44" borderId="17" xfId="62" applyNumberFormat="1" applyFont="1" applyFill="1" applyBorder="1" applyAlignment="1" applyProtection="1">
      <alignment horizontal="center"/>
      <protection locked="0"/>
    </xf>
    <xf numFmtId="197" fontId="65" fillId="39" borderId="0" xfId="58" applyNumberFormat="1" applyFont="1" applyFill="1" applyBorder="1" applyProtection="1">
      <alignment/>
      <protection/>
    </xf>
    <xf numFmtId="200" fontId="4" fillId="2" borderId="16" xfId="58" applyNumberFormat="1" applyFont="1" applyFill="1" applyBorder="1" applyAlignment="1" applyProtection="1">
      <alignment horizontal="center" vertical="center" shrinkToFit="1"/>
      <protection locked="0"/>
    </xf>
    <xf numFmtId="49" fontId="4" fillId="39" borderId="38" xfId="58" applyNumberFormat="1" applyFont="1" applyFill="1" applyBorder="1" applyAlignment="1" applyProtection="1">
      <alignment horizontal="center" vertical="center"/>
      <protection/>
    </xf>
    <xf numFmtId="49" fontId="7" fillId="39" borderId="39" xfId="58" applyNumberFormat="1" applyFont="1" applyFill="1" applyBorder="1" applyAlignment="1" applyProtection="1">
      <alignment horizontal="center" vertical="center"/>
      <protection/>
    </xf>
    <xf numFmtId="2" fontId="31" fillId="2" borderId="26" xfId="58" applyNumberFormat="1" applyFont="1" applyFill="1" applyBorder="1" applyAlignment="1" applyProtection="1">
      <alignment vertical="center"/>
      <protection locked="0"/>
    </xf>
    <xf numFmtId="2" fontId="31" fillId="2" borderId="29" xfId="58" applyNumberFormat="1" applyFont="1" applyFill="1" applyBorder="1" applyAlignment="1" applyProtection="1">
      <alignment vertical="center"/>
      <protection locked="0"/>
    </xf>
    <xf numFmtId="49" fontId="4" fillId="39" borderId="40" xfId="58" applyNumberFormat="1" applyFont="1" applyFill="1" applyBorder="1" applyAlignment="1" applyProtection="1">
      <alignment horizontal="center" vertical="center"/>
      <protection/>
    </xf>
    <xf numFmtId="49" fontId="7" fillId="39" borderId="41" xfId="58" applyNumberFormat="1" applyFont="1" applyFill="1" applyBorder="1" applyAlignment="1" applyProtection="1">
      <alignment horizontal="center" vertical="center"/>
      <protection/>
    </xf>
    <xf numFmtId="197" fontId="31" fillId="2" borderId="42" xfId="58" applyNumberFormat="1" applyFont="1" applyFill="1" applyBorder="1" applyProtection="1">
      <alignment/>
      <protection locked="0"/>
    </xf>
    <xf numFmtId="2" fontId="31" fillId="2" borderId="42" xfId="58" applyNumberFormat="1" applyFont="1" applyFill="1" applyBorder="1" applyAlignment="1" applyProtection="1">
      <alignment vertical="center"/>
      <protection locked="0"/>
    </xf>
    <xf numFmtId="49" fontId="4" fillId="39" borderId="43" xfId="58" applyNumberFormat="1" applyFont="1" applyFill="1" applyBorder="1" applyAlignment="1" applyProtection="1">
      <alignment horizontal="center" vertical="center"/>
      <protection/>
    </xf>
    <xf numFmtId="49" fontId="7" fillId="39" borderId="44" xfId="58" applyNumberFormat="1" applyFont="1" applyFill="1" applyBorder="1" applyAlignment="1" applyProtection="1">
      <alignment horizontal="center" vertical="center"/>
      <protection/>
    </xf>
    <xf numFmtId="197" fontId="31" fillId="39" borderId="45" xfId="58" applyNumberFormat="1" applyFont="1" applyFill="1" applyBorder="1" applyProtection="1">
      <alignment/>
      <protection/>
    </xf>
    <xf numFmtId="197" fontId="31" fillId="39" borderId="46" xfId="58" applyNumberFormat="1" applyFont="1" applyFill="1" applyBorder="1" applyProtection="1">
      <alignment/>
      <protection/>
    </xf>
    <xf numFmtId="2" fontId="31" fillId="2" borderId="47" xfId="58" applyNumberFormat="1" applyFont="1" applyFill="1" applyBorder="1" applyAlignment="1" applyProtection="1">
      <alignment vertical="center"/>
      <protection locked="0"/>
    </xf>
    <xf numFmtId="179" fontId="26" fillId="39" borderId="17" xfId="58" applyFont="1" applyFill="1" applyBorder="1" applyAlignment="1" applyProtection="1">
      <alignment horizontal="left" wrapText="1"/>
      <protection/>
    </xf>
    <xf numFmtId="49" fontId="4" fillId="41" borderId="11" xfId="58" applyNumberFormat="1" applyFont="1" applyFill="1" applyBorder="1" applyAlignment="1" applyProtection="1">
      <alignment horizontal="center" vertical="center"/>
      <protection/>
    </xf>
    <xf numFmtId="49" fontId="7" fillId="41" borderId="11" xfId="58" applyNumberFormat="1" applyFont="1" applyFill="1" applyBorder="1" applyAlignment="1" applyProtection="1">
      <alignment horizontal="center" vertical="center"/>
      <protection/>
    </xf>
    <xf numFmtId="49" fontId="7" fillId="39" borderId="0" xfId="58" applyNumberFormat="1" applyFont="1" applyFill="1" applyBorder="1" applyAlignment="1" applyProtection="1">
      <alignment horizontal="center"/>
      <protection/>
    </xf>
    <xf numFmtId="49" fontId="4" fillId="2" borderId="16" xfId="58" applyNumberFormat="1" applyFont="1" applyFill="1" applyBorder="1" applyAlignment="1" applyProtection="1">
      <alignment horizontal="right" vertical="center"/>
      <protection locked="0"/>
    </xf>
    <xf numFmtId="0" fontId="2" fillId="39" borderId="0" xfId="58" applyNumberFormat="1" applyFont="1" applyFill="1" applyProtection="1">
      <alignment/>
      <protection/>
    </xf>
    <xf numFmtId="0" fontId="4" fillId="34" borderId="16" xfId="58" applyNumberFormat="1" applyFont="1" applyFill="1" applyBorder="1" applyAlignment="1" applyProtection="1">
      <alignment horizontal="right" vertical="center"/>
      <protection/>
    </xf>
    <xf numFmtId="197" fontId="31" fillId="39" borderId="11" xfId="58" applyNumberFormat="1" applyFont="1" applyFill="1" applyBorder="1" applyProtection="1">
      <alignment/>
      <protection/>
    </xf>
    <xf numFmtId="179" fontId="4" fillId="39" borderId="0" xfId="58" applyFont="1" applyFill="1" applyBorder="1" applyAlignment="1" applyProtection="1">
      <alignment horizontal="center" wrapText="1"/>
      <protection/>
    </xf>
    <xf numFmtId="179" fontId="32" fillId="39" borderId="0" xfId="58" applyFont="1" applyFill="1" applyBorder="1" applyProtection="1">
      <alignment/>
      <protection/>
    </xf>
    <xf numFmtId="187" fontId="3" fillId="2" borderId="16" xfId="58" applyNumberFormat="1" applyFont="1" applyFill="1" applyBorder="1" applyAlignment="1" applyProtection="1">
      <alignment horizontal="right" vertical="center"/>
      <protection locked="0"/>
    </xf>
    <xf numFmtId="179" fontId="4" fillId="39" borderId="11" xfId="58" applyFont="1" applyFill="1" applyBorder="1" applyAlignment="1" applyProtection="1">
      <alignment horizontal="center" vertical="center" wrapText="1"/>
      <protection/>
    </xf>
    <xf numFmtId="179" fontId="26" fillId="39" borderId="0" xfId="58" applyFont="1" applyFill="1" applyBorder="1" applyAlignment="1" applyProtection="1">
      <alignment horizontal="left"/>
      <protection/>
    </xf>
    <xf numFmtId="179" fontId="2" fillId="39" borderId="31" xfId="58" applyFont="1" applyFill="1" applyBorder="1" applyProtection="1">
      <alignment/>
      <protection/>
    </xf>
    <xf numFmtId="179" fontId="4" fillId="39" borderId="0" xfId="58" applyFont="1" applyFill="1" applyBorder="1" applyAlignment="1" applyProtection="1">
      <alignment horizontal="left" vertical="center"/>
      <protection/>
    </xf>
    <xf numFmtId="179" fontId="7" fillId="39" borderId="0" xfId="58" applyFont="1" applyFill="1" applyAlignment="1" applyProtection="1">
      <alignment vertical="top"/>
      <protection/>
    </xf>
    <xf numFmtId="179" fontId="4" fillId="39" borderId="0" xfId="58" applyFont="1" applyFill="1" applyBorder="1" applyAlignment="1" applyProtection="1">
      <alignment horizontal="left" vertical="center" wrapText="1"/>
      <protection/>
    </xf>
    <xf numFmtId="179" fontId="4" fillId="2" borderId="0" xfId="58" applyFont="1" applyFill="1" applyBorder="1" applyAlignment="1" applyProtection="1">
      <alignment horizontal="center" vertical="center" wrapText="1"/>
      <protection locked="0"/>
    </xf>
    <xf numFmtId="1" fontId="7" fillId="34" borderId="0" xfId="58" applyNumberFormat="1" applyFont="1" applyFill="1" applyAlignment="1" applyProtection="1">
      <alignment horizontal="center"/>
      <protection/>
    </xf>
    <xf numFmtId="1" fontId="7" fillId="34" borderId="17" xfId="58" applyNumberFormat="1" applyFont="1" applyFill="1" applyBorder="1" applyAlignment="1" applyProtection="1">
      <alignment horizontal="center"/>
      <protection/>
    </xf>
    <xf numFmtId="49" fontId="4" fillId="2" borderId="15" xfId="58" applyNumberFormat="1" applyFont="1" applyFill="1" applyBorder="1" applyAlignment="1" applyProtection="1">
      <alignment horizontal="center" vertical="center"/>
      <protection locked="0"/>
    </xf>
    <xf numFmtId="0" fontId="20" fillId="2" borderId="20" xfId="60" applyFont="1" applyFill="1" applyBorder="1" applyAlignment="1" applyProtection="1" quotePrefix="1">
      <alignment horizontal="center" vertical="center"/>
      <protection locked="0"/>
    </xf>
    <xf numFmtId="179" fontId="3" fillId="43" borderId="14" xfId="0" applyFont="1" applyFill="1" applyBorder="1" applyAlignment="1" applyProtection="1">
      <alignment horizontal="right"/>
      <protection/>
    </xf>
    <xf numFmtId="179" fontId="3" fillId="43" borderId="0" xfId="0" applyFont="1" applyFill="1" applyBorder="1" applyAlignment="1" applyProtection="1">
      <alignment vertical="center"/>
      <protection/>
    </xf>
    <xf numFmtId="179" fontId="4" fillId="43" borderId="13" xfId="0" applyFont="1" applyFill="1" applyBorder="1" applyAlignment="1" applyProtection="1">
      <alignment/>
      <protection/>
    </xf>
    <xf numFmtId="197" fontId="7" fillId="34" borderId="11" xfId="66" applyNumberFormat="1" applyFont="1" applyBorder="1" applyProtection="1">
      <alignment/>
      <protection/>
    </xf>
    <xf numFmtId="179" fontId="3" fillId="43" borderId="0" xfId="0" applyFont="1" applyFill="1" applyAlignment="1" applyProtection="1">
      <alignment horizontal="center"/>
      <protection/>
    </xf>
    <xf numFmtId="179" fontId="0" fillId="43" borderId="17" xfId="0" applyFill="1" applyBorder="1" applyAlignment="1">
      <alignment/>
    </xf>
    <xf numFmtId="179" fontId="3" fillId="43" borderId="0" xfId="0" applyFont="1" applyFill="1" applyBorder="1" applyAlignment="1" applyProtection="1">
      <alignment horizontal="center"/>
      <protection/>
    </xf>
    <xf numFmtId="197" fontId="7" fillId="34" borderId="0" xfId="66" applyNumberFormat="1" applyFont="1" applyBorder="1" applyProtection="1">
      <alignment/>
      <protection/>
    </xf>
    <xf numFmtId="179" fontId="2" fillId="43" borderId="11" xfId="0" applyFont="1" applyFill="1" applyBorder="1" applyAlignment="1" applyProtection="1">
      <alignment horizontal="left"/>
      <protection/>
    </xf>
    <xf numFmtId="179" fontId="10" fillId="43" borderId="0" xfId="0" applyFont="1" applyFill="1" applyBorder="1" applyAlignment="1" applyProtection="1">
      <alignment horizontal="right"/>
      <protection/>
    </xf>
    <xf numFmtId="179" fontId="0" fillId="43" borderId="14" xfId="0" applyFill="1" applyBorder="1" applyAlignment="1">
      <alignment/>
    </xf>
    <xf numFmtId="179" fontId="0" fillId="39" borderId="11" xfId="0" applyFill="1" applyBorder="1" applyAlignment="1" applyProtection="1">
      <alignment horizontal="center"/>
      <protection hidden="1"/>
    </xf>
    <xf numFmtId="179" fontId="0" fillId="39" borderId="17" xfId="0" applyFill="1" applyBorder="1" applyAlignment="1" applyProtection="1">
      <alignment horizontal="center"/>
      <protection hidden="1"/>
    </xf>
    <xf numFmtId="197" fontId="31" fillId="34" borderId="47" xfId="58" applyNumberFormat="1" applyFont="1" applyFill="1" applyBorder="1" applyProtection="1">
      <alignment/>
      <protection/>
    </xf>
    <xf numFmtId="179" fontId="67" fillId="39" borderId="0" xfId="53" applyNumberFormat="1" applyFont="1" applyFill="1" applyAlignment="1" applyProtection="1">
      <alignment/>
      <protection/>
    </xf>
    <xf numFmtId="0" fontId="20" fillId="39" borderId="0" xfId="60" applyFont="1" applyFill="1" applyProtection="1">
      <alignment/>
      <protection/>
    </xf>
    <xf numFmtId="0" fontId="3" fillId="39" borderId="0" xfId="61" applyFont="1" applyFill="1" applyAlignment="1" applyProtection="1">
      <alignment horizontal="center"/>
      <protection/>
    </xf>
    <xf numFmtId="0" fontId="68" fillId="39" borderId="0" xfId="60" applyFont="1" applyFill="1" applyBorder="1">
      <alignment/>
      <protection/>
    </xf>
    <xf numFmtId="0" fontId="1" fillId="39" borderId="48" xfId="60" applyFill="1" applyBorder="1">
      <alignment/>
      <protection/>
    </xf>
    <xf numFmtId="0" fontId="1" fillId="39" borderId="49" xfId="60" applyFill="1" applyBorder="1">
      <alignment/>
      <protection/>
    </xf>
    <xf numFmtId="0" fontId="1" fillId="39" borderId="50" xfId="60" applyFill="1" applyBorder="1">
      <alignment/>
      <protection/>
    </xf>
    <xf numFmtId="197" fontId="2" fillId="34" borderId="11" xfId="0" applyNumberFormat="1" applyFont="1" applyFill="1" applyBorder="1" applyAlignment="1" applyProtection="1">
      <alignment/>
      <protection/>
    </xf>
    <xf numFmtId="179" fontId="0" fillId="39" borderId="0" xfId="0" applyFill="1" applyAlignment="1" applyProtection="1">
      <alignment/>
      <protection/>
    </xf>
    <xf numFmtId="179" fontId="0" fillId="2" borderId="0" xfId="0" applyAlignment="1" applyProtection="1">
      <alignment/>
      <protection/>
    </xf>
    <xf numFmtId="179" fontId="0" fillId="2" borderId="0" xfId="0" applyFill="1" applyAlignment="1" applyProtection="1">
      <alignment/>
      <protection/>
    </xf>
    <xf numFmtId="179" fontId="30" fillId="39" borderId="0" xfId="0" applyFont="1" applyFill="1" applyAlignment="1" applyProtection="1">
      <alignment/>
      <protection/>
    </xf>
    <xf numFmtId="179" fontId="0" fillId="39" borderId="14" xfId="0" applyFill="1" applyBorder="1" applyAlignment="1" applyProtection="1">
      <alignment/>
      <protection/>
    </xf>
    <xf numFmtId="179" fontId="0" fillId="39" borderId="15" xfId="0" applyFill="1" applyBorder="1" applyAlignment="1" applyProtection="1">
      <alignment/>
      <protection/>
    </xf>
    <xf numFmtId="179" fontId="0" fillId="39" borderId="12" xfId="0" applyFill="1" applyBorder="1" applyAlignment="1" applyProtection="1">
      <alignment/>
      <protection/>
    </xf>
    <xf numFmtId="179" fontId="0" fillId="39" borderId="0" xfId="0" applyFill="1" applyBorder="1" applyAlignment="1" applyProtection="1">
      <alignment/>
      <protection/>
    </xf>
    <xf numFmtId="179" fontId="0" fillId="39" borderId="17" xfId="0" applyFill="1" applyBorder="1" applyAlignment="1" applyProtection="1">
      <alignment/>
      <protection/>
    </xf>
    <xf numFmtId="4" fontId="2" fillId="34" borderId="17" xfId="66" applyNumberFormat="1" applyBorder="1" applyProtection="1">
      <alignment/>
      <protection/>
    </xf>
    <xf numFmtId="179" fontId="0" fillId="39" borderId="18" xfId="0" applyFill="1" applyBorder="1" applyAlignment="1" applyProtection="1">
      <alignment/>
      <protection/>
    </xf>
    <xf numFmtId="179" fontId="0" fillId="39" borderId="11" xfId="0" applyFill="1" applyBorder="1" applyAlignment="1" applyProtection="1">
      <alignment/>
      <protection/>
    </xf>
    <xf numFmtId="4" fontId="2" fillId="34" borderId="11" xfId="66" applyNumberFormat="1" applyBorder="1" applyProtection="1">
      <alignment/>
      <protection/>
    </xf>
    <xf numFmtId="179" fontId="0" fillId="39" borderId="13" xfId="0" applyFill="1" applyBorder="1" applyAlignment="1" applyProtection="1">
      <alignment/>
      <protection/>
    </xf>
    <xf numFmtId="179" fontId="30" fillId="39" borderId="11" xfId="0" applyFont="1" applyFill="1" applyBorder="1" applyAlignment="1" applyProtection="1">
      <alignment/>
      <protection/>
    </xf>
    <xf numFmtId="179" fontId="0" fillId="2" borderId="12" xfId="0" applyFill="1" applyBorder="1" applyAlignment="1" applyProtection="1">
      <alignment/>
      <protection/>
    </xf>
    <xf numFmtId="179" fontId="0" fillId="2" borderId="0" xfId="0" applyFill="1" applyBorder="1" applyAlignment="1" applyProtection="1">
      <alignment/>
      <protection/>
    </xf>
    <xf numFmtId="179" fontId="0" fillId="39" borderId="0" xfId="0" applyFill="1" applyBorder="1" applyAlignment="1" applyProtection="1">
      <alignment horizontal="center"/>
      <protection/>
    </xf>
    <xf numFmtId="179" fontId="38" fillId="39" borderId="13" xfId="0" applyFont="1" applyFill="1" applyBorder="1" applyAlignment="1" applyProtection="1">
      <alignment horizontal="left"/>
      <protection/>
    </xf>
    <xf numFmtId="179" fontId="0" fillId="2" borderId="11" xfId="0" applyFill="1" applyBorder="1" applyAlignment="1" applyProtection="1">
      <alignment horizontal="center"/>
      <protection/>
    </xf>
    <xf numFmtId="179" fontId="0" fillId="39" borderId="14" xfId="0" applyFill="1" applyBorder="1" applyAlignment="1" applyProtection="1">
      <alignment/>
      <protection/>
    </xf>
    <xf numFmtId="179" fontId="0" fillId="39" borderId="14" xfId="0" applyFill="1" applyBorder="1" applyAlignment="1" applyProtection="1">
      <alignment horizontal="center"/>
      <protection/>
    </xf>
    <xf numFmtId="179" fontId="0" fillId="39" borderId="15" xfId="0" applyFill="1" applyBorder="1" applyAlignment="1" applyProtection="1">
      <alignment/>
      <protection/>
    </xf>
    <xf numFmtId="179" fontId="38" fillId="39" borderId="12" xfId="0" applyFont="1" applyFill="1" applyBorder="1" applyAlignment="1" applyProtection="1">
      <alignment horizontal="left" vertical="top"/>
      <protection/>
    </xf>
    <xf numFmtId="179" fontId="0" fillId="39" borderId="0" xfId="0" applyFill="1" applyBorder="1" applyAlignment="1" applyProtection="1">
      <alignment/>
      <protection/>
    </xf>
    <xf numFmtId="179" fontId="0" fillId="39" borderId="16" xfId="0" applyFill="1" applyBorder="1" applyAlignment="1" applyProtection="1">
      <alignment/>
      <protection/>
    </xf>
    <xf numFmtId="179" fontId="38" fillId="39" borderId="18" xfId="0" applyFont="1" applyFill="1" applyBorder="1" applyAlignment="1" applyProtection="1">
      <alignment horizontal="left" vertical="top"/>
      <protection/>
    </xf>
    <xf numFmtId="179" fontId="0" fillId="39" borderId="17" xfId="0" applyFill="1" applyBorder="1" applyAlignment="1" applyProtection="1">
      <alignment vertical="center"/>
      <protection/>
    </xf>
    <xf numFmtId="179" fontId="0" fillId="39" borderId="17" xfId="0" applyFill="1" applyBorder="1" applyAlignment="1" applyProtection="1">
      <alignment/>
      <protection/>
    </xf>
    <xf numFmtId="179" fontId="0" fillId="39" borderId="19" xfId="0" applyFill="1" applyBorder="1" applyAlignment="1" applyProtection="1">
      <alignment/>
      <protection/>
    </xf>
    <xf numFmtId="179" fontId="0" fillId="39" borderId="0" xfId="0" applyFill="1" applyAlignment="1" applyProtection="1">
      <alignment horizontal="left"/>
      <protection/>
    </xf>
    <xf numFmtId="179" fontId="30" fillId="39" borderId="0" xfId="0" applyFont="1" applyFill="1" applyAlignment="1" applyProtection="1">
      <alignment horizontal="right"/>
      <protection/>
    </xf>
    <xf numFmtId="197" fontId="2" fillId="34" borderId="17" xfId="66" applyNumberFormat="1" applyBorder="1" applyProtection="1">
      <alignment/>
      <protection hidden="1"/>
    </xf>
    <xf numFmtId="197" fontId="2" fillId="34" borderId="17" xfId="66" applyNumberFormat="1" applyFont="1" applyBorder="1" applyProtection="1">
      <alignment/>
      <protection hidden="1"/>
    </xf>
    <xf numFmtId="197" fontId="2" fillId="34" borderId="17" xfId="66" applyNumberFormat="1" applyFont="1" applyBorder="1" applyAlignment="1" applyProtection="1">
      <alignment vertical="center"/>
      <protection/>
    </xf>
    <xf numFmtId="197" fontId="2" fillId="34" borderId="11" xfId="66" applyNumberFormat="1" applyBorder="1" applyAlignment="1" applyProtection="1">
      <alignment vertical="center"/>
      <protection/>
    </xf>
    <xf numFmtId="179" fontId="0" fillId="43" borderId="0" xfId="0" applyFill="1" applyAlignment="1" applyProtection="1">
      <alignment/>
      <protection/>
    </xf>
    <xf numFmtId="197" fontId="2" fillId="34" borderId="11" xfId="66" applyNumberFormat="1" applyFont="1" applyBorder="1" applyProtection="1">
      <alignment/>
      <protection/>
    </xf>
    <xf numFmtId="197" fontId="0" fillId="0" borderId="0" xfId="0" applyNumberFormat="1" applyFill="1" applyBorder="1" applyAlignment="1" applyProtection="1">
      <alignment/>
      <protection/>
    </xf>
    <xf numFmtId="197" fontId="2" fillId="34" borderId="22" xfId="66" applyNumberFormat="1" applyBorder="1" applyProtection="1">
      <alignment/>
      <protection/>
    </xf>
    <xf numFmtId="197" fontId="2" fillId="34" borderId="19" xfId="66" applyNumberFormat="1" applyBorder="1" applyProtection="1">
      <alignment/>
      <protection/>
    </xf>
    <xf numFmtId="197" fontId="2" fillId="34" borderId="20" xfId="66" applyNumberFormat="1" applyBorder="1" applyProtection="1">
      <alignment/>
      <protection/>
    </xf>
    <xf numFmtId="197" fontId="0" fillId="43" borderId="0" xfId="0" applyNumberFormat="1" applyFill="1" applyBorder="1" applyAlignment="1" applyProtection="1">
      <alignment/>
      <protection/>
    </xf>
    <xf numFmtId="179" fontId="2" fillId="39" borderId="0" xfId="66" applyFill="1" applyBorder="1" applyProtection="1">
      <alignment/>
      <protection/>
    </xf>
    <xf numFmtId="179" fontId="30" fillId="39" borderId="0" xfId="0" applyFont="1" applyFill="1" applyBorder="1" applyAlignment="1" applyProtection="1" quotePrefix="1">
      <alignment/>
      <protection/>
    </xf>
    <xf numFmtId="179" fontId="0" fillId="39" borderId="17" xfId="0" applyFill="1" applyBorder="1" applyAlignment="1" applyProtection="1">
      <alignment wrapText="1"/>
      <protection/>
    </xf>
    <xf numFmtId="179" fontId="0" fillId="39" borderId="17" xfId="0" applyFill="1" applyBorder="1" applyAlignment="1" applyProtection="1">
      <alignment horizontal="right"/>
      <protection/>
    </xf>
    <xf numFmtId="197" fontId="2" fillId="34" borderId="11" xfId="66" applyNumberFormat="1" applyFont="1" applyBorder="1" applyProtection="1" quotePrefix="1">
      <alignment/>
      <protection/>
    </xf>
    <xf numFmtId="179" fontId="38" fillId="39" borderId="0" xfId="0" applyFont="1" applyFill="1" applyAlignment="1" applyProtection="1">
      <alignment horizontal="center"/>
      <protection/>
    </xf>
    <xf numFmtId="179" fontId="0" fillId="39" borderId="0" xfId="0" applyFill="1" applyAlignment="1" applyProtection="1">
      <alignment horizontal="center"/>
      <protection/>
    </xf>
    <xf numFmtId="1" fontId="0" fillId="39" borderId="0" xfId="0" applyNumberFormat="1" applyFill="1" applyAlignment="1" applyProtection="1">
      <alignment horizontal="center"/>
      <protection/>
    </xf>
    <xf numFmtId="179" fontId="0" fillId="39" borderId="0" xfId="58" applyFill="1" applyProtection="1">
      <alignment/>
      <protection/>
    </xf>
    <xf numFmtId="179" fontId="0" fillId="0" borderId="0" xfId="58" applyProtection="1">
      <alignment/>
      <protection/>
    </xf>
    <xf numFmtId="197" fontId="31" fillId="34" borderId="0" xfId="58" applyNumberFormat="1" applyFont="1" applyFill="1" applyAlignment="1" applyProtection="1">
      <alignment vertical="center"/>
      <protection/>
    </xf>
    <xf numFmtId="179" fontId="32" fillId="39" borderId="31" xfId="58" applyFont="1" applyFill="1" applyBorder="1" applyAlignment="1" applyProtection="1">
      <alignment horizontal="center"/>
      <protection/>
    </xf>
    <xf numFmtId="179" fontId="29" fillId="39" borderId="31" xfId="58" applyFont="1" applyFill="1" applyBorder="1" applyProtection="1">
      <alignment/>
      <protection/>
    </xf>
    <xf numFmtId="179" fontId="0" fillId="39" borderId="31" xfId="58" applyFill="1" applyBorder="1" applyProtection="1">
      <alignment/>
      <protection/>
    </xf>
    <xf numFmtId="179" fontId="32" fillId="39" borderId="0" xfId="58" applyFont="1" applyFill="1" applyAlignment="1" applyProtection="1">
      <alignment horizontal="center"/>
      <protection/>
    </xf>
    <xf numFmtId="179" fontId="29" fillId="39" borderId="0" xfId="58" applyFont="1" applyFill="1" applyProtection="1">
      <alignment/>
      <protection/>
    </xf>
    <xf numFmtId="49" fontId="0" fillId="0" borderId="0" xfId="58" applyNumberFormat="1" applyAlignment="1" applyProtection="1">
      <alignment horizontal="center" vertical="center"/>
      <protection/>
    </xf>
    <xf numFmtId="197" fontId="31" fillId="34" borderId="0" xfId="58" applyNumberFormat="1" applyFont="1" applyFill="1" applyProtection="1">
      <alignment/>
      <protection/>
    </xf>
    <xf numFmtId="179" fontId="29" fillId="39" borderId="0" xfId="58" applyFont="1" applyFill="1" applyAlignment="1" applyProtection="1">
      <alignment vertical="center"/>
      <protection/>
    </xf>
    <xf numFmtId="49" fontId="0" fillId="39" borderId="0" xfId="58" applyNumberFormat="1" applyFill="1" applyAlignment="1" applyProtection="1">
      <alignment horizontal="center" vertical="center"/>
      <protection/>
    </xf>
    <xf numFmtId="49" fontId="0" fillId="39" borderId="31" xfId="58" applyNumberFormat="1" applyFill="1" applyBorder="1" applyAlignment="1" applyProtection="1">
      <alignment horizontal="center" vertical="center"/>
      <protection/>
    </xf>
    <xf numFmtId="197" fontId="31" fillId="34" borderId="11" xfId="58" applyNumberFormat="1" applyFont="1" applyFill="1" applyBorder="1" applyProtection="1">
      <alignment/>
      <protection/>
    </xf>
    <xf numFmtId="179" fontId="0" fillId="39" borderId="0" xfId="58" applyFill="1" applyBorder="1" applyProtection="1">
      <alignment/>
      <protection/>
    </xf>
    <xf numFmtId="197" fontId="31" fillId="34" borderId="17" xfId="58" applyNumberFormat="1" applyFont="1" applyFill="1" applyBorder="1" applyAlignment="1" applyProtection="1">
      <alignment vertical="center"/>
      <protection/>
    </xf>
    <xf numFmtId="1" fontId="0" fillId="39" borderId="0" xfId="58" applyNumberFormat="1" applyFont="1" applyFill="1" applyBorder="1" applyAlignment="1" applyProtection="1">
      <alignment horizontal="center" vertical="center"/>
      <protection/>
    </xf>
    <xf numFmtId="1" fontId="0" fillId="39" borderId="0" xfId="58" applyNumberFormat="1" applyFont="1" applyFill="1" applyAlignment="1" applyProtection="1">
      <alignment horizontal="left"/>
      <protection/>
    </xf>
    <xf numFmtId="1" fontId="0" fillId="39" borderId="0" xfId="58" applyNumberFormat="1" applyFont="1" applyFill="1" applyBorder="1" applyProtection="1">
      <alignment/>
      <protection/>
    </xf>
    <xf numFmtId="1" fontId="0" fillId="39" borderId="0" xfId="58" applyNumberFormat="1" applyFont="1" applyFill="1" applyProtection="1">
      <alignment/>
      <protection/>
    </xf>
    <xf numFmtId="9" fontId="31" fillId="34" borderId="0" xfId="58" applyNumberFormat="1" applyFont="1" applyFill="1" applyAlignment="1" applyProtection="1">
      <alignment vertical="center"/>
      <protection/>
    </xf>
    <xf numFmtId="179" fontId="29" fillId="39" borderId="0" xfId="58" applyFont="1" applyFill="1" applyBorder="1" applyProtection="1">
      <alignment/>
      <protection/>
    </xf>
    <xf numFmtId="1" fontId="31" fillId="34" borderId="0" xfId="58" applyNumberFormat="1" applyFont="1" applyFill="1" applyBorder="1" applyProtection="1">
      <alignment/>
      <protection/>
    </xf>
    <xf numFmtId="197" fontId="31" fillId="34" borderId="0" xfId="58" applyNumberFormat="1" applyFont="1" applyFill="1" applyBorder="1" applyProtection="1">
      <alignment/>
      <protection/>
    </xf>
    <xf numFmtId="179" fontId="0" fillId="0" borderId="0" xfId="58" applyFill="1" applyProtection="1">
      <alignment/>
      <protection/>
    </xf>
    <xf numFmtId="197" fontId="31" fillId="39" borderId="17" xfId="58" applyNumberFormat="1" applyFont="1" applyFill="1" applyBorder="1" applyProtection="1">
      <alignment/>
      <protection/>
    </xf>
    <xf numFmtId="0" fontId="1" fillId="39" borderId="0" xfId="60" applyFont="1" applyFill="1" applyAlignment="1" applyProtection="1">
      <alignment horizontal="center"/>
      <protection/>
    </xf>
    <xf numFmtId="0" fontId="1" fillId="39" borderId="0" xfId="60" applyFill="1" applyProtection="1">
      <alignment/>
      <protection/>
    </xf>
    <xf numFmtId="0" fontId="20" fillId="39" borderId="0" xfId="60" applyFont="1" applyFill="1" applyAlignment="1" applyProtection="1">
      <alignment horizontal="center"/>
      <protection/>
    </xf>
    <xf numFmtId="179" fontId="45" fillId="39" borderId="14" xfId="0" applyFont="1" applyFill="1" applyBorder="1" applyAlignment="1" applyProtection="1">
      <alignment/>
      <protection/>
    </xf>
    <xf numFmtId="179" fontId="0" fillId="39" borderId="16" xfId="0" applyFill="1" applyBorder="1" applyAlignment="1" applyProtection="1">
      <alignment/>
      <protection/>
    </xf>
    <xf numFmtId="179" fontId="0" fillId="39" borderId="0" xfId="0" applyFill="1" applyBorder="1" applyAlignment="1" applyProtection="1">
      <alignment horizontal="right"/>
      <protection/>
    </xf>
    <xf numFmtId="197" fontId="2" fillId="39" borderId="17" xfId="0" applyNumberFormat="1" applyFont="1" applyFill="1" applyBorder="1" applyAlignment="1" applyProtection="1">
      <alignment/>
      <protection/>
    </xf>
    <xf numFmtId="187" fontId="0" fillId="2" borderId="17" xfId="0" applyNumberFormat="1" applyFill="1" applyBorder="1" applyAlignment="1" applyProtection="1">
      <alignment horizontal="center"/>
      <protection locked="0"/>
    </xf>
    <xf numFmtId="187" fontId="0" fillId="2" borderId="11" xfId="0" applyNumberFormat="1" applyFill="1" applyBorder="1" applyAlignment="1" applyProtection="1">
      <alignment horizontal="center"/>
      <protection locked="0"/>
    </xf>
    <xf numFmtId="179" fontId="46" fillId="39" borderId="0" xfId="0" applyFont="1" applyFill="1" applyBorder="1" applyAlignment="1" applyProtection="1">
      <alignment/>
      <protection/>
    </xf>
    <xf numFmtId="179" fontId="47" fillId="39" borderId="0" xfId="0" applyFont="1" applyFill="1" applyBorder="1" applyAlignment="1" applyProtection="1">
      <alignment/>
      <protection/>
    </xf>
    <xf numFmtId="179" fontId="38" fillId="39" borderId="0" xfId="0" applyFont="1" applyFill="1" applyBorder="1" applyAlignment="1" applyProtection="1">
      <alignment/>
      <protection/>
    </xf>
    <xf numFmtId="179" fontId="38" fillId="39" borderId="0" xfId="0" applyFont="1" applyFill="1" applyBorder="1" applyAlignment="1" applyProtection="1">
      <alignment horizontal="right"/>
      <protection/>
    </xf>
    <xf numFmtId="179" fontId="0" fillId="39" borderId="17" xfId="0" applyFont="1" applyFill="1" applyBorder="1" applyAlignment="1" applyProtection="1">
      <alignment/>
      <protection/>
    </xf>
    <xf numFmtId="179" fontId="0" fillId="39" borderId="19" xfId="0" applyFill="1" applyBorder="1" applyAlignment="1" applyProtection="1">
      <alignment/>
      <protection/>
    </xf>
    <xf numFmtId="179" fontId="0" fillId="39" borderId="51" xfId="0" applyFill="1" applyBorder="1" applyAlignment="1" applyProtection="1">
      <alignment/>
      <protection/>
    </xf>
    <xf numFmtId="179" fontId="38" fillId="39" borderId="0" xfId="0" applyFont="1" applyFill="1" applyBorder="1" applyAlignment="1" applyProtection="1">
      <alignment horizontal="center"/>
      <protection/>
    </xf>
    <xf numFmtId="179" fontId="0" fillId="39" borderId="16" xfId="0" applyFill="1" applyBorder="1" applyAlignment="1" applyProtection="1" quotePrefix="1">
      <alignment horizontal="center"/>
      <protection/>
    </xf>
    <xf numFmtId="179" fontId="0" fillId="39" borderId="16" xfId="0" applyFill="1" applyBorder="1" applyAlignment="1" applyProtection="1">
      <alignment horizontal="center"/>
      <protection/>
    </xf>
    <xf numFmtId="179" fontId="48" fillId="39" borderId="0" xfId="0" applyFont="1" applyFill="1" applyAlignment="1" applyProtection="1">
      <alignment horizontal="right"/>
      <protection/>
    </xf>
    <xf numFmtId="179" fontId="38" fillId="39" borderId="0" xfId="0" applyFont="1" applyFill="1" applyAlignment="1" applyProtection="1">
      <alignment/>
      <protection/>
    </xf>
    <xf numFmtId="197" fontId="31" fillId="34" borderId="22" xfId="58" applyNumberFormat="1" applyFont="1" applyFill="1" applyBorder="1" applyProtection="1">
      <alignment/>
      <protection/>
    </xf>
    <xf numFmtId="197" fontId="31" fillId="34" borderId="29" xfId="58" applyNumberFormat="1" applyFont="1" applyFill="1" applyBorder="1" applyProtection="1">
      <alignment/>
      <protection/>
    </xf>
    <xf numFmtId="197" fontId="31" fillId="34" borderId="52" xfId="58" applyNumberFormat="1" applyFont="1" applyFill="1" applyBorder="1" applyProtection="1">
      <alignment/>
      <protection/>
    </xf>
    <xf numFmtId="197" fontId="31" fillId="34" borderId="42" xfId="58" applyNumberFormat="1" applyFont="1" applyFill="1" applyBorder="1" applyProtection="1">
      <alignment/>
      <protection/>
    </xf>
    <xf numFmtId="197" fontId="31" fillId="34" borderId="53" xfId="58" applyNumberFormat="1" applyFont="1" applyFill="1" applyBorder="1" applyProtection="1">
      <alignment/>
      <protection/>
    </xf>
    <xf numFmtId="197" fontId="31" fillId="34" borderId="45" xfId="58" applyNumberFormat="1" applyFont="1" applyFill="1" applyBorder="1" applyProtection="1">
      <alignment/>
      <protection/>
    </xf>
    <xf numFmtId="197" fontId="31" fillId="2" borderId="22" xfId="58" applyNumberFormat="1" applyFont="1" applyFill="1" applyBorder="1" applyAlignment="1" applyProtection="1">
      <alignment horizontal="right"/>
      <protection locked="0"/>
    </xf>
    <xf numFmtId="1" fontId="3" fillId="39" borderId="0" xfId="0" applyNumberFormat="1" applyFont="1" applyFill="1" applyBorder="1" applyAlignment="1" applyProtection="1">
      <alignment horizontal="left"/>
      <protection/>
    </xf>
    <xf numFmtId="197" fontId="7" fillId="34" borderId="54" xfId="66" applyNumberFormat="1" applyFont="1" applyBorder="1" applyProtection="1">
      <alignment/>
      <protection/>
    </xf>
    <xf numFmtId="197" fontId="7" fillId="2" borderId="31" xfId="0" applyNumberFormat="1" applyFont="1" applyFill="1" applyBorder="1" applyAlignment="1" applyProtection="1">
      <alignment/>
      <protection locked="0"/>
    </xf>
    <xf numFmtId="197" fontId="7" fillId="2" borderId="54" xfId="0" applyNumberFormat="1" applyFont="1" applyFill="1" applyBorder="1" applyAlignment="1" applyProtection="1">
      <alignment/>
      <protection locked="0"/>
    </xf>
    <xf numFmtId="197" fontId="7" fillId="2" borderId="31" xfId="66" applyNumberFormat="1" applyFont="1" applyFill="1" applyBorder="1" applyProtection="1">
      <alignment/>
      <protection locked="0"/>
    </xf>
    <xf numFmtId="197" fontId="2" fillId="34" borderId="54" xfId="66" applyNumberFormat="1" applyBorder="1" applyProtection="1">
      <alignment/>
      <protection/>
    </xf>
    <xf numFmtId="9" fontId="2" fillId="34" borderId="54" xfId="66" applyNumberFormat="1" applyBorder="1" applyProtection="1">
      <alignment/>
      <protection/>
    </xf>
    <xf numFmtId="197" fontId="2" fillId="2" borderId="54" xfId="0" applyNumberFormat="1" applyFont="1" applyFill="1" applyBorder="1" applyAlignment="1" applyProtection="1">
      <alignment/>
      <protection locked="0"/>
    </xf>
    <xf numFmtId="197" fontId="2" fillId="34" borderId="31" xfId="66" applyNumberFormat="1" applyBorder="1" applyProtection="1">
      <alignment/>
      <protection/>
    </xf>
    <xf numFmtId="197" fontId="2" fillId="34" borderId="31" xfId="66" applyNumberFormat="1" applyFont="1" applyBorder="1" applyProtection="1">
      <alignment/>
      <protection/>
    </xf>
    <xf numFmtId="197" fontId="2" fillId="2" borderId="31" xfId="0" applyNumberFormat="1" applyFont="1" applyFill="1" applyBorder="1" applyAlignment="1" applyProtection="1">
      <alignment/>
      <protection locked="0"/>
    </xf>
    <xf numFmtId="197" fontId="2" fillId="34" borderId="20" xfId="66" applyNumberFormat="1" applyFont="1" applyBorder="1" applyProtection="1">
      <alignment/>
      <protection/>
    </xf>
    <xf numFmtId="197" fontId="2" fillId="2" borderId="55" xfId="0" applyNumberFormat="1" applyFont="1" applyFill="1" applyBorder="1" applyAlignment="1" applyProtection="1">
      <alignment/>
      <protection locked="0"/>
    </xf>
    <xf numFmtId="187" fontId="2" fillId="39" borderId="30" xfId="0" applyNumberFormat="1" applyFont="1" applyFill="1" applyBorder="1" applyAlignment="1" applyProtection="1">
      <alignment/>
      <protection/>
    </xf>
    <xf numFmtId="179" fontId="2" fillId="39" borderId="22" xfId="0" applyFont="1" applyFill="1" applyBorder="1" applyAlignment="1" applyProtection="1">
      <alignment horizontal="center"/>
      <protection/>
    </xf>
    <xf numFmtId="197" fontId="2" fillId="39" borderId="14" xfId="66" applyNumberFormat="1" applyFill="1" applyBorder="1" applyProtection="1">
      <alignment/>
      <protection/>
    </xf>
    <xf numFmtId="179" fontId="3" fillId="39" borderId="12" xfId="0" applyFont="1" applyFill="1" applyBorder="1" applyAlignment="1" applyProtection="1">
      <alignment/>
      <protection/>
    </xf>
    <xf numFmtId="197" fontId="2" fillId="34" borderId="20" xfId="66" applyNumberFormat="1" applyBorder="1" applyAlignment="1" applyProtection="1">
      <alignment vertical="center"/>
      <protection/>
    </xf>
    <xf numFmtId="197" fontId="2" fillId="2" borderId="54" xfId="0" applyNumberFormat="1" applyFont="1" applyFill="1" applyBorder="1" applyAlignment="1" applyProtection="1">
      <alignment vertical="center"/>
      <protection locked="0"/>
    </xf>
    <xf numFmtId="197" fontId="2" fillId="2" borderId="31" xfId="0" applyNumberFormat="1" applyFont="1" applyFill="1" applyBorder="1" applyAlignment="1" applyProtection="1">
      <alignment vertical="center"/>
      <protection locked="0"/>
    </xf>
    <xf numFmtId="197" fontId="2" fillId="34" borderId="54" xfId="66" applyNumberFormat="1" applyBorder="1" applyAlignment="1" applyProtection="1">
      <alignment vertical="center"/>
      <protection/>
    </xf>
    <xf numFmtId="197" fontId="7" fillId="34" borderId="20" xfId="66" applyNumberFormat="1" applyFont="1" applyBorder="1" applyProtection="1">
      <alignment/>
      <protection/>
    </xf>
    <xf numFmtId="197" fontId="2" fillId="34" borderId="54" xfId="66" applyNumberFormat="1" applyFont="1" applyBorder="1" applyProtection="1">
      <alignment/>
      <protection/>
    </xf>
    <xf numFmtId="197" fontId="0" fillId="2" borderId="54" xfId="0" applyNumberFormat="1" applyBorder="1" applyAlignment="1" applyProtection="1">
      <alignment/>
      <protection locked="0"/>
    </xf>
    <xf numFmtId="197" fontId="0" fillId="2" borderId="31" xfId="0" applyNumberFormat="1" applyBorder="1" applyAlignment="1" applyProtection="1">
      <alignment/>
      <protection locked="0"/>
    </xf>
    <xf numFmtId="179" fontId="4" fillId="43" borderId="0" xfId="0" applyFont="1" applyFill="1" applyBorder="1" applyAlignment="1" applyProtection="1">
      <alignment/>
      <protection/>
    </xf>
    <xf numFmtId="2" fontId="55" fillId="34" borderId="20" xfId="61" applyNumberFormat="1" applyFont="1" applyFill="1" applyBorder="1" applyAlignment="1" applyProtection="1" quotePrefix="1">
      <alignment horizontal="right"/>
      <protection/>
    </xf>
    <xf numFmtId="2" fontId="55" fillId="34" borderId="54" xfId="61" applyNumberFormat="1" applyFont="1" applyFill="1" applyBorder="1" applyAlignment="1" applyProtection="1" quotePrefix="1">
      <alignment horizontal="right"/>
      <protection/>
    </xf>
    <xf numFmtId="179" fontId="38" fillId="39" borderId="17" xfId="0" applyFont="1" applyFill="1" applyBorder="1" applyAlignment="1" applyProtection="1">
      <alignment horizontal="right"/>
      <protection/>
    </xf>
    <xf numFmtId="179" fontId="0" fillId="39" borderId="19" xfId="0" applyFill="1" applyBorder="1" applyAlignment="1" applyProtection="1" quotePrefix="1">
      <alignment horizontal="center"/>
      <protection/>
    </xf>
    <xf numFmtId="2" fontId="2" fillId="2" borderId="31" xfId="62" applyNumberFormat="1" applyFont="1" applyFill="1" applyBorder="1" applyAlignment="1" applyProtection="1" quotePrefix="1">
      <alignment horizontal="right"/>
      <protection locked="0"/>
    </xf>
    <xf numFmtId="2" fontId="2" fillId="34" borderId="31" xfId="62" applyNumberFormat="1" applyFont="1" applyFill="1" applyBorder="1" applyAlignment="1" applyProtection="1" quotePrefix="1">
      <alignment horizontal="right"/>
      <protection/>
    </xf>
    <xf numFmtId="2" fontId="2" fillId="34" borderId="56" xfId="62" applyNumberFormat="1" applyFont="1" applyFill="1" applyBorder="1" applyAlignment="1" applyProtection="1" quotePrefix="1">
      <alignment horizontal="right"/>
      <protection/>
    </xf>
    <xf numFmtId="49" fontId="7" fillId="39" borderId="0" xfId="58" applyNumberFormat="1" applyFont="1" applyFill="1" applyBorder="1" applyAlignment="1" applyProtection="1">
      <alignment horizontal="center" shrinkToFit="1"/>
      <protection/>
    </xf>
    <xf numFmtId="2" fontId="31" fillId="39" borderId="0" xfId="58" applyNumberFormat="1" applyFont="1" applyFill="1" applyBorder="1" applyAlignment="1" applyProtection="1">
      <alignment horizontal="right" vertical="center"/>
      <protection/>
    </xf>
    <xf numFmtId="179" fontId="0" fillId="39" borderId="0" xfId="0" applyFill="1" applyBorder="1" applyAlignment="1">
      <alignment horizontal="center"/>
    </xf>
    <xf numFmtId="179" fontId="30" fillId="39" borderId="0" xfId="0" applyFont="1" applyFill="1" applyBorder="1" applyAlignment="1">
      <alignment horizontal="center"/>
    </xf>
    <xf numFmtId="179" fontId="46" fillId="39" borderId="14" xfId="0" applyFont="1" applyFill="1" applyBorder="1" applyAlignment="1">
      <alignment/>
    </xf>
    <xf numFmtId="179" fontId="16" fillId="39" borderId="0" xfId="0" applyFont="1" applyFill="1" applyAlignment="1" applyProtection="1">
      <alignment horizontal="center"/>
      <protection hidden="1"/>
    </xf>
    <xf numFmtId="179" fontId="4" fillId="39" borderId="0" xfId="0" applyFont="1" applyFill="1" applyAlignment="1" applyProtection="1">
      <alignment horizontal="center"/>
      <protection hidden="1"/>
    </xf>
    <xf numFmtId="179" fontId="7" fillId="39" borderId="12" xfId="0" applyFont="1" applyFill="1" applyBorder="1" applyAlignment="1" applyProtection="1">
      <alignment/>
      <protection hidden="1"/>
    </xf>
    <xf numFmtId="179" fontId="7" fillId="39" borderId="18" xfId="0" applyFont="1" applyFill="1" applyBorder="1" applyAlignment="1" applyProtection="1">
      <alignment/>
      <protection hidden="1"/>
    </xf>
    <xf numFmtId="179" fontId="7" fillId="39" borderId="0" xfId="0" applyFont="1" applyFill="1" applyAlignment="1" applyProtection="1">
      <alignment/>
      <protection hidden="1"/>
    </xf>
    <xf numFmtId="179" fontId="4" fillId="39" borderId="0" xfId="0" applyFont="1" applyFill="1" applyAlignment="1" applyProtection="1">
      <alignment horizontal="left"/>
      <protection hidden="1"/>
    </xf>
    <xf numFmtId="179" fontId="4" fillId="39" borderId="0" xfId="0" applyFont="1" applyFill="1" applyAlignment="1" applyProtection="1">
      <alignment/>
      <protection hidden="1"/>
    </xf>
    <xf numFmtId="179" fontId="3" fillId="39" borderId="0" xfId="0" applyFont="1" applyFill="1" applyAlignment="1" applyProtection="1">
      <alignment horizontal="left"/>
      <protection hidden="1"/>
    </xf>
    <xf numFmtId="179" fontId="2" fillId="39" borderId="0" xfId="0" applyFont="1" applyFill="1" applyAlignment="1" applyProtection="1">
      <alignment/>
      <protection hidden="1"/>
    </xf>
    <xf numFmtId="179" fontId="31" fillId="39" borderId="0" xfId="0" applyFont="1" applyFill="1" applyAlignment="1" applyProtection="1">
      <alignment/>
      <protection hidden="1"/>
    </xf>
    <xf numFmtId="179" fontId="29" fillId="39" borderId="0" xfId="0" applyFont="1" applyFill="1" applyAlignment="1" applyProtection="1">
      <alignment/>
      <protection hidden="1"/>
    </xf>
    <xf numFmtId="179" fontId="7" fillId="39" borderId="0" xfId="0" applyFont="1" applyFill="1" applyAlignment="1" applyProtection="1">
      <alignment/>
      <protection hidden="1"/>
    </xf>
    <xf numFmtId="179" fontId="3" fillId="39" borderId="0" xfId="0" applyFont="1" applyFill="1" applyAlignment="1" applyProtection="1">
      <alignment/>
      <protection hidden="1"/>
    </xf>
    <xf numFmtId="179" fontId="7" fillId="39" borderId="0" xfId="0" applyFont="1" applyFill="1" applyAlignment="1" applyProtection="1">
      <alignment horizontal="left"/>
      <protection hidden="1"/>
    </xf>
    <xf numFmtId="179" fontId="16" fillId="39" borderId="0" xfId="0" applyFont="1" applyFill="1" applyAlignment="1" applyProtection="1">
      <alignment horizontal="left"/>
      <protection hidden="1"/>
    </xf>
    <xf numFmtId="0" fontId="1" fillId="39" borderId="0" xfId="59" applyFont="1" applyFill="1" applyProtection="1">
      <alignment/>
      <protection hidden="1"/>
    </xf>
    <xf numFmtId="0" fontId="1" fillId="39" borderId="0" xfId="59" applyFill="1" applyProtection="1">
      <alignment/>
      <protection hidden="1"/>
    </xf>
    <xf numFmtId="0" fontId="21" fillId="39" borderId="30" xfId="59" applyFont="1" applyFill="1" applyBorder="1" applyAlignment="1" applyProtection="1">
      <alignment horizontal="center"/>
      <protection hidden="1"/>
    </xf>
    <xf numFmtId="0" fontId="21" fillId="39" borderId="20" xfId="59" applyFont="1" applyFill="1" applyBorder="1" applyAlignment="1" applyProtection="1">
      <alignment horizontal="center"/>
      <protection hidden="1"/>
    </xf>
    <xf numFmtId="0" fontId="1" fillId="39" borderId="0" xfId="59" applyFill="1" applyAlignment="1" applyProtection="1">
      <alignment horizontal="center"/>
      <protection hidden="1"/>
    </xf>
    <xf numFmtId="0" fontId="15" fillId="39" borderId="0" xfId="60" applyFont="1" applyFill="1" applyBorder="1" applyProtection="1">
      <alignment/>
      <protection/>
    </xf>
    <xf numFmtId="197" fontId="7" fillId="34" borderId="31" xfId="66" applyNumberFormat="1" applyFont="1" applyBorder="1" applyProtection="1">
      <alignment/>
      <protection/>
    </xf>
    <xf numFmtId="197" fontId="7" fillId="34" borderId="56" xfId="66" applyNumberFormat="1" applyFont="1" applyBorder="1" applyProtection="1">
      <alignment/>
      <protection/>
    </xf>
    <xf numFmtId="197" fontId="7" fillId="34" borderId="57" xfId="66" applyNumberFormat="1" applyFont="1" applyBorder="1" applyProtection="1">
      <alignment/>
      <protection/>
    </xf>
    <xf numFmtId="179" fontId="0" fillId="39" borderId="0" xfId="0" applyFill="1" applyBorder="1" applyAlignment="1" applyProtection="1" quotePrefix="1">
      <alignment/>
      <protection/>
    </xf>
    <xf numFmtId="179" fontId="0" fillId="38" borderId="0" xfId="0" applyFill="1" applyBorder="1" applyAlignment="1" applyProtection="1">
      <alignment/>
      <protection/>
    </xf>
    <xf numFmtId="9" fontId="2" fillId="34" borderId="54" xfId="66" applyNumberFormat="1" applyBorder="1" applyAlignment="1" applyProtection="1">
      <alignment horizontal="right" vertical="center"/>
      <protection/>
    </xf>
    <xf numFmtId="179" fontId="2" fillId="43" borderId="0" xfId="0" applyFont="1" applyFill="1" applyAlignment="1" applyProtection="1">
      <alignment/>
      <protection/>
    </xf>
    <xf numFmtId="179" fontId="3" fillId="43" borderId="10" xfId="0" applyFont="1" applyFill="1" applyBorder="1" applyAlignment="1" applyProtection="1">
      <alignment horizontal="center"/>
      <protection/>
    </xf>
    <xf numFmtId="197" fontId="2" fillId="34" borderId="58" xfId="66" applyNumberFormat="1" applyBorder="1" applyProtection="1">
      <alignment/>
      <protection/>
    </xf>
    <xf numFmtId="179" fontId="2" fillId="43" borderId="49" xfId="0" applyFont="1" applyFill="1" applyBorder="1" applyAlignment="1" applyProtection="1">
      <alignment/>
      <protection/>
    </xf>
    <xf numFmtId="179" fontId="2" fillId="43" borderId="21" xfId="0" applyFont="1" applyFill="1" applyBorder="1" applyAlignment="1" applyProtection="1">
      <alignment/>
      <protection/>
    </xf>
    <xf numFmtId="197" fontId="0" fillId="43" borderId="17" xfId="0" applyNumberFormat="1" applyFill="1" applyBorder="1" applyAlignment="1" applyProtection="1">
      <alignment/>
      <protection locked="0"/>
    </xf>
    <xf numFmtId="183" fontId="2" fillId="34" borderId="54" xfId="66" applyNumberFormat="1" applyFont="1" applyBorder="1" applyProtection="1">
      <alignment/>
      <protection/>
    </xf>
    <xf numFmtId="0" fontId="1" fillId="39" borderId="0" xfId="60" applyFont="1" applyFill="1">
      <alignment/>
      <protection/>
    </xf>
    <xf numFmtId="0" fontId="21" fillId="39" borderId="0" xfId="59" applyFont="1" applyFill="1" applyBorder="1" applyAlignment="1" applyProtection="1">
      <alignment horizontal="center"/>
      <protection hidden="1"/>
    </xf>
    <xf numFmtId="0" fontId="21" fillId="39" borderId="0" xfId="59" applyFont="1" applyFill="1" applyBorder="1" applyAlignment="1">
      <alignment wrapText="1"/>
      <protection/>
    </xf>
    <xf numFmtId="0" fontId="21" fillId="39" borderId="0" xfId="59" applyFont="1" applyFill="1" applyBorder="1">
      <alignment/>
      <protection/>
    </xf>
    <xf numFmtId="0" fontId="1" fillId="39" borderId="0" xfId="59" applyFont="1" applyFill="1" applyBorder="1">
      <alignment/>
      <protection/>
    </xf>
    <xf numFmtId="179" fontId="72" fillId="39" borderId="0" xfId="0" applyFont="1" applyFill="1" applyAlignment="1" applyProtection="1">
      <alignment horizontal="left"/>
      <protection hidden="1"/>
    </xf>
    <xf numFmtId="179" fontId="72" fillId="39" borderId="0" xfId="0" applyFont="1" applyFill="1" applyAlignment="1" applyProtection="1">
      <alignment horizontal="right"/>
      <protection hidden="1"/>
    </xf>
    <xf numFmtId="179" fontId="72" fillId="39" borderId="0" xfId="0" applyFont="1" applyFill="1" applyAlignment="1" applyProtection="1">
      <alignment/>
      <protection hidden="1"/>
    </xf>
    <xf numFmtId="179" fontId="64" fillId="39" borderId="0" xfId="0" applyFont="1" applyFill="1" applyAlignment="1" applyProtection="1">
      <alignment/>
      <protection hidden="1"/>
    </xf>
    <xf numFmtId="178" fontId="64" fillId="39" borderId="0" xfId="0" applyNumberFormat="1" applyFont="1" applyFill="1" applyAlignment="1" applyProtection="1">
      <alignment/>
      <protection hidden="1"/>
    </xf>
    <xf numFmtId="179" fontId="72" fillId="43" borderId="0" xfId="0" applyFont="1" applyFill="1" applyAlignment="1" applyProtection="1">
      <alignment/>
      <protection/>
    </xf>
    <xf numFmtId="179" fontId="73" fillId="39" borderId="0" xfId="0" applyFont="1" applyFill="1" applyAlignment="1" applyProtection="1">
      <alignment horizontal="right"/>
      <protection hidden="1"/>
    </xf>
    <xf numFmtId="179" fontId="73" fillId="39" borderId="0" xfId="0" applyFont="1" applyFill="1" applyAlignment="1" applyProtection="1">
      <alignment horizontal="right"/>
      <protection/>
    </xf>
    <xf numFmtId="179" fontId="2" fillId="39" borderId="0" xfId="58" applyFont="1" applyFill="1" applyAlignment="1" applyProtection="1">
      <alignment horizontal="left"/>
      <protection/>
    </xf>
    <xf numFmtId="0" fontId="21" fillId="39" borderId="0" xfId="60" applyFont="1" applyFill="1" applyBorder="1">
      <alignment/>
      <protection/>
    </xf>
    <xf numFmtId="0" fontId="1" fillId="39" borderId="0" xfId="60" applyFont="1" applyFill="1" applyBorder="1" applyAlignment="1">
      <alignment vertical="top"/>
      <protection/>
    </xf>
    <xf numFmtId="179" fontId="2" fillId="39" borderId="11" xfId="0" applyFont="1" applyFill="1" applyBorder="1" applyAlignment="1" applyProtection="1">
      <alignment/>
      <protection/>
    </xf>
    <xf numFmtId="179" fontId="0" fillId="2" borderId="59" xfId="0" applyFill="1" applyBorder="1" applyAlignment="1" applyProtection="1">
      <alignment horizontal="center"/>
      <protection/>
    </xf>
    <xf numFmtId="179" fontId="10" fillId="39" borderId="26" xfId="0" applyFont="1" applyFill="1" applyBorder="1" applyAlignment="1" applyProtection="1">
      <alignment horizontal="center" shrinkToFit="1"/>
      <protection/>
    </xf>
    <xf numFmtId="179" fontId="8" fillId="39" borderId="0" xfId="0" applyFont="1" applyFill="1" applyAlignment="1" applyProtection="1">
      <alignment horizontal="left"/>
      <protection/>
    </xf>
    <xf numFmtId="179" fontId="14" fillId="39" borderId="0" xfId="0" applyFont="1" applyFill="1" applyAlignment="1" applyProtection="1">
      <alignment/>
      <protection/>
    </xf>
    <xf numFmtId="179" fontId="28" fillId="39" borderId="0" xfId="0" applyFont="1" applyFill="1" applyAlignment="1" applyProtection="1">
      <alignment/>
      <protection/>
    </xf>
    <xf numFmtId="197" fontId="2" fillId="2" borderId="17" xfId="66" applyNumberFormat="1" applyFill="1" applyBorder="1" applyProtection="1">
      <alignment/>
      <protection locked="0"/>
    </xf>
    <xf numFmtId="179" fontId="0" fillId="2" borderId="0" xfId="0" applyAlignment="1" applyProtection="1">
      <alignment vertical="center"/>
      <protection/>
    </xf>
    <xf numFmtId="179" fontId="4" fillId="39" borderId="0" xfId="0" applyFont="1" applyFill="1" applyAlignment="1" applyProtection="1">
      <alignment horizontal="left" vertical="center"/>
      <protection hidden="1"/>
    </xf>
    <xf numFmtId="197" fontId="2" fillId="2" borderId="11" xfId="0" applyNumberFormat="1" applyFont="1" applyFill="1" applyBorder="1" applyAlignment="1" applyProtection="1">
      <alignment/>
      <protection locked="0"/>
    </xf>
    <xf numFmtId="197" fontId="7" fillId="34" borderId="58" xfId="66" applyNumberFormat="1" applyFont="1" applyBorder="1" applyProtection="1">
      <alignment/>
      <protection/>
    </xf>
    <xf numFmtId="179" fontId="64" fillId="39" borderId="0" xfId="0" applyFont="1" applyFill="1" applyAlignment="1" applyProtection="1">
      <alignment/>
      <protection/>
    </xf>
    <xf numFmtId="179" fontId="73" fillId="39" borderId="0" xfId="0" applyFont="1" applyFill="1" applyAlignment="1" applyProtection="1">
      <alignment horizontal="left"/>
      <protection hidden="1"/>
    </xf>
    <xf numFmtId="179" fontId="75" fillId="39" borderId="0" xfId="0" applyFont="1" applyFill="1" applyAlignment="1" applyProtection="1">
      <alignment horizontal="right"/>
      <protection hidden="1"/>
    </xf>
    <xf numFmtId="179" fontId="26" fillId="39" borderId="0" xfId="0" applyFont="1" applyFill="1" applyAlignment="1" applyProtection="1" quotePrefix="1">
      <alignment horizontal="right"/>
      <protection/>
    </xf>
    <xf numFmtId="0" fontId="72" fillId="39" borderId="0" xfId="60" applyFont="1" applyFill="1" applyBorder="1" applyAlignment="1" applyProtection="1">
      <alignment horizontal="right"/>
      <protection hidden="1"/>
    </xf>
    <xf numFmtId="0" fontId="1" fillId="39" borderId="0" xfId="60" applyFont="1" applyFill="1" applyBorder="1" applyAlignment="1">
      <alignment/>
      <protection/>
    </xf>
    <xf numFmtId="179" fontId="3" fillId="39" borderId="17" xfId="0" applyFont="1" applyFill="1" applyBorder="1" applyAlignment="1" applyProtection="1">
      <alignment/>
      <protection/>
    </xf>
    <xf numFmtId="197" fontId="23" fillId="34" borderId="17" xfId="66" applyNumberFormat="1" applyFont="1" applyBorder="1" applyProtection="1">
      <alignment/>
      <protection/>
    </xf>
    <xf numFmtId="179" fontId="41" fillId="39" borderId="11" xfId="0" applyFont="1" applyFill="1" applyBorder="1" applyAlignment="1" applyProtection="1">
      <alignment horizontal="right"/>
      <protection/>
    </xf>
    <xf numFmtId="179" fontId="41" fillId="39" borderId="17" xfId="0" applyFont="1" applyFill="1" applyBorder="1" applyAlignment="1" applyProtection="1">
      <alignment horizontal="right"/>
      <protection/>
    </xf>
    <xf numFmtId="179" fontId="2" fillId="39" borderId="26" xfId="0" applyFont="1" applyFill="1" applyBorder="1" applyAlignment="1" applyProtection="1">
      <alignment horizontal="center" shrinkToFit="1"/>
      <protection/>
    </xf>
    <xf numFmtId="197" fontId="2" fillId="2" borderId="22" xfId="66" applyNumberFormat="1" applyFill="1" applyBorder="1" applyAlignment="1" applyProtection="1">
      <alignment horizontal="right"/>
      <protection locked="0"/>
    </xf>
    <xf numFmtId="179" fontId="7" fillId="39" borderId="0" xfId="0" applyFont="1" applyFill="1" applyAlignment="1" applyProtection="1">
      <alignment horizontal="center"/>
      <protection/>
    </xf>
    <xf numFmtId="1" fontId="2" fillId="2" borderId="22" xfId="0" applyNumberFormat="1" applyFont="1" applyFill="1" applyBorder="1" applyAlignment="1" applyProtection="1">
      <alignment horizontal="center"/>
      <protection locked="0"/>
    </xf>
    <xf numFmtId="179" fontId="78" fillId="39" borderId="0" xfId="0" applyFont="1" applyFill="1" applyAlignment="1" applyProtection="1">
      <alignment/>
      <protection/>
    </xf>
    <xf numFmtId="179" fontId="2" fillId="39" borderId="0" xfId="0" applyFont="1" applyFill="1" applyBorder="1" applyAlignment="1" applyProtection="1">
      <alignment vertical="top"/>
      <protection/>
    </xf>
    <xf numFmtId="179" fontId="4" fillId="39" borderId="0" xfId="0" applyFont="1" applyFill="1" applyBorder="1" applyAlignment="1" applyProtection="1">
      <alignment/>
      <protection/>
    </xf>
    <xf numFmtId="179" fontId="3" fillId="39" borderId="10" xfId="0" applyFont="1" applyFill="1" applyBorder="1" applyAlignment="1" applyProtection="1">
      <alignment horizontal="left"/>
      <protection/>
    </xf>
    <xf numFmtId="179" fontId="4" fillId="39" borderId="24" xfId="0" applyFont="1" applyFill="1" applyBorder="1" applyAlignment="1" applyProtection="1">
      <alignment horizontal="left"/>
      <protection/>
    </xf>
    <xf numFmtId="179" fontId="2" fillId="39" borderId="10" xfId="0" applyFont="1" applyFill="1" applyBorder="1" applyAlignment="1" applyProtection="1">
      <alignment horizontal="left"/>
      <protection/>
    </xf>
    <xf numFmtId="179" fontId="4" fillId="39" borderId="0" xfId="0" applyFont="1" applyFill="1" applyAlignment="1" applyProtection="1">
      <alignment/>
      <protection/>
    </xf>
    <xf numFmtId="179" fontId="2" fillId="39" borderId="60" xfId="0" applyFont="1" applyFill="1" applyBorder="1" applyAlignment="1" applyProtection="1">
      <alignment/>
      <protection/>
    </xf>
    <xf numFmtId="179" fontId="27" fillId="39" borderId="0" xfId="0" applyFont="1" applyFill="1" applyBorder="1" applyAlignment="1" applyProtection="1">
      <alignment/>
      <protection/>
    </xf>
    <xf numFmtId="179" fontId="27" fillId="39" borderId="0" xfId="0" applyFont="1" applyFill="1" applyBorder="1" applyAlignment="1" applyProtection="1">
      <alignment horizontal="right"/>
      <protection/>
    </xf>
    <xf numFmtId="179" fontId="28" fillId="39" borderId="0" xfId="0" applyFont="1" applyFill="1" applyBorder="1" applyAlignment="1" applyProtection="1">
      <alignment/>
      <protection/>
    </xf>
    <xf numFmtId="179" fontId="27" fillId="39" borderId="60" xfId="0" applyFont="1" applyFill="1" applyBorder="1" applyAlignment="1" applyProtection="1">
      <alignment/>
      <protection/>
    </xf>
    <xf numFmtId="179" fontId="27" fillId="39" borderId="10" xfId="0" applyFont="1" applyFill="1" applyBorder="1" applyAlignment="1" applyProtection="1">
      <alignment/>
      <protection/>
    </xf>
    <xf numFmtId="179" fontId="27" fillId="39" borderId="10" xfId="0" applyFont="1" applyFill="1" applyBorder="1" applyAlignment="1" applyProtection="1">
      <alignment horizontal="right"/>
      <protection/>
    </xf>
    <xf numFmtId="178" fontId="80" fillId="37" borderId="0" xfId="0" applyNumberFormat="1" applyFont="1" applyFill="1" applyBorder="1" applyAlignment="1" applyProtection="1">
      <alignment/>
      <protection/>
    </xf>
    <xf numFmtId="178" fontId="28" fillId="39" borderId="60" xfId="0" applyNumberFormat="1" applyFont="1" applyFill="1" applyBorder="1" applyAlignment="1" applyProtection="1">
      <alignment/>
      <protection/>
    </xf>
    <xf numFmtId="179" fontId="79" fillId="39" borderId="17" xfId="0" applyFont="1" applyFill="1" applyBorder="1" applyAlignment="1" applyProtection="1">
      <alignment horizontal="right"/>
      <protection/>
    </xf>
    <xf numFmtId="197" fontId="27" fillId="34" borderId="17" xfId="66" applyNumberFormat="1" applyFont="1" applyBorder="1" applyProtection="1">
      <alignment/>
      <protection/>
    </xf>
    <xf numFmtId="179" fontId="27" fillId="39" borderId="31" xfId="0" applyFont="1" applyFill="1" applyBorder="1" applyAlignment="1" applyProtection="1">
      <alignment/>
      <protection/>
    </xf>
    <xf numFmtId="179" fontId="28" fillId="39" borderId="31" xfId="0" applyFont="1" applyFill="1" applyBorder="1" applyAlignment="1" applyProtection="1">
      <alignment horizontal="right" vertical="center"/>
      <protection/>
    </xf>
    <xf numFmtId="179" fontId="27" fillId="39" borderId="61" xfId="0" applyFont="1" applyFill="1" applyBorder="1" applyAlignment="1" applyProtection="1">
      <alignment/>
      <protection/>
    </xf>
    <xf numFmtId="179" fontId="27" fillId="39" borderId="0" xfId="0" applyFont="1" applyFill="1" applyAlignment="1" applyProtection="1">
      <alignment/>
      <protection/>
    </xf>
    <xf numFmtId="197" fontId="27" fillId="2" borderId="17" xfId="0" applyNumberFormat="1" applyFont="1" applyFill="1" applyBorder="1" applyAlignment="1" applyProtection="1">
      <alignment/>
      <protection locked="0"/>
    </xf>
    <xf numFmtId="178" fontId="28" fillId="39" borderId="0" xfId="0" applyNumberFormat="1" applyFont="1" applyFill="1" applyAlignment="1" applyProtection="1">
      <alignment/>
      <protection/>
    </xf>
    <xf numFmtId="178" fontId="80" fillId="37" borderId="0" xfId="0" applyNumberFormat="1" applyFont="1" applyFill="1" applyAlignment="1" applyProtection="1">
      <alignment/>
      <protection/>
    </xf>
    <xf numFmtId="179" fontId="27" fillId="39" borderId="0" xfId="0" applyFont="1" applyFill="1" applyAlignment="1" applyProtection="1">
      <alignment horizontal="left"/>
      <protection/>
    </xf>
    <xf numFmtId="197" fontId="27" fillId="34" borderId="31" xfId="66" applyNumberFormat="1" applyFont="1" applyBorder="1" applyProtection="1">
      <alignment/>
      <protection/>
    </xf>
    <xf numFmtId="179" fontId="27" fillId="39" borderId="17" xfId="0" applyFont="1" applyFill="1" applyBorder="1" applyAlignment="1" applyProtection="1">
      <alignment/>
      <protection/>
    </xf>
    <xf numFmtId="179" fontId="79" fillId="39" borderId="17" xfId="0" applyFont="1" applyFill="1" applyBorder="1" applyAlignment="1" applyProtection="1">
      <alignment/>
      <protection/>
    </xf>
    <xf numFmtId="179" fontId="79" fillId="39" borderId="0" xfId="0" applyFont="1" applyFill="1" applyAlignment="1" applyProtection="1">
      <alignment/>
      <protection/>
    </xf>
    <xf numFmtId="179" fontId="27" fillId="39" borderId="11" xfId="0" applyFont="1" applyFill="1" applyBorder="1" applyAlignment="1" applyProtection="1">
      <alignment/>
      <protection/>
    </xf>
    <xf numFmtId="179" fontId="79" fillId="39" borderId="11" xfId="0" applyFont="1" applyFill="1" applyBorder="1" applyAlignment="1" applyProtection="1">
      <alignment/>
      <protection/>
    </xf>
    <xf numFmtId="179" fontId="27" fillId="39" borderId="11" xfId="0" applyFont="1" applyFill="1" applyBorder="1" applyAlignment="1" applyProtection="1">
      <alignment horizontal="right"/>
      <protection/>
    </xf>
    <xf numFmtId="179" fontId="27" fillId="39" borderId="62" xfId="0" applyFont="1" applyFill="1" applyBorder="1" applyAlignment="1" applyProtection="1">
      <alignment horizontal="right"/>
      <protection/>
    </xf>
    <xf numFmtId="179" fontId="28" fillId="39" borderId="0" xfId="0" applyFont="1" applyFill="1" applyAlignment="1" applyProtection="1">
      <alignment horizontal="right"/>
      <protection/>
    </xf>
    <xf numFmtId="179" fontId="28" fillId="39" borderId="10" xfId="0" applyFont="1" applyFill="1" applyBorder="1" applyAlignment="1" applyProtection="1">
      <alignment horizontal="right"/>
      <protection/>
    </xf>
    <xf numFmtId="197" fontId="27" fillId="34" borderId="20" xfId="66" applyNumberFormat="1" applyFont="1" applyBorder="1" applyProtection="1">
      <alignment/>
      <protection/>
    </xf>
    <xf numFmtId="179" fontId="27" fillId="39" borderId="49" xfId="0" applyFont="1" applyFill="1" applyBorder="1" applyAlignment="1" applyProtection="1">
      <alignment/>
      <protection/>
    </xf>
    <xf numFmtId="179" fontId="28" fillId="39" borderId="49" xfId="0" applyFont="1" applyFill="1" applyBorder="1" applyAlignment="1" applyProtection="1">
      <alignment/>
      <protection/>
    </xf>
    <xf numFmtId="179" fontId="27" fillId="39" borderId="50" xfId="0" applyFont="1" applyFill="1" applyBorder="1" applyAlignment="1" applyProtection="1">
      <alignment/>
      <protection/>
    </xf>
    <xf numFmtId="179" fontId="27" fillId="34" borderId="17" xfId="0" applyFont="1" applyFill="1" applyBorder="1" applyAlignment="1" applyProtection="1">
      <alignment/>
      <protection/>
    </xf>
    <xf numFmtId="179" fontId="27" fillId="34" borderId="54" xfId="0" applyFont="1" applyFill="1" applyBorder="1" applyAlignment="1" applyProtection="1">
      <alignment/>
      <protection/>
    </xf>
    <xf numFmtId="178" fontId="28" fillId="39" borderId="0" xfId="0" applyNumberFormat="1" applyFont="1" applyFill="1" applyBorder="1" applyAlignment="1" applyProtection="1">
      <alignment/>
      <protection/>
    </xf>
    <xf numFmtId="197" fontId="27" fillId="34" borderId="54" xfId="66" applyNumberFormat="1" applyFont="1" applyBorder="1" applyProtection="1">
      <alignment/>
      <protection/>
    </xf>
    <xf numFmtId="0" fontId="3" fillId="39" borderId="0" xfId="61" applyFont="1" applyFill="1" applyAlignment="1" applyProtection="1">
      <alignment horizontal="right"/>
      <protection/>
    </xf>
    <xf numFmtId="179" fontId="61" fillId="39" borderId="0" xfId="58" applyFont="1" applyFill="1" applyAlignment="1" applyProtection="1">
      <alignment horizontal="left" wrapText="1"/>
      <protection/>
    </xf>
    <xf numFmtId="179" fontId="61" fillId="39" borderId="0" xfId="58" applyFont="1" applyFill="1" applyAlignment="1" applyProtection="1">
      <alignment horizontal="left"/>
      <protection/>
    </xf>
    <xf numFmtId="0" fontId="55" fillId="39" borderId="0" xfId="61" applyFont="1" applyFill="1" applyAlignment="1" applyProtection="1">
      <alignment vertical="top"/>
      <protection/>
    </xf>
    <xf numFmtId="179" fontId="3" fillId="43" borderId="14" xfId="0" applyFont="1" applyFill="1" applyBorder="1" applyAlignment="1" applyProtection="1">
      <alignment/>
      <protection/>
    </xf>
    <xf numFmtId="1" fontId="27" fillId="2" borderId="10" xfId="0" applyNumberFormat="1" applyFont="1" applyFill="1" applyBorder="1" applyAlignment="1" applyProtection="1">
      <alignment/>
      <protection locked="0"/>
    </xf>
    <xf numFmtId="179" fontId="0" fillId="39" borderId="0" xfId="0" applyFont="1" applyFill="1" applyBorder="1" applyAlignment="1" applyProtection="1">
      <alignment/>
      <protection/>
    </xf>
    <xf numFmtId="178" fontId="3" fillId="43" borderId="0" xfId="0" applyNumberFormat="1" applyFont="1" applyFill="1" applyBorder="1" applyAlignment="1" applyProtection="1">
      <alignment horizontal="center"/>
      <protection/>
    </xf>
    <xf numFmtId="178" fontId="9" fillId="37" borderId="0" xfId="0" applyNumberFormat="1" applyFont="1" applyFill="1" applyBorder="1" applyAlignment="1" applyProtection="1" quotePrefix="1">
      <alignment/>
      <protection/>
    </xf>
    <xf numFmtId="179" fontId="71" fillId="43" borderId="48" xfId="0" applyFont="1" applyFill="1" applyBorder="1" applyAlignment="1" applyProtection="1">
      <alignment vertical="center"/>
      <protection/>
    </xf>
    <xf numFmtId="179" fontId="3" fillId="43" borderId="49" xfId="0" applyFont="1" applyFill="1" applyBorder="1" applyAlignment="1" applyProtection="1">
      <alignment horizontal="right"/>
      <protection/>
    </xf>
    <xf numFmtId="179" fontId="3" fillId="43" borderId="49" xfId="0" applyFont="1" applyFill="1" applyBorder="1" applyAlignment="1" applyProtection="1">
      <alignment horizontal="center"/>
      <protection/>
    </xf>
    <xf numFmtId="178" fontId="3" fillId="43" borderId="50" xfId="0" applyNumberFormat="1" applyFont="1" applyFill="1" applyBorder="1" applyAlignment="1" applyProtection="1">
      <alignment horizontal="center"/>
      <protection/>
    </xf>
    <xf numFmtId="179" fontId="2" fillId="43" borderId="63" xfId="0" applyFont="1" applyFill="1" applyBorder="1" applyAlignment="1" applyProtection="1">
      <alignment/>
      <protection/>
    </xf>
    <xf numFmtId="178" fontId="3" fillId="43" borderId="60" xfId="0" applyNumberFormat="1" applyFont="1" applyFill="1" applyBorder="1" applyAlignment="1" applyProtection="1">
      <alignment horizontal="center"/>
      <protection/>
    </xf>
    <xf numFmtId="179" fontId="2" fillId="43" borderId="64" xfId="0" applyFont="1" applyFill="1" applyBorder="1" applyAlignment="1" applyProtection="1">
      <alignment/>
      <protection/>
    </xf>
    <xf numFmtId="179" fontId="2" fillId="43" borderId="65" xfId="0" applyFont="1" applyFill="1" applyBorder="1" applyAlignment="1" applyProtection="1">
      <alignment/>
      <protection/>
    </xf>
    <xf numFmtId="179" fontId="3" fillId="43" borderId="65" xfId="0" applyFont="1" applyFill="1" applyBorder="1" applyAlignment="1" applyProtection="1">
      <alignment/>
      <protection/>
    </xf>
    <xf numFmtId="179" fontId="2" fillId="43" borderId="60" xfId="0" applyFont="1" applyFill="1" applyBorder="1" applyAlignment="1" applyProtection="1">
      <alignment horizontal="center"/>
      <protection/>
    </xf>
    <xf numFmtId="179" fontId="2" fillId="43" borderId="66" xfId="0" applyFont="1" applyFill="1" applyBorder="1" applyAlignment="1" applyProtection="1">
      <alignment/>
      <protection/>
    </xf>
    <xf numFmtId="179" fontId="2" fillId="43" borderId="31" xfId="0" applyFont="1" applyFill="1" applyBorder="1" applyAlignment="1" applyProtection="1">
      <alignment/>
      <protection/>
    </xf>
    <xf numFmtId="179" fontId="3" fillId="43" borderId="31" xfId="0" applyFont="1" applyFill="1" applyBorder="1" applyAlignment="1" applyProtection="1">
      <alignment horizontal="center"/>
      <protection/>
    </xf>
    <xf numFmtId="179" fontId="3" fillId="43" borderId="31" xfId="0" applyFont="1" applyFill="1" applyBorder="1" applyAlignment="1" applyProtection="1">
      <alignment horizontal="right"/>
      <protection/>
    </xf>
    <xf numFmtId="178" fontId="3" fillId="43" borderId="61" xfId="0" applyNumberFormat="1" applyFont="1" applyFill="1" applyBorder="1" applyAlignment="1" applyProtection="1">
      <alignment/>
      <protection/>
    </xf>
    <xf numFmtId="49" fontId="0" fillId="2" borderId="17" xfId="0" applyNumberFormat="1" applyBorder="1" applyAlignment="1" applyProtection="1">
      <alignment horizontal="center" vertical="center" shrinkToFit="1"/>
      <protection locked="0"/>
    </xf>
    <xf numFmtId="179" fontId="38" fillId="45" borderId="17" xfId="0" applyFont="1" applyFill="1" applyBorder="1" applyAlignment="1" applyProtection="1">
      <alignment/>
      <protection/>
    </xf>
    <xf numFmtId="179" fontId="4" fillId="43" borderId="17" xfId="0" applyFont="1" applyFill="1" applyBorder="1" applyAlignment="1" applyProtection="1">
      <alignment/>
      <protection/>
    </xf>
    <xf numFmtId="179" fontId="38" fillId="45" borderId="11" xfId="0" applyFont="1" applyFill="1" applyBorder="1" applyAlignment="1" applyProtection="1">
      <alignment/>
      <protection/>
    </xf>
    <xf numFmtId="49" fontId="0" fillId="2" borderId="17" xfId="0" applyNumberFormat="1" applyBorder="1" applyAlignment="1" applyProtection="1">
      <alignment horizontal="center" vertical="center"/>
      <protection locked="0"/>
    </xf>
    <xf numFmtId="179" fontId="38" fillId="43" borderId="13" xfId="0" applyFont="1" applyFill="1" applyBorder="1" applyAlignment="1" applyProtection="1">
      <alignment horizontal="right"/>
      <protection/>
    </xf>
    <xf numFmtId="179" fontId="0" fillId="43" borderId="14" xfId="0" applyFill="1" applyBorder="1" applyAlignment="1" applyProtection="1">
      <alignment/>
      <protection/>
    </xf>
    <xf numFmtId="179" fontId="0" fillId="43" borderId="12" xfId="0" applyFill="1" applyBorder="1" applyAlignment="1" applyProtection="1">
      <alignment/>
      <protection/>
    </xf>
    <xf numFmtId="179" fontId="0" fillId="43" borderId="0" xfId="0" applyFill="1" applyBorder="1" applyAlignment="1" applyProtection="1">
      <alignment/>
      <protection/>
    </xf>
    <xf numFmtId="179" fontId="0" fillId="43" borderId="17" xfId="0" applyFill="1" applyBorder="1" applyAlignment="1" applyProtection="1">
      <alignment/>
      <protection/>
    </xf>
    <xf numFmtId="179" fontId="38" fillId="43" borderId="0" xfId="0" applyFont="1" applyFill="1" applyBorder="1" applyAlignment="1" applyProtection="1" quotePrefix="1">
      <alignment/>
      <protection/>
    </xf>
    <xf numFmtId="179" fontId="0" fillId="43" borderId="18" xfId="0" applyFill="1" applyBorder="1" applyAlignment="1" applyProtection="1">
      <alignment/>
      <protection/>
    </xf>
    <xf numFmtId="179" fontId="0" fillId="43" borderId="11" xfId="0" applyFill="1" applyBorder="1" applyAlignment="1" applyProtection="1">
      <alignment/>
      <protection/>
    </xf>
    <xf numFmtId="179" fontId="38" fillId="43" borderId="17" xfId="0" applyFont="1" applyFill="1" applyBorder="1" applyAlignment="1" applyProtection="1" quotePrefix="1">
      <alignment/>
      <protection/>
    </xf>
    <xf numFmtId="179" fontId="0" fillId="43" borderId="15" xfId="0" applyFill="1" applyBorder="1" applyAlignment="1" applyProtection="1">
      <alignment/>
      <protection/>
    </xf>
    <xf numFmtId="179" fontId="38" fillId="43" borderId="16" xfId="0" applyFont="1" applyFill="1" applyBorder="1" applyAlignment="1" applyProtection="1" quotePrefix="1">
      <alignment/>
      <protection/>
    </xf>
    <xf numFmtId="179" fontId="38" fillId="43" borderId="16" xfId="0" applyFont="1" applyFill="1" applyBorder="1" applyAlignment="1" applyProtection="1">
      <alignment/>
      <protection/>
    </xf>
    <xf numFmtId="179" fontId="38" fillId="43" borderId="19" xfId="0" applyFont="1" applyFill="1" applyBorder="1" applyAlignment="1" applyProtection="1" quotePrefix="1">
      <alignment/>
      <protection/>
    </xf>
    <xf numFmtId="0" fontId="21" fillId="39" borderId="17" xfId="59" applyFont="1" applyFill="1" applyBorder="1" applyAlignment="1">
      <alignment horizontal="center"/>
      <protection/>
    </xf>
    <xf numFmtId="179" fontId="17" fillId="39" borderId="0" xfId="0" applyFont="1" applyFill="1" applyAlignment="1" applyProtection="1">
      <alignment horizontal="left"/>
      <protection hidden="1"/>
    </xf>
    <xf numFmtId="179" fontId="67" fillId="43" borderId="0" xfId="53" applyNumberFormat="1" applyFont="1" applyFill="1" applyAlignment="1" applyProtection="1">
      <alignment/>
      <protection hidden="1"/>
    </xf>
    <xf numFmtId="179" fontId="2" fillId="39" borderId="0" xfId="0" applyFont="1" applyFill="1" applyBorder="1" applyAlignment="1" applyProtection="1">
      <alignment wrapText="1"/>
      <protection/>
    </xf>
    <xf numFmtId="179" fontId="2" fillId="39" borderId="0" xfId="0" applyFont="1" applyFill="1" applyBorder="1" applyAlignment="1" applyProtection="1">
      <alignment/>
      <protection/>
    </xf>
    <xf numFmtId="179" fontId="3" fillId="39" borderId="17" xfId="0" applyFont="1" applyFill="1" applyBorder="1" applyAlignment="1" applyProtection="1">
      <alignment horizontal="left"/>
      <protection/>
    </xf>
    <xf numFmtId="179" fontId="67" fillId="39" borderId="18" xfId="53" applyNumberFormat="1" applyFont="1" applyFill="1" applyBorder="1" applyAlignment="1" applyProtection="1">
      <alignment/>
      <protection/>
    </xf>
    <xf numFmtId="179" fontId="67" fillId="39" borderId="30" xfId="53" applyNumberFormat="1" applyFont="1" applyFill="1" applyBorder="1" applyAlignment="1" applyProtection="1">
      <alignment/>
      <protection/>
    </xf>
    <xf numFmtId="179" fontId="38" fillId="39" borderId="0" xfId="0" applyFont="1" applyFill="1" applyAlignment="1">
      <alignment horizontal="center"/>
    </xf>
    <xf numFmtId="179" fontId="0" fillId="39" borderId="0" xfId="0" applyFont="1" applyFill="1" applyAlignment="1">
      <alignment horizontal="center"/>
    </xf>
    <xf numFmtId="179" fontId="67" fillId="39" borderId="11" xfId="53" applyNumberFormat="1" applyFont="1" applyFill="1" applyBorder="1" applyAlignment="1" applyProtection="1">
      <alignment/>
      <protection/>
    </xf>
    <xf numFmtId="179" fontId="28" fillId="39" borderId="0" xfId="0" applyFont="1" applyFill="1" applyAlignment="1" applyProtection="1">
      <alignment/>
      <protection hidden="1"/>
    </xf>
    <xf numFmtId="0" fontId="1" fillId="0" borderId="0" xfId="61" applyAlignment="1">
      <alignment horizontal="center"/>
      <protection/>
    </xf>
    <xf numFmtId="179" fontId="31" fillId="39" borderId="0" xfId="0" applyFont="1" applyFill="1" applyAlignment="1">
      <alignment horizontal="center" vertical="center"/>
    </xf>
    <xf numFmtId="0" fontId="10" fillId="42" borderId="0" xfId="62" applyFont="1" applyFill="1" applyBorder="1" applyAlignment="1" applyProtection="1">
      <alignment horizontal="center"/>
      <protection/>
    </xf>
    <xf numFmtId="0" fontId="41" fillId="42" borderId="0" xfId="62" applyFont="1" applyFill="1" applyBorder="1" applyAlignment="1" applyProtection="1">
      <alignment horizontal="center"/>
      <protection/>
    </xf>
    <xf numFmtId="0" fontId="23" fillId="0" borderId="0" xfId="62" applyFont="1">
      <alignment/>
      <protection/>
    </xf>
    <xf numFmtId="49" fontId="29" fillId="39" borderId="0" xfId="58" applyNumberFormat="1" applyFont="1" applyFill="1" applyAlignment="1" applyProtection="1">
      <alignment horizontal="center" vertical="center"/>
      <protection/>
    </xf>
    <xf numFmtId="179" fontId="0" fillId="39" borderId="0" xfId="58" applyFont="1" applyFill="1" applyProtection="1">
      <alignment/>
      <protection/>
    </xf>
    <xf numFmtId="179" fontId="31" fillId="39" borderId="0" xfId="58" applyFont="1" applyFill="1" applyProtection="1">
      <alignment/>
      <protection/>
    </xf>
    <xf numFmtId="179" fontId="46" fillId="39" borderId="0" xfId="0" applyFont="1" applyFill="1" applyBorder="1" applyAlignment="1" applyProtection="1">
      <alignment horizontal="left"/>
      <protection/>
    </xf>
    <xf numFmtId="179" fontId="47" fillId="39" borderId="0" xfId="0" applyFont="1" applyFill="1" applyBorder="1" applyAlignment="1" applyProtection="1">
      <alignment horizontal="left"/>
      <protection/>
    </xf>
    <xf numFmtId="179" fontId="24" fillId="39" borderId="0" xfId="0" applyFont="1" applyFill="1" applyBorder="1" applyAlignment="1" applyProtection="1">
      <alignment horizontal="center"/>
      <protection/>
    </xf>
    <xf numFmtId="179" fontId="38" fillId="39" borderId="0" xfId="58" applyFont="1" applyFill="1" applyProtection="1">
      <alignment/>
      <protection/>
    </xf>
    <xf numFmtId="49" fontId="31" fillId="39" borderId="0" xfId="58" applyNumberFormat="1" applyFont="1" applyFill="1" applyAlignment="1" applyProtection="1">
      <alignment horizontal="center" vertical="center"/>
      <protection/>
    </xf>
    <xf numFmtId="49" fontId="38" fillId="39" borderId="0" xfId="58" applyNumberFormat="1" applyFont="1" applyFill="1" applyAlignment="1" applyProtection="1">
      <alignment horizontal="center" vertical="center"/>
      <protection/>
    </xf>
    <xf numFmtId="49" fontId="7" fillId="0" borderId="0" xfId="58" applyNumberFormat="1" applyFont="1" applyFill="1" applyBorder="1" applyAlignment="1" applyProtection="1">
      <alignment horizontal="center" vertical="center"/>
      <protection/>
    </xf>
    <xf numFmtId="49" fontId="7" fillId="0" borderId="0" xfId="58" applyNumberFormat="1" applyFont="1" applyFill="1" applyBorder="1" applyAlignment="1" applyProtection="1">
      <alignment horizontal="center" vertical="center" shrinkToFit="1"/>
      <protection/>
    </xf>
    <xf numFmtId="179" fontId="4" fillId="0" borderId="0" xfId="58" applyFont="1" applyFill="1" applyBorder="1" applyAlignment="1" applyProtection="1">
      <alignment horizontal="center" vertical="center" wrapText="1"/>
      <protection/>
    </xf>
    <xf numFmtId="1" fontId="4" fillId="39" borderId="0" xfId="58" applyNumberFormat="1" applyFont="1" applyFill="1" applyBorder="1" applyAlignment="1" applyProtection="1">
      <alignment horizontal="center" vertical="center"/>
      <protection/>
    </xf>
    <xf numFmtId="1" fontId="4" fillId="39" borderId="0" xfId="58" applyNumberFormat="1" applyFont="1" applyFill="1" applyProtection="1">
      <alignment/>
      <protection/>
    </xf>
    <xf numFmtId="49" fontId="4" fillId="39" borderId="0" xfId="58" applyNumberFormat="1" applyFont="1" applyFill="1" applyBorder="1" applyAlignment="1" applyProtection="1">
      <alignment horizontal="center"/>
      <protection/>
    </xf>
    <xf numFmtId="179" fontId="5" fillId="39" borderId="0" xfId="58" applyFont="1" applyFill="1" applyAlignment="1" applyProtection="1">
      <alignment horizontal="right"/>
      <protection/>
    </xf>
    <xf numFmtId="0" fontId="82" fillId="39" borderId="0" xfId="60" applyFont="1" applyFill="1">
      <alignment/>
      <protection/>
    </xf>
    <xf numFmtId="1" fontId="2" fillId="34" borderId="20" xfId="66" applyNumberFormat="1" applyBorder="1" applyAlignment="1" applyProtection="1">
      <alignment horizontal="center"/>
      <protection locked="0"/>
    </xf>
    <xf numFmtId="197" fontId="2" fillId="34" borderId="17" xfId="66" applyNumberFormat="1" applyBorder="1" applyProtection="1">
      <alignment/>
      <protection locked="0"/>
    </xf>
    <xf numFmtId="49" fontId="5" fillId="39" borderId="0" xfId="58" applyNumberFormat="1" applyFont="1" applyFill="1" applyBorder="1" applyAlignment="1" applyProtection="1">
      <alignment horizontal="center" vertical="center"/>
      <protection/>
    </xf>
    <xf numFmtId="179" fontId="5" fillId="39" borderId="0" xfId="58" applyFont="1" applyFill="1" applyAlignment="1" applyProtection="1">
      <alignment horizontal="center"/>
      <protection/>
    </xf>
    <xf numFmtId="1" fontId="0" fillId="2" borderId="17" xfId="0" applyNumberFormat="1" applyBorder="1" applyAlignment="1" applyProtection="1">
      <alignment horizontal="center"/>
      <protection locked="0"/>
    </xf>
    <xf numFmtId="179" fontId="16" fillId="39" borderId="13" xfId="0" applyFont="1" applyFill="1" applyBorder="1" applyAlignment="1" applyProtection="1">
      <alignment horizontal="center"/>
      <protection hidden="1"/>
    </xf>
    <xf numFmtId="179" fontId="2" fillId="43" borderId="0" xfId="0" applyFont="1" applyFill="1" applyAlignment="1" applyProtection="1">
      <alignment/>
      <protection/>
    </xf>
    <xf numFmtId="197" fontId="4" fillId="2" borderId="16" xfId="58" applyNumberFormat="1" applyFont="1" applyFill="1" applyBorder="1" applyAlignment="1" applyProtection="1">
      <alignment horizontal="right"/>
      <protection locked="0"/>
    </xf>
    <xf numFmtId="179" fontId="7" fillId="34" borderId="16" xfId="58" applyFont="1" applyFill="1" applyBorder="1" applyAlignment="1" applyProtection="1">
      <alignment horizontal="right"/>
      <protection/>
    </xf>
    <xf numFmtId="179" fontId="7" fillId="34" borderId="29" xfId="58" applyFont="1" applyFill="1" applyBorder="1" applyAlignment="1" applyProtection="1">
      <alignment horizontal="right"/>
      <protection/>
    </xf>
    <xf numFmtId="1" fontId="2" fillId="34" borderId="10" xfId="0" applyNumberFormat="1" applyFont="1" applyFill="1" applyBorder="1" applyAlignment="1" applyProtection="1">
      <alignment/>
      <protection/>
    </xf>
    <xf numFmtId="1" fontId="9" fillId="39" borderId="0" xfId="0" applyNumberFormat="1" applyFont="1" applyFill="1" applyAlignment="1" applyProtection="1">
      <alignment horizontal="center"/>
      <protection hidden="1"/>
    </xf>
    <xf numFmtId="179" fontId="85" fillId="39" borderId="0" xfId="0" applyFont="1" applyFill="1" applyAlignment="1" applyProtection="1">
      <alignment/>
      <protection hidden="1"/>
    </xf>
    <xf numFmtId="179" fontId="86" fillId="39" borderId="0" xfId="0" applyFont="1" applyFill="1" applyAlignment="1" applyProtection="1">
      <alignment horizontal="right"/>
      <protection hidden="1"/>
    </xf>
    <xf numFmtId="179" fontId="9" fillId="39" borderId="0" xfId="0" applyFont="1" applyFill="1" applyAlignment="1" applyProtection="1">
      <alignment horizontal="right"/>
      <protection hidden="1"/>
    </xf>
    <xf numFmtId="179" fontId="9" fillId="39" borderId="0" xfId="0" applyFont="1" applyFill="1" applyAlignment="1" applyProtection="1">
      <alignment/>
      <protection hidden="1"/>
    </xf>
    <xf numFmtId="179" fontId="73" fillId="39" borderId="0" xfId="0" applyFont="1" applyFill="1" applyAlignment="1" applyProtection="1">
      <alignment/>
      <protection hidden="1"/>
    </xf>
    <xf numFmtId="179" fontId="9" fillId="39" borderId="0" xfId="0" applyFont="1" applyFill="1" applyAlignment="1" applyProtection="1">
      <alignment horizontal="center" shrinkToFit="1"/>
      <protection hidden="1"/>
    </xf>
    <xf numFmtId="179" fontId="52" fillId="39" borderId="0" xfId="0" applyFont="1" applyFill="1" applyBorder="1" applyAlignment="1" applyProtection="1">
      <alignment horizontal="right"/>
      <protection hidden="1"/>
    </xf>
    <xf numFmtId="179" fontId="9" fillId="39" borderId="0" xfId="0" applyFont="1" applyFill="1" applyAlignment="1" applyProtection="1">
      <alignment shrinkToFit="1"/>
      <protection hidden="1"/>
    </xf>
    <xf numFmtId="179" fontId="73" fillId="39" borderId="0" xfId="0" applyFont="1" applyFill="1" applyBorder="1" applyAlignment="1" applyProtection="1">
      <alignment horizontal="right"/>
      <protection hidden="1"/>
    </xf>
    <xf numFmtId="179" fontId="0" fillId="2" borderId="0" xfId="0" applyFont="1" applyAlignment="1">
      <alignment vertical="center"/>
    </xf>
    <xf numFmtId="179" fontId="3" fillId="43" borderId="65" xfId="0" applyFont="1" applyFill="1" applyBorder="1" applyAlignment="1" applyProtection="1">
      <alignment vertical="center"/>
      <protection/>
    </xf>
    <xf numFmtId="9" fontId="3" fillId="34" borderId="54" xfId="66" applyNumberFormat="1" applyFont="1" applyBorder="1" applyProtection="1">
      <alignment/>
      <protection/>
    </xf>
    <xf numFmtId="179" fontId="3" fillId="43" borderId="0" xfId="0" applyFont="1" applyFill="1" applyBorder="1" applyAlignment="1" applyProtection="1">
      <alignment horizontal="center"/>
      <protection/>
    </xf>
    <xf numFmtId="179" fontId="3" fillId="43" borderId="0" xfId="0" applyFont="1" applyFill="1" applyBorder="1" applyAlignment="1" applyProtection="1" quotePrefix="1">
      <alignment horizontal="center" vertical="center"/>
      <protection/>
    </xf>
    <xf numFmtId="179" fontId="0" fillId="2" borderId="0" xfId="0" applyBorder="1" applyAlignment="1" applyProtection="1">
      <alignment/>
      <protection/>
    </xf>
    <xf numFmtId="0" fontId="1" fillId="0" borderId="0" xfId="60" applyFill="1" applyBorder="1">
      <alignment/>
      <protection/>
    </xf>
    <xf numFmtId="202" fontId="62" fillId="0" borderId="0" xfId="60" applyNumberFormat="1" applyFont="1" applyFill="1" applyBorder="1" applyAlignment="1">
      <alignment/>
      <protection/>
    </xf>
    <xf numFmtId="179" fontId="0" fillId="0" borderId="0" xfId="0" applyFill="1" applyAlignment="1" applyProtection="1">
      <alignment/>
      <protection/>
    </xf>
    <xf numFmtId="0" fontId="1" fillId="0" borderId="0" xfId="61" applyFill="1">
      <alignment/>
      <protection/>
    </xf>
    <xf numFmtId="179" fontId="0" fillId="2" borderId="12" xfId="0" applyBorder="1" applyAlignment="1">
      <alignment horizontal="center"/>
    </xf>
    <xf numFmtId="179" fontId="0" fillId="2" borderId="16" xfId="0" applyBorder="1" applyAlignment="1">
      <alignment/>
    </xf>
    <xf numFmtId="179" fontId="0" fillId="2" borderId="0" xfId="0" applyAlignment="1" applyProtection="1">
      <alignment/>
      <protection hidden="1"/>
    </xf>
    <xf numFmtId="179" fontId="23" fillId="39" borderId="0" xfId="0" applyFont="1" applyFill="1" applyAlignment="1" applyProtection="1">
      <alignment wrapText="1"/>
      <protection hidden="1"/>
    </xf>
    <xf numFmtId="179" fontId="0" fillId="39" borderId="0" xfId="0" applyFill="1" applyAlignment="1" applyProtection="1">
      <alignment/>
      <protection hidden="1"/>
    </xf>
    <xf numFmtId="179" fontId="0" fillId="39" borderId="12" xfId="0" applyFill="1" applyBorder="1" applyAlignment="1">
      <alignment horizontal="center"/>
    </xf>
    <xf numFmtId="179" fontId="0" fillId="39" borderId="0" xfId="0" applyFill="1" applyAlignment="1" applyProtection="1">
      <alignment wrapText="1"/>
      <protection hidden="1"/>
    </xf>
    <xf numFmtId="179" fontId="7" fillId="39" borderId="0" xfId="0" applyFont="1" applyFill="1" applyAlignment="1" applyProtection="1">
      <alignment vertical="top"/>
      <protection hidden="1"/>
    </xf>
    <xf numFmtId="179" fontId="46" fillId="39" borderId="0" xfId="0" applyFont="1" applyFill="1" applyBorder="1" applyAlignment="1">
      <alignment/>
    </xf>
    <xf numFmtId="179" fontId="0" fillId="39" borderId="14" xfId="0" applyFont="1" applyFill="1" applyBorder="1" applyAlignment="1">
      <alignment horizontal="left"/>
    </xf>
    <xf numFmtId="179" fontId="0" fillId="39" borderId="0" xfId="0" applyFont="1" applyFill="1" applyBorder="1" applyAlignment="1">
      <alignment horizontal="left"/>
    </xf>
    <xf numFmtId="0" fontId="62" fillId="36" borderId="13" xfId="60" applyFont="1" applyFill="1" applyBorder="1">
      <alignment/>
      <protection/>
    </xf>
    <xf numFmtId="0" fontId="62" fillId="36" borderId="14" xfId="60" applyFont="1" applyFill="1" applyBorder="1">
      <alignment/>
      <protection/>
    </xf>
    <xf numFmtId="0" fontId="80" fillId="36" borderId="14" xfId="60" applyFont="1" applyFill="1" applyBorder="1">
      <alignment/>
      <protection/>
    </xf>
    <xf numFmtId="0" fontId="62" fillId="36" borderId="15" xfId="60" applyFont="1" applyFill="1" applyBorder="1">
      <alignment/>
      <protection/>
    </xf>
    <xf numFmtId="0" fontId="80" fillId="36" borderId="14" xfId="60" applyFont="1" applyFill="1" applyBorder="1" applyAlignment="1">
      <alignment horizontal="center"/>
      <protection/>
    </xf>
    <xf numFmtId="0" fontId="62" fillId="36" borderId="12" xfId="60" applyFont="1" applyFill="1" applyBorder="1">
      <alignment/>
      <protection/>
    </xf>
    <xf numFmtId="0" fontId="62" fillId="36" borderId="0" xfId="60" applyFont="1" applyFill="1" applyBorder="1">
      <alignment/>
      <protection/>
    </xf>
    <xf numFmtId="0" fontId="62" fillId="36" borderId="16" xfId="60" applyFont="1" applyFill="1" applyBorder="1">
      <alignment/>
      <protection/>
    </xf>
    <xf numFmtId="0" fontId="80" fillId="36" borderId="0" xfId="60" applyFont="1" applyFill="1" applyBorder="1" applyAlignment="1">
      <alignment horizontal="center"/>
      <protection/>
    </xf>
    <xf numFmtId="0" fontId="80" fillId="36" borderId="0" xfId="60" applyFont="1" applyFill="1" applyBorder="1">
      <alignment/>
      <protection/>
    </xf>
    <xf numFmtId="0" fontId="88" fillId="36" borderId="0" xfId="60" applyFont="1" applyFill="1" applyBorder="1">
      <alignment/>
      <protection/>
    </xf>
    <xf numFmtId="49" fontId="24" fillId="39" borderId="0" xfId="60" applyNumberFormat="1" applyFont="1" applyFill="1" applyBorder="1">
      <alignment/>
      <protection/>
    </xf>
    <xf numFmtId="0" fontId="62" fillId="36" borderId="0" xfId="60" applyFont="1" applyFill="1">
      <alignment/>
      <protection/>
    </xf>
    <xf numFmtId="0" fontId="62" fillId="39" borderId="0" xfId="60" applyFont="1" applyFill="1">
      <alignment/>
      <protection/>
    </xf>
    <xf numFmtId="0" fontId="62" fillId="36" borderId="61" xfId="60" applyFont="1" applyFill="1" applyBorder="1">
      <alignment/>
      <protection/>
    </xf>
    <xf numFmtId="0" fontId="1" fillId="39" borderId="67" xfId="60" applyFill="1" applyBorder="1">
      <alignment/>
      <protection/>
    </xf>
    <xf numFmtId="0" fontId="1" fillId="39" borderId="0" xfId="60" applyFont="1" applyFill="1" applyBorder="1" applyAlignment="1">
      <alignment horizontal="right"/>
      <protection/>
    </xf>
    <xf numFmtId="0" fontId="21" fillId="39" borderId="18" xfId="60" applyFont="1" applyFill="1" applyBorder="1">
      <alignment/>
      <protection/>
    </xf>
    <xf numFmtId="0" fontId="1" fillId="39" borderId="63" xfId="60" applyFill="1" applyBorder="1">
      <alignment/>
      <protection/>
    </xf>
    <xf numFmtId="0" fontId="1" fillId="39" borderId="68" xfId="60" applyFill="1" applyBorder="1">
      <alignment/>
      <protection/>
    </xf>
    <xf numFmtId="0" fontId="1" fillId="0" borderId="48" xfId="60" applyFill="1" applyBorder="1">
      <alignment/>
      <protection/>
    </xf>
    <xf numFmtId="0" fontId="1" fillId="0" borderId="49" xfId="60" applyFill="1" applyBorder="1">
      <alignment/>
      <protection/>
    </xf>
    <xf numFmtId="0" fontId="1" fillId="0" borderId="50" xfId="60" applyFill="1" applyBorder="1">
      <alignment/>
      <protection/>
    </xf>
    <xf numFmtId="0" fontId="1" fillId="0" borderId="65" xfId="60" applyFill="1" applyBorder="1">
      <alignment/>
      <protection/>
    </xf>
    <xf numFmtId="0" fontId="26" fillId="0" borderId="0" xfId="60" applyFont="1" applyFill="1" applyBorder="1" applyAlignment="1">
      <alignment horizontal="left"/>
      <protection/>
    </xf>
    <xf numFmtId="0" fontId="22" fillId="0" borderId="0" xfId="60" applyFont="1" applyFill="1" applyBorder="1" applyAlignment="1">
      <alignment horizontal="left"/>
      <protection/>
    </xf>
    <xf numFmtId="0" fontId="1" fillId="0" borderId="60" xfId="60" applyFill="1" applyBorder="1">
      <alignment/>
      <protection/>
    </xf>
    <xf numFmtId="0" fontId="23" fillId="0" borderId="0" xfId="60" applyFont="1" applyFill="1" applyBorder="1">
      <alignment/>
      <protection/>
    </xf>
    <xf numFmtId="0" fontId="1" fillId="0" borderId="69" xfId="60" applyFill="1" applyBorder="1">
      <alignment/>
      <protection/>
    </xf>
    <xf numFmtId="0" fontId="23" fillId="0" borderId="0" xfId="60" applyFont="1" applyFill="1" applyBorder="1" applyAlignment="1">
      <alignment horizontal="right"/>
      <protection/>
    </xf>
    <xf numFmtId="0" fontId="23" fillId="0" borderId="0" xfId="60" applyFont="1" applyFill="1" applyBorder="1" quotePrefix="1">
      <alignment/>
      <protection/>
    </xf>
    <xf numFmtId="0" fontId="1" fillId="0" borderId="66" xfId="60" applyFill="1" applyBorder="1">
      <alignment/>
      <protection/>
    </xf>
    <xf numFmtId="0" fontId="23" fillId="0" borderId="31" xfId="60" applyFont="1" applyFill="1" applyBorder="1">
      <alignment/>
      <protection/>
    </xf>
    <xf numFmtId="0" fontId="1" fillId="0" borderId="31" xfId="60" applyFill="1" applyBorder="1">
      <alignment/>
      <protection/>
    </xf>
    <xf numFmtId="0" fontId="1" fillId="0" borderId="61" xfId="60" applyFill="1" applyBorder="1">
      <alignment/>
      <protection/>
    </xf>
    <xf numFmtId="0" fontId="21" fillId="0" borderId="0" xfId="60" applyFont="1" applyFill="1" applyBorder="1" applyProtection="1">
      <alignment/>
      <protection/>
    </xf>
    <xf numFmtId="0" fontId="89" fillId="0" borderId="0" xfId="60" applyFont="1" applyFill="1" applyBorder="1" applyAlignment="1">
      <alignment horizontal="right"/>
      <protection/>
    </xf>
    <xf numFmtId="0" fontId="1" fillId="39" borderId="0" xfId="60" applyFont="1" applyFill="1" applyAlignment="1">
      <alignment vertical="top"/>
      <protection/>
    </xf>
    <xf numFmtId="0" fontId="23" fillId="0" borderId="0" xfId="60" applyFont="1" applyFill="1" applyBorder="1">
      <alignment/>
      <protection/>
    </xf>
    <xf numFmtId="0" fontId="61" fillId="39" borderId="0" xfId="60" applyFont="1" applyFill="1">
      <alignment/>
      <protection/>
    </xf>
    <xf numFmtId="0" fontId="10" fillId="39" borderId="0" xfId="60" applyFont="1" applyFill="1" applyAlignment="1">
      <alignment horizontal="center"/>
      <protection/>
    </xf>
    <xf numFmtId="0" fontId="1" fillId="40" borderId="22" xfId="60" applyFill="1" applyBorder="1">
      <alignment/>
      <protection/>
    </xf>
    <xf numFmtId="0" fontId="1" fillId="40" borderId="19" xfId="60" applyFill="1" applyBorder="1">
      <alignment/>
      <protection/>
    </xf>
    <xf numFmtId="0" fontId="21" fillId="39" borderId="14" xfId="60" applyFont="1" applyFill="1" applyBorder="1">
      <alignment/>
      <protection/>
    </xf>
    <xf numFmtId="0" fontId="1" fillId="39" borderId="13" xfId="60" applyFont="1" applyFill="1" applyBorder="1">
      <alignment/>
      <protection/>
    </xf>
    <xf numFmtId="197" fontId="7" fillId="34" borderId="17" xfId="66" applyNumberFormat="1" applyFont="1" applyBorder="1" applyAlignment="1" applyProtection="1">
      <alignment horizontal="center"/>
      <protection/>
    </xf>
    <xf numFmtId="197" fontId="7" fillId="34" borderId="17" xfId="66" applyNumberFormat="1" applyFont="1" applyBorder="1" applyAlignment="1" applyProtection="1">
      <alignment horizontal="right"/>
      <protection/>
    </xf>
    <xf numFmtId="197" fontId="7" fillId="2" borderId="54" xfId="66" applyNumberFormat="1" applyFont="1" applyFill="1" applyBorder="1" applyAlignment="1" applyProtection="1">
      <alignment horizontal="right"/>
      <protection locked="0"/>
    </xf>
    <xf numFmtId="197" fontId="7" fillId="2" borderId="31" xfId="0" applyNumberFormat="1" applyFont="1" applyFill="1" applyBorder="1" applyAlignment="1" applyProtection="1">
      <alignment horizontal="right"/>
      <protection locked="0"/>
    </xf>
    <xf numFmtId="2" fontId="25" fillId="39" borderId="0" xfId="60" applyNumberFormat="1" applyFont="1" applyFill="1" applyBorder="1" applyAlignment="1" applyProtection="1">
      <alignment horizontal="right"/>
      <protection/>
    </xf>
    <xf numFmtId="0" fontId="24" fillId="39" borderId="0" xfId="60" applyFont="1" applyFill="1" applyBorder="1" applyAlignment="1" applyProtection="1">
      <alignment horizontal="left" vertical="center"/>
      <protection/>
    </xf>
    <xf numFmtId="0" fontId="26" fillId="0" borderId="0" xfId="60" applyFont="1" applyFill="1" applyBorder="1" applyProtection="1">
      <alignment/>
      <protection/>
    </xf>
    <xf numFmtId="179" fontId="0" fillId="39" borderId="17" xfId="0" applyFont="1" applyFill="1" applyBorder="1" applyAlignment="1">
      <alignment/>
    </xf>
    <xf numFmtId="179" fontId="91" fillId="39" borderId="0" xfId="53" applyNumberFormat="1" applyFont="1" applyFill="1" applyAlignment="1" applyProtection="1">
      <alignment wrapText="1"/>
      <protection hidden="1"/>
    </xf>
    <xf numFmtId="179" fontId="7" fillId="39" borderId="0" xfId="0" applyFont="1" applyFill="1" applyAlignment="1" applyProtection="1">
      <alignment vertical="top" wrapText="1"/>
      <protection hidden="1"/>
    </xf>
    <xf numFmtId="179" fontId="0" fillId="39" borderId="17" xfId="0" applyFont="1" applyFill="1" applyBorder="1" applyAlignment="1">
      <alignment horizontal="center"/>
    </xf>
    <xf numFmtId="179" fontId="46" fillId="39" borderId="11" xfId="0" applyFont="1" applyFill="1" applyBorder="1" applyAlignment="1">
      <alignment horizontal="left"/>
    </xf>
    <xf numFmtId="179" fontId="0" fillId="39" borderId="11" xfId="0" applyFont="1" applyFill="1" applyBorder="1" applyAlignment="1">
      <alignment horizontal="left" vertical="center"/>
    </xf>
    <xf numFmtId="179" fontId="0" fillId="39" borderId="17" xfId="0" applyFill="1" applyBorder="1" applyAlignment="1">
      <alignment/>
    </xf>
    <xf numFmtId="179" fontId="0" fillId="39" borderId="23" xfId="0" applyFill="1" applyBorder="1" applyAlignment="1">
      <alignment horizontal="left" vertical="center"/>
    </xf>
    <xf numFmtId="178" fontId="3" fillId="39" borderId="14" xfId="0" applyNumberFormat="1" applyFont="1" applyFill="1" applyBorder="1" applyAlignment="1" applyProtection="1">
      <alignment/>
      <protection/>
    </xf>
    <xf numFmtId="179" fontId="4" fillId="2" borderId="14" xfId="0" applyFont="1" applyFill="1" applyBorder="1" applyAlignment="1" applyProtection="1">
      <alignment/>
      <protection/>
    </xf>
    <xf numFmtId="179" fontId="12" fillId="2" borderId="14" xfId="0" applyFont="1" applyFill="1" applyBorder="1" applyAlignment="1" applyProtection="1">
      <alignment/>
      <protection/>
    </xf>
    <xf numFmtId="179" fontId="2" fillId="2" borderId="14" xfId="0" applyFont="1" applyFill="1" applyBorder="1" applyAlignment="1" applyProtection="1">
      <alignment/>
      <protection/>
    </xf>
    <xf numFmtId="179" fontId="3" fillId="2" borderId="14" xfId="0" applyFont="1" applyFill="1" applyBorder="1" applyAlignment="1" applyProtection="1">
      <alignment horizontal="center"/>
      <protection/>
    </xf>
    <xf numFmtId="179" fontId="3" fillId="2" borderId="14" xfId="0" applyFont="1" applyFill="1" applyBorder="1" applyAlignment="1" applyProtection="1">
      <alignment/>
      <protection/>
    </xf>
    <xf numFmtId="178" fontId="4" fillId="2" borderId="15" xfId="0" applyNumberFormat="1" applyFont="1" applyFill="1" applyBorder="1" applyAlignment="1" applyProtection="1">
      <alignment/>
      <protection/>
    </xf>
    <xf numFmtId="179" fontId="2" fillId="2" borderId="12" xfId="0" applyFont="1" applyFill="1" applyBorder="1" applyAlignment="1" applyProtection="1">
      <alignment/>
      <protection/>
    </xf>
    <xf numFmtId="179" fontId="2" fillId="2" borderId="0" xfId="0" applyFont="1" applyFill="1" applyBorder="1" applyAlignment="1" applyProtection="1">
      <alignment/>
      <protection/>
    </xf>
    <xf numFmtId="179" fontId="12" fillId="2" borderId="0" xfId="0" applyFont="1" applyFill="1" applyBorder="1" applyAlignment="1" applyProtection="1">
      <alignment/>
      <protection/>
    </xf>
    <xf numFmtId="179" fontId="3" fillId="2" borderId="0" xfId="0" applyFont="1" applyFill="1" applyBorder="1" applyAlignment="1" applyProtection="1">
      <alignment horizontal="center"/>
      <protection/>
    </xf>
    <xf numFmtId="179" fontId="3" fillId="2" borderId="0" xfId="0" applyFont="1" applyFill="1" applyBorder="1" applyAlignment="1" applyProtection="1">
      <alignment/>
      <protection/>
    </xf>
    <xf numFmtId="178" fontId="4" fillId="2" borderId="16" xfId="0" applyNumberFormat="1" applyFont="1" applyFill="1" applyBorder="1" applyAlignment="1" applyProtection="1">
      <alignment/>
      <protection/>
    </xf>
    <xf numFmtId="179" fontId="2" fillId="2" borderId="0" xfId="0" applyFont="1" applyFill="1" applyBorder="1" applyAlignment="1" applyProtection="1">
      <alignment horizontal="right"/>
      <protection/>
    </xf>
    <xf numFmtId="179" fontId="16" fillId="2" borderId="20" xfId="0" applyNumberFormat="1" applyFont="1" applyFill="1" applyBorder="1" applyAlignment="1" applyProtection="1" quotePrefix="1">
      <alignment horizontal="center"/>
      <protection locked="0"/>
    </xf>
    <xf numFmtId="179" fontId="2" fillId="2" borderId="0" xfId="0" applyFont="1" applyFill="1" applyBorder="1" applyAlignment="1" applyProtection="1">
      <alignment horizontal="center"/>
      <protection/>
    </xf>
    <xf numFmtId="179" fontId="16" fillId="2" borderId="20" xfId="0" applyNumberFormat="1" applyFont="1" applyFill="1" applyBorder="1" applyAlignment="1" applyProtection="1">
      <alignment horizontal="center"/>
      <protection locked="0"/>
    </xf>
    <xf numFmtId="178" fontId="7" fillId="2" borderId="16" xfId="0" applyNumberFormat="1" applyFont="1" applyFill="1" applyBorder="1" applyAlignment="1" applyProtection="1" quotePrefix="1">
      <alignment/>
      <protection/>
    </xf>
    <xf numFmtId="179" fontId="2" fillId="2" borderId="17" xfId="0" applyFont="1" applyFill="1" applyBorder="1" applyAlignment="1" applyProtection="1">
      <alignment/>
      <protection/>
    </xf>
    <xf numFmtId="179" fontId="12" fillId="2" borderId="17" xfId="0" applyFont="1" applyFill="1" applyBorder="1" applyAlignment="1" applyProtection="1">
      <alignment/>
      <protection/>
    </xf>
    <xf numFmtId="179" fontId="3" fillId="2" borderId="17" xfId="0" applyFont="1" applyFill="1" applyBorder="1" applyAlignment="1" applyProtection="1">
      <alignment horizontal="center"/>
      <protection/>
    </xf>
    <xf numFmtId="179" fontId="3" fillId="2" borderId="17" xfId="0" applyFont="1" applyFill="1" applyBorder="1" applyAlignment="1" applyProtection="1">
      <alignment/>
      <protection/>
    </xf>
    <xf numFmtId="178" fontId="4" fillId="2" borderId="19" xfId="0" applyNumberFormat="1" applyFont="1" applyFill="1" applyBorder="1" applyAlignment="1" applyProtection="1">
      <alignment/>
      <protection/>
    </xf>
    <xf numFmtId="178" fontId="9" fillId="36" borderId="0" xfId="0" applyNumberFormat="1" applyFont="1" applyFill="1" applyAlignment="1" applyProtection="1">
      <alignment/>
      <protection/>
    </xf>
    <xf numFmtId="179" fontId="2" fillId="2" borderId="18" xfId="0" applyFont="1" applyFill="1" applyBorder="1" applyAlignment="1" applyProtection="1">
      <alignment vertical="center"/>
      <protection/>
    </xf>
    <xf numFmtId="179" fontId="93" fillId="39" borderId="0" xfId="0" applyFont="1" applyFill="1" applyBorder="1" applyAlignment="1" applyProtection="1">
      <alignment/>
      <protection/>
    </xf>
    <xf numFmtId="179" fontId="94" fillId="39" borderId="0" xfId="0" applyFont="1" applyFill="1" applyBorder="1" applyAlignment="1" applyProtection="1">
      <alignment horizontal="right"/>
      <protection/>
    </xf>
    <xf numFmtId="179" fontId="90" fillId="39" borderId="0" xfId="0" applyFont="1" applyFill="1" applyAlignment="1" applyProtection="1">
      <alignment/>
      <protection/>
    </xf>
    <xf numFmtId="49" fontId="46" fillId="2" borderId="17" xfId="0" applyNumberFormat="1" applyFont="1" applyBorder="1" applyAlignment="1" applyProtection="1">
      <alignment horizontal="center" vertical="center"/>
      <protection locked="0"/>
    </xf>
    <xf numFmtId="179" fontId="30" fillId="39" borderId="0" xfId="0" applyFont="1" applyFill="1" applyBorder="1" applyAlignment="1" applyProtection="1">
      <alignment horizontal="center"/>
      <protection/>
    </xf>
    <xf numFmtId="179" fontId="46" fillId="39" borderId="14" xfId="0" applyFont="1" applyFill="1" applyBorder="1" applyAlignment="1" applyProtection="1">
      <alignment horizontal="center"/>
      <protection/>
    </xf>
    <xf numFmtId="179" fontId="38" fillId="39" borderId="13" xfId="0" applyFont="1" applyFill="1" applyBorder="1" applyAlignment="1" applyProtection="1" quotePrefix="1">
      <alignment/>
      <protection/>
    </xf>
    <xf numFmtId="179" fontId="0" fillId="39" borderId="12" xfId="0" applyFill="1" applyBorder="1" applyAlignment="1" applyProtection="1">
      <alignment horizontal="center"/>
      <protection/>
    </xf>
    <xf numFmtId="179" fontId="0" fillId="39" borderId="18" xfId="0" applyFill="1" applyBorder="1" applyAlignment="1" applyProtection="1">
      <alignment horizontal="center"/>
      <protection/>
    </xf>
    <xf numFmtId="179" fontId="46" fillId="39" borderId="11" xfId="0" applyFont="1" applyFill="1" applyBorder="1" applyAlignment="1" applyProtection="1">
      <alignment horizontal="left"/>
      <protection/>
    </xf>
    <xf numFmtId="179" fontId="0" fillId="39" borderId="11" xfId="0" applyFill="1" applyBorder="1" applyAlignment="1" applyProtection="1">
      <alignment/>
      <protection/>
    </xf>
    <xf numFmtId="179" fontId="0" fillId="39" borderId="23" xfId="0" applyFill="1" applyBorder="1" applyAlignment="1" applyProtection="1">
      <alignment/>
      <protection/>
    </xf>
    <xf numFmtId="179" fontId="16" fillId="40" borderId="0" xfId="0" applyFont="1" applyFill="1" applyBorder="1" applyAlignment="1" applyProtection="1">
      <alignment/>
      <protection/>
    </xf>
    <xf numFmtId="1" fontId="2" fillId="39" borderId="17" xfId="0" applyNumberFormat="1" applyFont="1" applyFill="1" applyBorder="1" applyAlignment="1" applyProtection="1">
      <alignment horizontal="left"/>
      <protection/>
    </xf>
    <xf numFmtId="179" fontId="7" fillId="39" borderId="17" xfId="0" applyFont="1" applyFill="1" applyBorder="1" applyAlignment="1" applyProtection="1">
      <alignment/>
      <protection/>
    </xf>
    <xf numFmtId="1" fontId="2" fillId="39" borderId="11" xfId="0" applyNumberFormat="1" applyFont="1" applyFill="1" applyBorder="1" applyAlignment="1" applyProtection="1">
      <alignment horizontal="left"/>
      <protection/>
    </xf>
    <xf numFmtId="179" fontId="7" fillId="39" borderId="11" xfId="0" applyFont="1" applyFill="1" applyBorder="1" applyAlignment="1" applyProtection="1">
      <alignment/>
      <protection/>
    </xf>
    <xf numFmtId="179" fontId="2" fillId="40" borderId="0" xfId="0" applyFont="1" applyFill="1" applyBorder="1" applyAlignment="1" applyProtection="1">
      <alignment/>
      <protection/>
    </xf>
    <xf numFmtId="179" fontId="2" fillId="40" borderId="0" xfId="0" applyFont="1" applyFill="1" applyAlignment="1" applyProtection="1">
      <alignment/>
      <protection/>
    </xf>
    <xf numFmtId="1" fontId="2" fillId="40" borderId="0" xfId="0" applyNumberFormat="1" applyFont="1" applyFill="1" applyAlignment="1" applyProtection="1">
      <alignment horizontal="left"/>
      <protection/>
    </xf>
    <xf numFmtId="179" fontId="7" fillId="40" borderId="0" xfId="0" applyFont="1" applyFill="1" applyAlignment="1" applyProtection="1">
      <alignment/>
      <protection/>
    </xf>
    <xf numFmtId="179" fontId="2" fillId="38" borderId="0" xfId="0" applyFont="1" applyFill="1" applyAlignment="1" applyProtection="1">
      <alignment/>
      <protection/>
    </xf>
    <xf numFmtId="179" fontId="2" fillId="2" borderId="0" xfId="0" applyNumberFormat="1" applyFont="1" applyFill="1" applyBorder="1" applyAlignment="1" applyProtection="1">
      <alignment/>
      <protection/>
    </xf>
    <xf numFmtId="179" fontId="2" fillId="39" borderId="0" xfId="0" applyFont="1" applyFill="1" applyBorder="1" applyAlignment="1" applyProtection="1" quotePrefix="1">
      <alignment/>
      <protection/>
    </xf>
    <xf numFmtId="1" fontId="2" fillId="39" borderId="0" xfId="0" applyNumberFormat="1" applyFont="1" applyFill="1" applyBorder="1" applyAlignment="1" applyProtection="1" quotePrefix="1">
      <alignment horizontal="left"/>
      <protection/>
    </xf>
    <xf numFmtId="179" fontId="0" fillId="38" borderId="0" xfId="0" applyFill="1" applyAlignment="1">
      <alignment/>
    </xf>
    <xf numFmtId="179" fontId="0" fillId="40" borderId="0" xfId="0" applyFill="1" applyAlignment="1">
      <alignment/>
    </xf>
    <xf numFmtId="179" fontId="7" fillId="40" borderId="0" xfId="0" applyFont="1" applyFill="1" applyBorder="1" applyAlignment="1" applyProtection="1">
      <alignment/>
      <protection/>
    </xf>
    <xf numFmtId="179" fontId="2" fillId="39" borderId="0" xfId="0" applyNumberFormat="1" applyFont="1" applyFill="1" applyBorder="1" applyAlignment="1" applyProtection="1">
      <alignment/>
      <protection/>
    </xf>
    <xf numFmtId="179" fontId="31" fillId="39" borderId="0" xfId="0" applyFont="1" applyFill="1" applyBorder="1" applyAlignment="1">
      <alignment/>
    </xf>
    <xf numFmtId="179" fontId="29" fillId="39" borderId="0" xfId="0" applyFont="1" applyFill="1" applyBorder="1" applyAlignment="1">
      <alignment/>
    </xf>
    <xf numFmtId="179" fontId="7" fillId="38" borderId="0" xfId="0" applyFont="1" applyFill="1" applyBorder="1" applyAlignment="1" applyProtection="1">
      <alignment/>
      <protection/>
    </xf>
    <xf numFmtId="179" fontId="0" fillId="39" borderId="14" xfId="0" applyFill="1" applyBorder="1" applyAlignment="1">
      <alignment/>
    </xf>
    <xf numFmtId="179" fontId="4" fillId="40" borderId="0" xfId="0" applyFont="1" applyFill="1" applyBorder="1" applyAlignment="1" applyProtection="1">
      <alignment/>
      <protection/>
    </xf>
    <xf numFmtId="179" fontId="69" fillId="39" borderId="0" xfId="0" applyFont="1" applyFill="1" applyBorder="1" applyAlignment="1" applyProtection="1">
      <alignment/>
      <protection/>
    </xf>
    <xf numFmtId="179" fontId="2" fillId="39" borderId="49" xfId="0" applyFont="1" applyFill="1" applyBorder="1" applyAlignment="1" applyProtection="1">
      <alignment/>
      <protection/>
    </xf>
    <xf numFmtId="179" fontId="69" fillId="40" borderId="0" xfId="0" applyFont="1" applyFill="1" applyBorder="1" applyAlignment="1" applyProtection="1">
      <alignment/>
      <protection/>
    </xf>
    <xf numFmtId="1" fontId="2" fillId="40" borderId="0" xfId="0" applyNumberFormat="1" applyFont="1" applyFill="1" applyBorder="1" applyAlignment="1" applyProtection="1">
      <alignment horizontal="left"/>
      <protection/>
    </xf>
    <xf numFmtId="179" fontId="0" fillId="40" borderId="0" xfId="0" applyFill="1" applyBorder="1" applyAlignment="1">
      <alignment/>
    </xf>
    <xf numFmtId="197" fontId="7" fillId="39" borderId="11" xfId="66" applyNumberFormat="1" applyFont="1" applyFill="1" applyBorder="1" applyProtection="1">
      <alignment/>
      <protection/>
    </xf>
    <xf numFmtId="179" fontId="18" fillId="39" borderId="0" xfId="0" applyFont="1" applyFill="1" applyAlignment="1" applyProtection="1">
      <alignment horizontal="center"/>
      <protection/>
    </xf>
    <xf numFmtId="179" fontId="18" fillId="39" borderId="0" xfId="0" applyFont="1" applyFill="1" applyAlignment="1" applyProtection="1">
      <alignment horizontal="left"/>
      <protection/>
    </xf>
    <xf numFmtId="1" fontId="4" fillId="39" borderId="0" xfId="0" applyNumberFormat="1" applyFont="1" applyFill="1" applyBorder="1" applyAlignment="1" applyProtection="1">
      <alignment horizontal="center"/>
      <protection/>
    </xf>
    <xf numFmtId="179" fontId="27" fillId="40" borderId="0" xfId="0" applyFont="1" applyFill="1" applyBorder="1" applyAlignment="1" applyProtection="1">
      <alignment/>
      <protection/>
    </xf>
    <xf numFmtId="179" fontId="0" fillId="2" borderId="0" xfId="0" applyAlignment="1">
      <alignment/>
    </xf>
    <xf numFmtId="179" fontId="3" fillId="39" borderId="0" xfId="0" applyFont="1" applyFill="1" applyAlignment="1" applyProtection="1">
      <alignment/>
      <protection/>
    </xf>
    <xf numFmtId="178" fontId="3" fillId="39" borderId="0" xfId="0" applyNumberFormat="1" applyFont="1" applyFill="1" applyAlignment="1" applyProtection="1">
      <alignment horizontal="right"/>
      <protection/>
    </xf>
    <xf numFmtId="179" fontId="4" fillId="39" borderId="0" xfId="58" applyFont="1" applyFill="1" applyAlignment="1" applyProtection="1" quotePrefix="1">
      <alignment horizontal="center"/>
      <protection/>
    </xf>
    <xf numFmtId="179" fontId="28" fillId="39" borderId="0" xfId="58" applyFont="1" applyFill="1" applyProtection="1">
      <alignment/>
      <protection/>
    </xf>
    <xf numFmtId="179" fontId="2" fillId="39" borderId="0" xfId="0" applyFont="1" applyFill="1" applyAlignment="1" applyProtection="1" quotePrefix="1">
      <alignment/>
      <protection/>
    </xf>
    <xf numFmtId="1" fontId="2" fillId="39" borderId="0" xfId="0" applyNumberFormat="1" applyFont="1" applyFill="1" applyAlignment="1" applyProtection="1" quotePrefix="1">
      <alignment horizontal="center"/>
      <protection/>
    </xf>
    <xf numFmtId="179" fontId="2" fillId="39" borderId="0" xfId="0" applyFont="1" applyFill="1" applyAlignment="1" applyProtection="1" quotePrefix="1">
      <alignment horizontal="center"/>
      <protection/>
    </xf>
    <xf numFmtId="179" fontId="3" fillId="39" borderId="0" xfId="0" applyFont="1" applyFill="1" applyAlignment="1" applyProtection="1">
      <alignment horizontal="center"/>
      <protection/>
    </xf>
    <xf numFmtId="197" fontId="2" fillId="39" borderId="0" xfId="0" applyNumberFormat="1" applyFont="1" applyFill="1" applyBorder="1" applyAlignment="1" applyProtection="1">
      <alignment horizontal="right"/>
      <protection/>
    </xf>
    <xf numFmtId="179" fontId="2" fillId="39" borderId="0" xfId="0" applyFont="1" applyFill="1" applyAlignment="1" applyProtection="1">
      <alignment horizontal="center"/>
      <protection/>
    </xf>
    <xf numFmtId="212" fontId="2" fillId="2" borderId="20" xfId="0" applyNumberFormat="1" applyFont="1" applyFill="1" applyBorder="1" applyAlignment="1" applyProtection="1">
      <alignment/>
      <protection locked="0"/>
    </xf>
    <xf numFmtId="179" fontId="2" fillId="39" borderId="11" xfId="0" applyFont="1" applyFill="1" applyBorder="1" applyAlignment="1" applyProtection="1" quotePrefix="1">
      <alignment horizontal="center"/>
      <protection/>
    </xf>
    <xf numFmtId="178" fontId="2" fillId="39" borderId="11" xfId="0" applyNumberFormat="1" applyFont="1" applyFill="1" applyBorder="1" applyAlignment="1" applyProtection="1" quotePrefix="1">
      <alignment horizontal="center"/>
      <protection/>
    </xf>
    <xf numFmtId="178" fontId="2" fillId="39" borderId="17" xfId="0" applyNumberFormat="1" applyFont="1" applyFill="1" applyBorder="1" applyAlignment="1" applyProtection="1" quotePrefix="1">
      <alignment horizontal="center"/>
      <protection/>
    </xf>
    <xf numFmtId="178" fontId="9" fillId="36" borderId="15" xfId="0" applyNumberFormat="1" applyFont="1" applyFill="1" applyBorder="1" applyAlignment="1" applyProtection="1">
      <alignment horizontal="center"/>
      <protection/>
    </xf>
    <xf numFmtId="178" fontId="9" fillId="36" borderId="15" xfId="0" applyNumberFormat="1" applyFont="1" applyFill="1" applyBorder="1" applyAlignment="1" applyProtection="1">
      <alignment/>
      <protection/>
    </xf>
    <xf numFmtId="179" fontId="2" fillId="39" borderId="17" xfId="0" applyFont="1" applyFill="1" applyBorder="1" applyAlignment="1" applyProtection="1">
      <alignment/>
      <protection/>
    </xf>
    <xf numFmtId="179" fontId="10" fillId="39" borderId="29" xfId="0" applyFont="1" applyFill="1" applyBorder="1" applyAlignment="1" applyProtection="1">
      <alignment horizontal="center"/>
      <protection/>
    </xf>
    <xf numFmtId="179" fontId="10" fillId="39" borderId="22" xfId="0" applyFont="1" applyFill="1" applyBorder="1" applyAlignment="1" applyProtection="1">
      <alignment horizontal="center"/>
      <protection/>
    </xf>
    <xf numFmtId="197" fontId="2" fillId="2" borderId="18" xfId="0" applyNumberFormat="1" applyFont="1" applyFill="1" applyBorder="1" applyAlignment="1" applyProtection="1">
      <alignment/>
      <protection locked="0"/>
    </xf>
    <xf numFmtId="212" fontId="2" fillId="34" borderId="30" xfId="0" applyNumberFormat="1" applyFont="1" applyFill="1" applyBorder="1" applyAlignment="1" applyProtection="1">
      <alignment/>
      <protection/>
    </xf>
    <xf numFmtId="212" fontId="2" fillId="2" borderId="30" xfId="0" applyNumberFormat="1" applyFont="1" applyFill="1" applyBorder="1" applyAlignment="1" applyProtection="1">
      <alignment/>
      <protection locked="0"/>
    </xf>
    <xf numFmtId="212" fontId="2" fillId="34" borderId="11" xfId="0" applyNumberFormat="1" applyFont="1" applyFill="1" applyBorder="1" applyAlignment="1" applyProtection="1">
      <alignment/>
      <protection/>
    </xf>
    <xf numFmtId="212" fontId="2" fillId="2" borderId="11" xfId="0" applyNumberFormat="1" applyFont="1" applyFill="1" applyBorder="1" applyAlignment="1" applyProtection="1">
      <alignment/>
      <protection locked="0"/>
    </xf>
    <xf numFmtId="179" fontId="14" fillId="39" borderId="0" xfId="0" applyFont="1" applyFill="1" applyAlignment="1" applyProtection="1">
      <alignment horizontal="left"/>
      <protection/>
    </xf>
    <xf numFmtId="179" fontId="3" fillId="39" borderId="0" xfId="0" applyFont="1" applyFill="1" applyAlignment="1" applyProtection="1">
      <alignment horizontal="center" vertical="top"/>
      <protection/>
    </xf>
    <xf numFmtId="179" fontId="27" fillId="39" borderId="0" xfId="0" applyFont="1" applyFill="1" applyBorder="1" applyAlignment="1" applyProtection="1">
      <alignment horizontal="left"/>
      <protection/>
    </xf>
    <xf numFmtId="179" fontId="27" fillId="39" borderId="0" xfId="0" applyFont="1" applyFill="1" applyBorder="1" applyAlignment="1" applyProtection="1">
      <alignment horizontal="center"/>
      <protection/>
    </xf>
    <xf numFmtId="179" fontId="28" fillId="39" borderId="24" xfId="0" applyFont="1" applyFill="1" applyBorder="1" applyAlignment="1" applyProtection="1">
      <alignment/>
      <protection/>
    </xf>
    <xf numFmtId="179" fontId="27" fillId="39" borderId="10" xfId="0" applyFont="1" applyFill="1" applyBorder="1" applyAlignment="1" applyProtection="1">
      <alignment horizontal="center"/>
      <protection/>
    </xf>
    <xf numFmtId="179" fontId="27" fillId="39" borderId="24" xfId="0" applyFont="1" applyFill="1" applyBorder="1" applyAlignment="1" applyProtection="1">
      <alignment horizontal="center"/>
      <protection/>
    </xf>
    <xf numFmtId="178" fontId="28" fillId="39" borderId="0" xfId="0" applyNumberFormat="1" applyFont="1" applyFill="1" applyAlignment="1" applyProtection="1">
      <alignment horizontal="center"/>
      <protection/>
    </xf>
    <xf numFmtId="179" fontId="28" fillId="39" borderId="17" xfId="0" applyFont="1" applyFill="1" applyBorder="1" applyAlignment="1" applyProtection="1">
      <alignment/>
      <protection/>
    </xf>
    <xf numFmtId="179" fontId="27" fillId="39" borderId="14" xfId="0" applyFont="1" applyFill="1" applyBorder="1" applyAlignment="1" applyProtection="1">
      <alignment/>
      <protection/>
    </xf>
    <xf numFmtId="179" fontId="27" fillId="39" borderId="0" xfId="0" applyFont="1" applyFill="1" applyBorder="1" applyAlignment="1" applyProtection="1">
      <alignment horizontal="center"/>
      <protection/>
    </xf>
    <xf numFmtId="179" fontId="27" fillId="39" borderId="17" xfId="0" applyFont="1" applyFill="1" applyBorder="1" applyAlignment="1" applyProtection="1">
      <alignment horizontal="right"/>
      <protection/>
    </xf>
    <xf numFmtId="179" fontId="27" fillId="39" borderId="0" xfId="0" applyFont="1" applyFill="1" applyAlignment="1" applyProtection="1">
      <alignment horizontal="center"/>
      <protection/>
    </xf>
    <xf numFmtId="179" fontId="79" fillId="39" borderId="21" xfId="0" applyFont="1" applyFill="1" applyBorder="1" applyAlignment="1" applyProtection="1">
      <alignment/>
      <protection/>
    </xf>
    <xf numFmtId="179" fontId="81" fillId="39" borderId="10" xfId="0" applyFont="1" applyFill="1" applyBorder="1" applyAlignment="1" applyProtection="1">
      <alignment horizontal="left"/>
      <protection/>
    </xf>
    <xf numFmtId="179" fontId="81" fillId="39" borderId="10" xfId="0" applyFont="1" applyFill="1" applyBorder="1" applyAlignment="1" applyProtection="1">
      <alignment horizontal="center"/>
      <protection/>
    </xf>
    <xf numFmtId="179" fontId="3" fillId="43" borderId="0" xfId="0" applyFont="1" applyFill="1" applyAlignment="1" applyProtection="1">
      <alignment horizontal="center" vertical="center"/>
      <protection/>
    </xf>
    <xf numFmtId="179" fontId="2" fillId="43" borderId="17" xfId="0" applyFont="1" applyFill="1" applyBorder="1" applyAlignment="1" applyProtection="1">
      <alignment/>
      <protection/>
    </xf>
    <xf numFmtId="179" fontId="2" fillId="43" borderId="0" xfId="0" applyFont="1" applyFill="1" applyAlignment="1" applyProtection="1">
      <alignment horizontal="center"/>
      <protection/>
    </xf>
    <xf numFmtId="179" fontId="0" fillId="34" borderId="20" xfId="0" applyFill="1" applyBorder="1" applyAlignment="1" applyProtection="1">
      <alignment/>
      <protection/>
    </xf>
    <xf numFmtId="179" fontId="0" fillId="34" borderId="11" xfId="0" applyFill="1" applyBorder="1" applyAlignment="1" applyProtection="1">
      <alignment/>
      <protection/>
    </xf>
    <xf numFmtId="179" fontId="0" fillId="34" borderId="17" xfId="0" applyFill="1" applyBorder="1" applyAlignment="1" applyProtection="1">
      <alignment/>
      <protection/>
    </xf>
    <xf numFmtId="179" fontId="0" fillId="34" borderId="54" xfId="0" applyFill="1" applyBorder="1" applyAlignment="1" applyProtection="1">
      <alignment/>
      <protection/>
    </xf>
    <xf numFmtId="197" fontId="4" fillId="2" borderId="16" xfId="58" applyNumberFormat="1" applyFont="1" applyFill="1" applyBorder="1" applyAlignment="1" applyProtection="1">
      <alignment horizontal="center" vertical="center"/>
      <protection locked="0"/>
    </xf>
    <xf numFmtId="0" fontId="1" fillId="0" borderId="0" xfId="61" applyFont="1">
      <alignment/>
      <protection/>
    </xf>
    <xf numFmtId="0" fontId="96" fillId="39" borderId="0" xfId="61" applyFont="1" applyFill="1">
      <alignment/>
      <protection/>
    </xf>
    <xf numFmtId="0" fontId="96" fillId="39" borderId="0" xfId="61" applyFont="1" applyFill="1" applyBorder="1">
      <alignment/>
      <protection/>
    </xf>
    <xf numFmtId="2" fontId="55" fillId="34" borderId="31" xfId="61" applyNumberFormat="1" applyFont="1" applyFill="1" applyBorder="1" applyAlignment="1" applyProtection="1" quotePrefix="1">
      <alignment horizontal="right"/>
      <protection/>
    </xf>
    <xf numFmtId="0" fontId="1" fillId="39" borderId="0" xfId="60" applyFont="1" applyFill="1" applyAlignment="1" applyProtection="1">
      <alignment horizontal="center" vertical="top"/>
      <protection/>
    </xf>
    <xf numFmtId="179" fontId="0" fillId="39" borderId="0" xfId="0" applyFill="1" applyBorder="1" applyAlignment="1" applyProtection="1">
      <alignment horizontal="left"/>
      <protection/>
    </xf>
    <xf numFmtId="1" fontId="99" fillId="0" borderId="0" xfId="0" applyNumberFormat="1" applyFont="1" applyFill="1" applyAlignment="1" applyProtection="1">
      <alignment/>
      <protection/>
    </xf>
    <xf numFmtId="197" fontId="4" fillId="2" borderId="16" xfId="58" applyNumberFormat="1" applyFont="1" applyFill="1" applyBorder="1" applyAlignment="1" applyProtection="1">
      <alignment horizontal="center"/>
      <protection locked="0"/>
    </xf>
    <xf numFmtId="197" fontId="4" fillId="2" borderId="29" xfId="58" applyNumberFormat="1" applyFont="1" applyFill="1" applyBorder="1" applyAlignment="1" applyProtection="1">
      <alignment horizontal="center"/>
      <protection locked="0"/>
    </xf>
    <xf numFmtId="2" fontId="31" fillId="46" borderId="22" xfId="58" applyNumberFormat="1" applyFont="1" applyFill="1" applyBorder="1" applyAlignment="1" applyProtection="1">
      <alignment vertical="center"/>
      <protection/>
    </xf>
    <xf numFmtId="2" fontId="31" fillId="46" borderId="20" xfId="58" applyNumberFormat="1" applyFont="1" applyFill="1" applyBorder="1" applyAlignment="1" applyProtection="1">
      <alignment vertical="center"/>
      <protection/>
    </xf>
    <xf numFmtId="179" fontId="41" fillId="43" borderId="0" xfId="0" applyFont="1" applyFill="1" applyBorder="1" applyAlignment="1" applyProtection="1">
      <alignment horizontal="right"/>
      <protection/>
    </xf>
    <xf numFmtId="0" fontId="9" fillId="36" borderId="0" xfId="0" applyNumberFormat="1" applyFont="1" applyFill="1" applyAlignment="1" applyProtection="1">
      <alignment horizontal="center"/>
      <protection/>
    </xf>
    <xf numFmtId="178" fontId="9" fillId="36" borderId="0" xfId="0" applyNumberFormat="1" applyFont="1" applyFill="1" applyAlignment="1" applyProtection="1" quotePrefix="1">
      <alignment horizontal="center"/>
      <protection/>
    </xf>
    <xf numFmtId="179" fontId="16" fillId="43" borderId="0" xfId="0" applyFont="1" applyFill="1" applyAlignment="1" applyProtection="1">
      <alignment/>
      <protection/>
    </xf>
    <xf numFmtId="179" fontId="7" fillId="39" borderId="0" xfId="0" applyFont="1" applyFill="1" applyAlignment="1" applyProtection="1">
      <alignment vertical="center"/>
      <protection hidden="1"/>
    </xf>
    <xf numFmtId="49" fontId="7" fillId="39" borderId="0" xfId="58" applyNumberFormat="1" applyFont="1" applyFill="1" applyBorder="1" applyAlignment="1" applyProtection="1" quotePrefix="1">
      <alignment horizontal="center" vertical="center"/>
      <protection/>
    </xf>
    <xf numFmtId="0" fontId="1" fillId="40" borderId="30" xfId="60" applyFill="1" applyBorder="1" applyAlignment="1">
      <alignment horizontal="center"/>
      <protection/>
    </xf>
    <xf numFmtId="0" fontId="1" fillId="40" borderId="23" xfId="60" applyFill="1" applyBorder="1" applyAlignment="1">
      <alignment horizontal="center"/>
      <protection/>
    </xf>
    <xf numFmtId="0" fontId="1" fillId="40" borderId="11" xfId="60" applyFill="1" applyBorder="1" applyAlignment="1">
      <alignment horizontal="center"/>
      <protection/>
    </xf>
    <xf numFmtId="0" fontId="100" fillId="39" borderId="0" xfId="60" applyFont="1" applyFill="1" applyProtection="1">
      <alignment/>
      <protection/>
    </xf>
    <xf numFmtId="0" fontId="100" fillId="0" borderId="0" xfId="60" applyFont="1" applyFill="1" applyBorder="1">
      <alignment/>
      <protection/>
    </xf>
    <xf numFmtId="179" fontId="101" fillId="2" borderId="13" xfId="0" applyFont="1" applyFill="1" applyBorder="1" applyAlignment="1" applyProtection="1">
      <alignment/>
      <protection/>
    </xf>
    <xf numFmtId="179" fontId="100" fillId="39" borderId="0" xfId="0" applyFont="1" applyFill="1" applyAlignment="1" applyProtection="1">
      <alignment/>
      <protection/>
    </xf>
    <xf numFmtId="179" fontId="102" fillId="39" borderId="0" xfId="0" applyFont="1" applyFill="1" applyAlignment="1" applyProtection="1">
      <alignment horizontal="right"/>
      <protection/>
    </xf>
    <xf numFmtId="179" fontId="103" fillId="39" borderId="0" xfId="0" applyFont="1" applyFill="1" applyAlignment="1" applyProtection="1">
      <alignment horizontal="right"/>
      <protection/>
    </xf>
    <xf numFmtId="0" fontId="104" fillId="36" borderId="0" xfId="60" applyFont="1" applyFill="1" applyBorder="1" applyAlignment="1">
      <alignment vertical="center"/>
      <protection/>
    </xf>
    <xf numFmtId="0" fontId="105" fillId="39" borderId="0" xfId="60" applyFont="1" applyFill="1" applyBorder="1" applyAlignment="1">
      <alignment vertical="center"/>
      <protection/>
    </xf>
    <xf numFmtId="0" fontId="105" fillId="39" borderId="17" xfId="60" applyFont="1" applyFill="1" applyBorder="1" applyAlignment="1">
      <alignment vertical="center"/>
      <protection/>
    </xf>
    <xf numFmtId="0" fontId="21" fillId="39" borderId="0" xfId="60" applyFont="1" applyFill="1" applyBorder="1" applyAlignment="1">
      <alignment horizontal="right"/>
      <protection/>
    </xf>
    <xf numFmtId="0" fontId="1" fillId="39" borderId="49" xfId="60" applyFont="1" applyFill="1" applyBorder="1">
      <alignment/>
      <protection/>
    </xf>
    <xf numFmtId="0" fontId="21" fillId="39" borderId="17" xfId="60" applyFont="1" applyFill="1" applyBorder="1" applyAlignment="1">
      <alignment vertical="top"/>
      <protection/>
    </xf>
    <xf numFmtId="0" fontId="101" fillId="0" borderId="0" xfId="60" applyFont="1" applyFill="1" applyBorder="1" applyAlignment="1">
      <alignment horizontal="center" vertical="top"/>
      <protection/>
    </xf>
    <xf numFmtId="0" fontId="1" fillId="0" borderId="65" xfId="60" applyFont="1" applyFill="1" applyBorder="1">
      <alignment/>
      <protection/>
    </xf>
    <xf numFmtId="0" fontId="1" fillId="0" borderId="65" xfId="60" applyBorder="1">
      <alignment/>
      <protection/>
    </xf>
    <xf numFmtId="0" fontId="1" fillId="0" borderId="0" xfId="60" applyFont="1">
      <alignment/>
      <protection/>
    </xf>
    <xf numFmtId="0" fontId="23" fillId="0" borderId="0" xfId="60" applyFont="1" applyAlignment="1">
      <alignment vertical="center"/>
      <protection/>
    </xf>
    <xf numFmtId="0" fontId="23" fillId="0" borderId="31" xfId="60" applyFont="1" applyFill="1" applyBorder="1" applyAlignment="1">
      <alignment vertical="top"/>
      <protection/>
    </xf>
    <xf numFmtId="0" fontId="1" fillId="40" borderId="30" xfId="60" applyFill="1" applyBorder="1">
      <alignment/>
      <protection/>
    </xf>
    <xf numFmtId="0" fontId="1" fillId="40" borderId="23" xfId="60" applyFill="1" applyBorder="1">
      <alignment/>
      <protection/>
    </xf>
    <xf numFmtId="0" fontId="21" fillId="39" borderId="22" xfId="60" applyFont="1" applyFill="1" applyBorder="1" applyAlignment="1">
      <alignment vertical="center"/>
      <protection/>
    </xf>
    <xf numFmtId="0" fontId="22" fillId="0" borderId="69" xfId="60" applyFont="1" applyFill="1" applyBorder="1" applyAlignment="1">
      <alignment horizontal="left"/>
      <protection/>
    </xf>
    <xf numFmtId="0" fontId="80" fillId="36" borderId="0" xfId="60" applyFont="1" applyFill="1" applyAlignment="1">
      <alignment horizontal="center"/>
      <protection/>
    </xf>
    <xf numFmtId="179" fontId="3" fillId="39" borderId="11" xfId="0" applyFont="1" applyFill="1" applyBorder="1" applyAlignment="1" applyProtection="1">
      <alignment/>
      <protection/>
    </xf>
    <xf numFmtId="178" fontId="3" fillId="39" borderId="0" xfId="0" applyNumberFormat="1" applyFont="1" applyFill="1" applyAlignment="1" applyProtection="1">
      <alignment/>
      <protection/>
    </xf>
    <xf numFmtId="179" fontId="0" fillId="2" borderId="11" xfId="0" applyFill="1" applyBorder="1" applyAlignment="1" applyProtection="1">
      <alignment/>
      <protection/>
    </xf>
    <xf numFmtId="179" fontId="16" fillId="39" borderId="0" xfId="0" applyFont="1" applyFill="1" applyBorder="1" applyAlignment="1" applyProtection="1">
      <alignment/>
      <protection/>
    </xf>
    <xf numFmtId="179" fontId="41" fillId="39" borderId="0" xfId="0" applyFont="1" applyFill="1" applyBorder="1" applyAlignment="1" applyProtection="1">
      <alignment horizontal="right"/>
      <protection/>
    </xf>
    <xf numFmtId="179" fontId="10" fillId="39" borderId="0" xfId="0" applyFont="1" applyFill="1" applyBorder="1" applyAlignment="1" applyProtection="1">
      <alignment horizontal="right"/>
      <protection/>
    </xf>
    <xf numFmtId="179" fontId="106" fillId="39" borderId="0" xfId="0" applyFont="1" applyFill="1" applyAlignment="1" applyProtection="1">
      <alignment horizontal="right"/>
      <protection/>
    </xf>
    <xf numFmtId="197" fontId="2" fillId="34" borderId="22" xfId="66" applyNumberFormat="1" applyFill="1" applyBorder="1" applyAlignment="1" applyProtection="1">
      <alignment horizontal="center"/>
      <protection locked="0"/>
    </xf>
    <xf numFmtId="179" fontId="0" fillId="39" borderId="16" xfId="0" applyFill="1" applyBorder="1" applyAlignment="1">
      <alignment/>
    </xf>
    <xf numFmtId="179" fontId="67" fillId="39" borderId="12" xfId="53" applyNumberFormat="1" applyFont="1" applyFill="1" applyBorder="1" applyAlignment="1" applyProtection="1">
      <alignment horizontal="center" vertical="center"/>
      <protection/>
    </xf>
    <xf numFmtId="179" fontId="0" fillId="39" borderId="13" xfId="0" applyFill="1" applyBorder="1" applyAlignment="1">
      <alignment/>
    </xf>
    <xf numFmtId="179" fontId="0" fillId="39" borderId="12" xfId="0" applyFill="1" applyBorder="1" applyAlignment="1">
      <alignment/>
    </xf>
    <xf numFmtId="179" fontId="38" fillId="39" borderId="0" xfId="0" applyFont="1" applyFill="1" applyAlignment="1">
      <alignment/>
    </xf>
    <xf numFmtId="179" fontId="31" fillId="39" borderId="0" xfId="0" applyFont="1" applyFill="1" applyAlignment="1">
      <alignment/>
    </xf>
    <xf numFmtId="179" fontId="107" fillId="39" borderId="0" xfId="0" applyFont="1" applyFill="1" applyAlignment="1">
      <alignment/>
    </xf>
    <xf numFmtId="179" fontId="0" fillId="39" borderId="0" xfId="0" applyFill="1" applyAlignment="1">
      <alignment horizontal="center"/>
    </xf>
    <xf numFmtId="179" fontId="108" fillId="36" borderId="0" xfId="0" applyFont="1" applyFill="1" applyAlignment="1" quotePrefix="1">
      <alignment horizontal="center"/>
    </xf>
    <xf numFmtId="179" fontId="45" fillId="39" borderId="14" xfId="0" applyFont="1" applyFill="1" applyBorder="1" applyAlignment="1">
      <alignment/>
    </xf>
    <xf numFmtId="179" fontId="0" fillId="39" borderId="15" xfId="0" applyFill="1" applyBorder="1" applyAlignment="1">
      <alignment/>
    </xf>
    <xf numFmtId="179" fontId="31" fillId="39" borderId="0" xfId="0" applyFont="1" applyFill="1" applyAlignment="1">
      <alignment horizontal="right"/>
    </xf>
    <xf numFmtId="179" fontId="0" fillId="39" borderId="18" xfId="0" applyFill="1" applyBorder="1" applyAlignment="1">
      <alignment/>
    </xf>
    <xf numFmtId="179" fontId="0" fillId="34" borderId="0" xfId="0" applyFill="1" applyAlignment="1">
      <alignment/>
    </xf>
    <xf numFmtId="179" fontId="0" fillId="34" borderId="17" xfId="0" applyFill="1" applyBorder="1" applyAlignment="1">
      <alignment/>
    </xf>
    <xf numFmtId="179" fontId="0" fillId="34" borderId="20" xfId="0" applyFill="1" applyBorder="1" applyAlignment="1">
      <alignment/>
    </xf>
    <xf numFmtId="179" fontId="0" fillId="39" borderId="0" xfId="0" applyFill="1" applyAlignment="1" quotePrefix="1">
      <alignment horizontal="center"/>
    </xf>
    <xf numFmtId="179" fontId="0" fillId="39" borderId="17" xfId="0" applyFill="1" applyBorder="1" applyAlignment="1">
      <alignment horizontal="right"/>
    </xf>
    <xf numFmtId="179" fontId="0" fillId="2" borderId="20" xfId="0" applyFill="1" applyBorder="1" applyAlignment="1" applyProtection="1">
      <alignment/>
      <protection locked="0"/>
    </xf>
    <xf numFmtId="179" fontId="47" fillId="39" borderId="17" xfId="0" applyFont="1" applyFill="1" applyBorder="1" applyAlignment="1">
      <alignment/>
    </xf>
    <xf numFmtId="179" fontId="38" fillId="39" borderId="0" xfId="0" applyFont="1" applyFill="1" applyBorder="1" applyAlignment="1">
      <alignment/>
    </xf>
    <xf numFmtId="179" fontId="38" fillId="39" borderId="0" xfId="0" applyFont="1" applyFill="1" applyBorder="1" applyAlignment="1">
      <alignment vertical="top"/>
    </xf>
    <xf numFmtId="179" fontId="0" fillId="2" borderId="11" xfId="0" applyFill="1" applyBorder="1" applyAlignment="1" applyProtection="1">
      <alignment/>
      <protection locked="0"/>
    </xf>
    <xf numFmtId="179" fontId="0" fillId="2" borderId="17" xfId="0" applyFill="1" applyBorder="1" applyAlignment="1" applyProtection="1">
      <alignment/>
      <protection locked="0"/>
    </xf>
    <xf numFmtId="179" fontId="15" fillId="39" borderId="0" xfId="0" applyFont="1" applyFill="1" applyAlignment="1">
      <alignment horizontal="center"/>
    </xf>
    <xf numFmtId="179" fontId="38" fillId="39" borderId="0" xfId="0" applyFont="1" applyFill="1" applyBorder="1" applyAlignment="1">
      <alignment horizontal="center"/>
    </xf>
    <xf numFmtId="179" fontId="0" fillId="34" borderId="0" xfId="0" applyFill="1" applyBorder="1" applyAlignment="1">
      <alignment/>
    </xf>
    <xf numFmtId="179" fontId="0" fillId="39" borderId="0" xfId="0" applyFill="1" applyBorder="1" applyAlignment="1">
      <alignment horizontal="right"/>
    </xf>
    <xf numFmtId="179" fontId="46" fillId="39" borderId="17" xfId="0" applyFont="1" applyFill="1" applyBorder="1" applyAlignment="1">
      <alignment horizontal="left"/>
    </xf>
    <xf numFmtId="218" fontId="46" fillId="2" borderId="17" xfId="0" applyNumberFormat="1" applyFont="1" applyFill="1" applyBorder="1" applyAlignment="1" applyProtection="1">
      <alignment horizontal="center"/>
      <protection locked="0"/>
    </xf>
    <xf numFmtId="179" fontId="38" fillId="39" borderId="17" xfId="0" applyFont="1" applyFill="1" applyBorder="1" applyAlignment="1">
      <alignment horizontal="center"/>
    </xf>
    <xf numFmtId="197" fontId="7" fillId="39" borderId="0" xfId="66" applyNumberFormat="1" applyFont="1" applyFill="1" applyBorder="1" applyProtection="1">
      <alignment/>
      <protection/>
    </xf>
    <xf numFmtId="179" fontId="31" fillId="39" borderId="0" xfId="0" applyFont="1" applyFill="1" applyAlignment="1" applyProtection="1">
      <alignment horizontal="center" vertical="center"/>
      <protection hidden="1"/>
    </xf>
    <xf numFmtId="179" fontId="0" fillId="39" borderId="12" xfId="0" applyFont="1" applyFill="1" applyBorder="1" applyAlignment="1">
      <alignment horizontal="center"/>
    </xf>
    <xf numFmtId="179" fontId="0" fillId="39" borderId="16" xfId="0" applyFont="1" applyFill="1" applyBorder="1" applyAlignment="1">
      <alignment/>
    </xf>
    <xf numFmtId="0" fontId="1" fillId="39" borderId="0" xfId="60" applyFont="1" applyFill="1" applyBorder="1">
      <alignment/>
      <protection/>
    </xf>
    <xf numFmtId="179" fontId="67" fillId="39" borderId="11" xfId="53" applyNumberFormat="1" applyFont="1" applyFill="1" applyBorder="1" applyAlignment="1" applyProtection="1">
      <alignment vertical="center"/>
      <protection/>
    </xf>
    <xf numFmtId="179" fontId="67" fillId="39" borderId="11" xfId="53" applyNumberFormat="1" applyFont="1" applyFill="1" applyBorder="1" applyAlignment="1" applyProtection="1">
      <alignment horizontal="right" vertical="center"/>
      <protection/>
    </xf>
    <xf numFmtId="179" fontId="0" fillId="39" borderId="17" xfId="0" applyFont="1" applyFill="1" applyBorder="1" applyAlignment="1">
      <alignment/>
    </xf>
    <xf numFmtId="179" fontId="0" fillId="39" borderId="23" xfId="0" applyFont="1" applyFill="1" applyBorder="1" applyAlignment="1">
      <alignment/>
    </xf>
    <xf numFmtId="179" fontId="0" fillId="39" borderId="11" xfId="0" applyFont="1" applyFill="1" applyBorder="1" applyAlignment="1">
      <alignment horizontal="left" vertical="center"/>
    </xf>
    <xf numFmtId="179" fontId="0" fillId="39" borderId="23" xfId="0" applyFont="1" applyFill="1" applyBorder="1" applyAlignment="1">
      <alignment horizontal="left" vertical="center"/>
    </xf>
    <xf numFmtId="179" fontId="67" fillId="39" borderId="17" xfId="53" applyNumberFormat="1" applyFont="1" applyFill="1" applyBorder="1" applyAlignment="1" applyProtection="1">
      <alignment vertical="center"/>
      <protection/>
    </xf>
    <xf numFmtId="179" fontId="46" fillId="39" borderId="0" xfId="0" applyFont="1" applyFill="1" applyBorder="1" applyAlignment="1" applyProtection="1">
      <alignment horizontal="center"/>
      <protection/>
    </xf>
    <xf numFmtId="179" fontId="47" fillId="39" borderId="0" xfId="0" applyFont="1" applyFill="1" applyBorder="1" applyAlignment="1" applyProtection="1">
      <alignment horizontal="center"/>
      <protection/>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horizontal="center"/>
      <protection locked="0"/>
    </xf>
    <xf numFmtId="197" fontId="0" fillId="0" borderId="0" xfId="0" applyNumberFormat="1" applyFill="1" applyBorder="1" applyAlignment="1" applyProtection="1">
      <alignment vertical="center"/>
      <protection/>
    </xf>
    <xf numFmtId="179" fontId="4" fillId="39" borderId="0" xfId="0" applyFont="1" applyFill="1" applyAlignment="1" applyProtection="1">
      <alignment vertical="center"/>
      <protection/>
    </xf>
    <xf numFmtId="179" fontId="2" fillId="39" borderId="0" xfId="0" applyFont="1" applyFill="1" applyAlignment="1" applyProtection="1">
      <alignment vertical="center"/>
      <protection/>
    </xf>
    <xf numFmtId="179" fontId="7" fillId="39" borderId="0" xfId="0" applyFont="1" applyFill="1" applyAlignment="1" applyProtection="1">
      <alignment vertical="center"/>
      <protection/>
    </xf>
    <xf numFmtId="179" fontId="100" fillId="39" borderId="0" xfId="0" applyFont="1" applyFill="1" applyAlignment="1" applyProtection="1">
      <alignment vertical="center"/>
      <protection/>
    </xf>
    <xf numFmtId="0" fontId="70" fillId="34" borderId="0" xfId="59" applyFont="1" applyFill="1" applyProtection="1">
      <alignment/>
      <protection/>
    </xf>
    <xf numFmtId="0" fontId="21" fillId="39" borderId="0" xfId="59" applyFont="1" applyFill="1">
      <alignment/>
      <protection/>
    </xf>
    <xf numFmtId="0" fontId="70" fillId="39" borderId="0" xfId="59" applyFont="1" applyFill="1" applyProtection="1">
      <alignment/>
      <protection/>
    </xf>
    <xf numFmtId="0" fontId="70" fillId="39" borderId="0" xfId="59" applyFont="1" applyFill="1">
      <alignment/>
      <protection/>
    </xf>
    <xf numFmtId="0" fontId="1" fillId="39" borderId="0" xfId="59" applyFill="1" applyProtection="1">
      <alignment/>
      <protection/>
    </xf>
    <xf numFmtId="179" fontId="13" fillId="39" borderId="17" xfId="0" applyFont="1" applyFill="1" applyBorder="1" applyAlignment="1" applyProtection="1">
      <alignment horizontal="right"/>
      <protection/>
    </xf>
    <xf numFmtId="179" fontId="10" fillId="39" borderId="17" xfId="0" applyFont="1" applyFill="1" applyBorder="1" applyAlignment="1" applyProtection="1">
      <alignment horizontal="left"/>
      <protection/>
    </xf>
    <xf numFmtId="179" fontId="72" fillId="39" borderId="0" xfId="0" applyFont="1" applyFill="1" applyBorder="1" applyAlignment="1" applyProtection="1" quotePrefix="1">
      <alignment horizontal="right"/>
      <protection/>
    </xf>
    <xf numFmtId="179" fontId="41" fillId="39" borderId="14" xfId="0" applyFont="1" applyFill="1" applyBorder="1" applyAlignment="1" applyProtection="1">
      <alignment horizontal="right"/>
      <protection/>
    </xf>
    <xf numFmtId="179" fontId="0" fillId="39" borderId="11" xfId="0" applyFill="1" applyBorder="1" applyAlignment="1" applyProtection="1">
      <alignment wrapText="1"/>
      <protection/>
    </xf>
    <xf numFmtId="179" fontId="10" fillId="39" borderId="0" xfId="0" applyFont="1" applyFill="1" applyBorder="1" applyAlignment="1" applyProtection="1">
      <alignment horizontal="center"/>
      <protection/>
    </xf>
    <xf numFmtId="179" fontId="10" fillId="39" borderId="17" xfId="0" applyFont="1" applyFill="1" applyBorder="1" applyAlignment="1" applyProtection="1" quotePrefix="1">
      <alignment horizontal="center"/>
      <protection/>
    </xf>
    <xf numFmtId="49" fontId="10" fillId="39" borderId="17" xfId="0" applyNumberFormat="1" applyFont="1" applyFill="1" applyBorder="1" applyAlignment="1" applyProtection="1">
      <alignment horizontal="center"/>
      <protection/>
    </xf>
    <xf numFmtId="179" fontId="6" fillId="39" borderId="0" xfId="0" applyFont="1" applyFill="1" applyBorder="1" applyAlignment="1" applyProtection="1" quotePrefix="1">
      <alignment horizontal="center"/>
      <protection/>
    </xf>
    <xf numFmtId="179" fontId="106" fillId="39" borderId="0" xfId="0" applyFont="1" applyFill="1" applyAlignment="1" applyProtection="1">
      <alignment/>
      <protection/>
    </xf>
    <xf numFmtId="197" fontId="2" fillId="34" borderId="37" xfId="66" applyNumberFormat="1" applyBorder="1" applyProtection="1">
      <alignment/>
      <protection/>
    </xf>
    <xf numFmtId="179" fontId="100" fillId="39" borderId="0" xfId="0" applyFont="1" applyFill="1" applyAlignment="1" applyProtection="1">
      <alignment horizontal="center"/>
      <protection/>
    </xf>
    <xf numFmtId="179" fontId="100" fillId="39" borderId="0" xfId="0" applyFont="1" applyFill="1" applyAlignment="1" applyProtection="1">
      <alignment horizontal="right"/>
      <protection/>
    </xf>
    <xf numFmtId="179" fontId="45" fillId="39" borderId="0" xfId="0" applyFont="1" applyFill="1" applyAlignment="1" applyProtection="1">
      <alignment vertical="top"/>
      <protection/>
    </xf>
    <xf numFmtId="179" fontId="31" fillId="39" borderId="0" xfId="0" applyFont="1" applyFill="1" applyAlignment="1" applyProtection="1">
      <alignment/>
      <protection/>
    </xf>
    <xf numFmtId="179" fontId="0" fillId="39" borderId="0" xfId="0" applyFill="1" applyAlignment="1" applyProtection="1">
      <alignment/>
      <protection/>
    </xf>
    <xf numFmtId="179" fontId="111" fillId="39" borderId="0" xfId="0" applyFont="1" applyFill="1" applyAlignment="1" applyProtection="1">
      <alignment horizontal="center"/>
      <protection/>
    </xf>
    <xf numFmtId="179" fontId="111" fillId="39" borderId="0" xfId="0" applyFont="1" applyFill="1" applyAlignment="1" applyProtection="1">
      <alignment horizontal="right"/>
      <protection/>
    </xf>
    <xf numFmtId="179" fontId="23" fillId="39" borderId="0" xfId="0" applyFont="1" applyFill="1" applyAlignment="1" applyProtection="1">
      <alignment/>
      <protection/>
    </xf>
    <xf numFmtId="179" fontId="45" fillId="39" borderId="0" xfId="0" applyFont="1" applyFill="1" applyAlignment="1" applyProtection="1">
      <alignment/>
      <protection/>
    </xf>
    <xf numFmtId="179" fontId="0" fillId="39" borderId="0" xfId="0" applyFill="1" applyAlignment="1" applyProtection="1" quotePrefix="1">
      <alignment horizontal="center"/>
      <protection/>
    </xf>
    <xf numFmtId="179" fontId="0" fillId="39" borderId="0" xfId="0" applyFill="1" applyAlignment="1" applyProtection="1">
      <alignment horizontal="right"/>
      <protection/>
    </xf>
    <xf numFmtId="179" fontId="38" fillId="39" borderId="0" xfId="0" applyFont="1" applyFill="1" applyAlignment="1" applyProtection="1" quotePrefix="1">
      <alignment horizontal="center"/>
      <protection/>
    </xf>
    <xf numFmtId="179" fontId="38" fillId="39" borderId="0" xfId="0" applyFont="1" applyFill="1" applyAlignment="1" applyProtection="1">
      <alignment horizontal="right"/>
      <protection/>
    </xf>
    <xf numFmtId="178" fontId="9" fillId="36" borderId="11" xfId="0" applyNumberFormat="1" applyFont="1" applyFill="1" applyBorder="1" applyAlignment="1" applyProtection="1" quotePrefix="1">
      <alignment horizontal="center"/>
      <protection/>
    </xf>
    <xf numFmtId="0" fontId="26" fillId="2" borderId="20" xfId="60" applyFont="1" applyFill="1" applyBorder="1" applyAlignment="1" applyProtection="1" quotePrefix="1">
      <alignment horizontal="center" vertical="center"/>
      <protection locked="0"/>
    </xf>
    <xf numFmtId="0" fontId="26" fillId="2" borderId="20" xfId="60" applyFont="1" applyFill="1" applyBorder="1" applyAlignment="1" applyProtection="1">
      <alignment horizontal="center" vertical="center"/>
      <protection locked="0"/>
    </xf>
    <xf numFmtId="179" fontId="0" fillId="39" borderId="0" xfId="0" applyFill="1" applyAlignment="1">
      <alignment/>
    </xf>
    <xf numFmtId="179" fontId="0" fillId="39" borderId="0" xfId="0" applyFill="1" applyAlignment="1">
      <alignment horizontal="right"/>
    </xf>
    <xf numFmtId="179" fontId="30" fillId="39" borderId="0" xfId="0" applyFont="1" applyFill="1" applyAlignment="1">
      <alignment/>
    </xf>
    <xf numFmtId="179" fontId="24" fillId="39" borderId="0" xfId="0" applyFont="1" applyFill="1" applyAlignment="1">
      <alignment horizontal="center"/>
    </xf>
    <xf numFmtId="179" fontId="0" fillId="39" borderId="11" xfId="0" applyFill="1" applyBorder="1" applyAlignment="1">
      <alignment/>
    </xf>
    <xf numFmtId="0" fontId="26" fillId="34" borderId="20" xfId="60" applyFont="1" applyFill="1" applyBorder="1" applyAlignment="1" applyProtection="1">
      <alignment horizontal="center" vertical="center"/>
      <protection/>
    </xf>
    <xf numFmtId="183" fontId="0" fillId="34" borderId="17" xfId="0" applyNumberFormat="1" applyFill="1" applyBorder="1" applyAlignment="1" applyProtection="1">
      <alignment horizontal="right"/>
      <protection/>
    </xf>
    <xf numFmtId="179" fontId="112" fillId="39" borderId="0" xfId="0" applyFont="1" applyFill="1" applyAlignment="1" applyProtection="1">
      <alignment/>
      <protection/>
    </xf>
    <xf numFmtId="179" fontId="106" fillId="39" borderId="0" xfId="0" applyFont="1" applyFill="1" applyAlignment="1" applyProtection="1">
      <alignment horizontal="center"/>
      <protection/>
    </xf>
    <xf numFmtId="179" fontId="10" fillId="39" borderId="14" xfId="0" applyFont="1" applyFill="1" applyBorder="1" applyAlignment="1" applyProtection="1">
      <alignment horizontal="right"/>
      <protection/>
    </xf>
    <xf numFmtId="178" fontId="9" fillId="36" borderId="23" xfId="0" applyNumberFormat="1" applyFont="1" applyFill="1" applyBorder="1" applyAlignment="1" applyProtection="1">
      <alignment/>
      <protection/>
    </xf>
    <xf numFmtId="197" fontId="2" fillId="2" borderId="22" xfId="0" applyNumberFormat="1" applyFont="1" applyFill="1" applyBorder="1" applyAlignment="1" applyProtection="1">
      <alignment/>
      <protection locked="0"/>
    </xf>
    <xf numFmtId="179" fontId="46" fillId="39" borderId="26" xfId="0" applyFont="1" applyFill="1" applyBorder="1" applyAlignment="1">
      <alignment horizontal="center" vertical="top"/>
    </xf>
    <xf numFmtId="49" fontId="2" fillId="2" borderId="22" xfId="0" applyNumberFormat="1" applyFont="1" applyFill="1" applyBorder="1" applyAlignment="1" applyProtection="1">
      <alignment horizontal="center"/>
      <protection locked="0"/>
    </xf>
    <xf numFmtId="178" fontId="9" fillId="36" borderId="19" xfId="0" applyNumberFormat="1" applyFont="1" applyFill="1" applyBorder="1" applyAlignment="1" applyProtection="1">
      <alignment/>
      <protection/>
    </xf>
    <xf numFmtId="178" fontId="2" fillId="39" borderId="17" xfId="0" applyNumberFormat="1" applyFont="1" applyFill="1" applyBorder="1" applyAlignment="1" applyProtection="1">
      <alignment horizontal="left"/>
      <protection/>
    </xf>
    <xf numFmtId="219" fontId="2" fillId="2" borderId="22" xfId="0" applyNumberFormat="1" applyFont="1" applyFill="1" applyBorder="1" applyAlignment="1" applyProtection="1">
      <alignment horizontal="center"/>
      <protection locked="0"/>
    </xf>
    <xf numFmtId="179" fontId="46" fillId="39" borderId="26" xfId="0" applyFont="1" applyFill="1" applyBorder="1" applyAlignment="1">
      <alignment horizontal="right"/>
    </xf>
    <xf numFmtId="179" fontId="0" fillId="2" borderId="22" xfId="0" applyBorder="1" applyAlignment="1" applyProtection="1">
      <alignment horizontal="center"/>
      <protection locked="0"/>
    </xf>
    <xf numFmtId="179" fontId="27" fillId="39" borderId="24" xfId="0" applyFont="1" applyFill="1" applyBorder="1" applyAlignment="1" applyProtection="1">
      <alignment horizontal="right"/>
      <protection/>
    </xf>
    <xf numFmtId="179" fontId="28" fillId="2" borderId="48" xfId="0" applyFont="1" applyFill="1" applyBorder="1" applyAlignment="1" applyProtection="1">
      <alignment vertical="top"/>
      <protection/>
    </xf>
    <xf numFmtId="179" fontId="28" fillId="2" borderId="49" xfId="0" applyFont="1" applyFill="1" applyBorder="1" applyAlignment="1" applyProtection="1">
      <alignment vertical="top"/>
      <protection/>
    </xf>
    <xf numFmtId="179" fontId="27" fillId="2" borderId="49" xfId="0" applyFont="1" applyFill="1" applyBorder="1" applyAlignment="1" applyProtection="1">
      <alignment/>
      <protection/>
    </xf>
    <xf numFmtId="179" fontId="27" fillId="2" borderId="63" xfId="0" applyFont="1" applyFill="1" applyBorder="1" applyAlignment="1" applyProtection="1">
      <alignment/>
      <protection/>
    </xf>
    <xf numFmtId="179" fontId="27" fillId="2" borderId="17" xfId="0" applyFont="1" applyFill="1" applyBorder="1" applyAlignment="1" applyProtection="1">
      <alignment/>
      <protection/>
    </xf>
    <xf numFmtId="179" fontId="27" fillId="2" borderId="64" xfId="0" applyFont="1" applyFill="1" applyBorder="1" applyAlignment="1" applyProtection="1">
      <alignment/>
      <protection/>
    </xf>
    <xf numFmtId="179" fontId="27" fillId="2" borderId="11" xfId="0" applyFont="1" applyFill="1" applyBorder="1" applyAlignment="1" applyProtection="1">
      <alignment/>
      <protection/>
    </xf>
    <xf numFmtId="179" fontId="28" fillId="2" borderId="64" xfId="0" applyFont="1" applyFill="1" applyBorder="1" applyAlignment="1" applyProtection="1">
      <alignment/>
      <protection/>
    </xf>
    <xf numFmtId="179" fontId="28" fillId="2" borderId="11" xfId="0" applyFont="1" applyFill="1" applyBorder="1" applyAlignment="1" applyProtection="1">
      <alignment/>
      <protection/>
    </xf>
    <xf numFmtId="179" fontId="27" fillId="2" borderId="65" xfId="0" applyFont="1" applyFill="1" applyBorder="1" applyAlignment="1" applyProtection="1">
      <alignment/>
      <protection/>
    </xf>
    <xf numFmtId="179" fontId="27" fillId="2" borderId="0" xfId="0" applyFont="1" applyFill="1" applyBorder="1" applyAlignment="1" applyProtection="1">
      <alignment/>
      <protection/>
    </xf>
    <xf numFmtId="179" fontId="28" fillId="2" borderId="65" xfId="0" applyFont="1" applyFill="1" applyBorder="1" applyAlignment="1" applyProtection="1">
      <alignment vertical="top"/>
      <protection/>
    </xf>
    <xf numFmtId="179" fontId="28" fillId="2" borderId="0" xfId="0" applyFont="1" applyFill="1" applyBorder="1" applyAlignment="1" applyProtection="1">
      <alignment vertical="top"/>
      <protection/>
    </xf>
    <xf numFmtId="179" fontId="27" fillId="2" borderId="70" xfId="0" applyFont="1" applyFill="1" applyBorder="1" applyAlignment="1" applyProtection="1">
      <alignment/>
      <protection/>
    </xf>
    <xf numFmtId="179" fontId="27" fillId="2" borderId="10" xfId="0" applyFont="1" applyFill="1" applyBorder="1" applyAlignment="1" applyProtection="1">
      <alignment/>
      <protection/>
    </xf>
    <xf numFmtId="179" fontId="28" fillId="2" borderId="70" xfId="0" applyFont="1" applyFill="1" applyBorder="1" applyAlignment="1" applyProtection="1">
      <alignment/>
      <protection/>
    </xf>
    <xf numFmtId="179" fontId="28" fillId="2" borderId="10" xfId="0" applyFont="1" applyFill="1" applyBorder="1" applyAlignment="1" applyProtection="1">
      <alignment/>
      <protection/>
    </xf>
    <xf numFmtId="179" fontId="2" fillId="2" borderId="10" xfId="0" applyFont="1" applyFill="1" applyBorder="1" applyAlignment="1" applyProtection="1">
      <alignment horizontal="right"/>
      <protection/>
    </xf>
    <xf numFmtId="179" fontId="28" fillId="2" borderId="65" xfId="0" applyFont="1" applyFill="1" applyBorder="1" applyAlignment="1" applyProtection="1">
      <alignment/>
      <protection/>
    </xf>
    <xf numFmtId="179" fontId="28" fillId="2" borderId="0" xfId="0" applyFont="1" applyFill="1" applyBorder="1" applyAlignment="1" applyProtection="1">
      <alignment/>
      <protection/>
    </xf>
    <xf numFmtId="179" fontId="27" fillId="2" borderId="0" xfId="0" applyFont="1" applyFill="1" applyBorder="1" applyAlignment="1" applyProtection="1">
      <alignment horizontal="right"/>
      <protection/>
    </xf>
    <xf numFmtId="179" fontId="27" fillId="2" borderId="10" xfId="0" applyFont="1" applyFill="1" applyBorder="1" applyAlignment="1" applyProtection="1">
      <alignment horizontal="right"/>
      <protection/>
    </xf>
    <xf numFmtId="179" fontId="27" fillId="2" borderId="66" xfId="0" applyFont="1" applyFill="1" applyBorder="1" applyAlignment="1" applyProtection="1">
      <alignment/>
      <protection/>
    </xf>
    <xf numFmtId="179" fontId="27" fillId="2" borderId="31" xfId="0" applyFont="1" applyFill="1" applyBorder="1" applyAlignment="1" applyProtection="1">
      <alignment/>
      <protection/>
    </xf>
    <xf numFmtId="179" fontId="27" fillId="2" borderId="31" xfId="0" applyFont="1" applyFill="1" applyBorder="1" applyAlignment="1" applyProtection="1">
      <alignment horizontal="right"/>
      <protection/>
    </xf>
    <xf numFmtId="197" fontId="27" fillId="2" borderId="71" xfId="0" applyNumberFormat="1" applyFont="1" applyFill="1" applyBorder="1" applyAlignment="1" applyProtection="1">
      <alignment/>
      <protection locked="0"/>
    </xf>
    <xf numFmtId="179" fontId="0" fillId="2" borderId="17" xfId="0" applyBorder="1" applyAlignment="1" applyProtection="1">
      <alignment/>
      <protection/>
    </xf>
    <xf numFmtId="179" fontId="32" fillId="39" borderId="0" xfId="58" applyFont="1" applyFill="1" applyBorder="1" applyAlignment="1" applyProtection="1">
      <alignment horizontal="center"/>
      <protection/>
    </xf>
    <xf numFmtId="0" fontId="15" fillId="0" borderId="0" xfId="62" applyFont="1">
      <alignment/>
      <protection/>
    </xf>
    <xf numFmtId="0" fontId="1" fillId="0" borderId="0" xfId="62" applyFont="1">
      <alignment/>
      <protection/>
    </xf>
    <xf numFmtId="179" fontId="27" fillId="39" borderId="0" xfId="58" applyFont="1" applyFill="1" applyProtection="1">
      <alignment/>
      <protection/>
    </xf>
    <xf numFmtId="179" fontId="23" fillId="39" borderId="0" xfId="0" applyFont="1" applyFill="1" applyAlignment="1">
      <alignment/>
    </xf>
    <xf numFmtId="179" fontId="23" fillId="39" borderId="0" xfId="0" applyFont="1" applyFill="1" applyAlignment="1">
      <alignment horizontal="center"/>
    </xf>
    <xf numFmtId="179" fontId="38" fillId="39" borderId="0" xfId="0" applyFont="1" applyFill="1" applyAlignment="1" quotePrefix="1">
      <alignment horizontal="center"/>
    </xf>
    <xf numFmtId="179" fontId="0" fillId="39" borderId="11" xfId="0" applyFill="1" applyBorder="1" applyAlignment="1">
      <alignment vertical="center"/>
    </xf>
    <xf numFmtId="179" fontId="38" fillId="39" borderId="30" xfId="0" applyFont="1" applyFill="1" applyBorder="1" applyAlignment="1">
      <alignment vertical="center"/>
    </xf>
    <xf numFmtId="179" fontId="0" fillId="39" borderId="51" xfId="0" applyFill="1" applyBorder="1" applyAlignment="1">
      <alignment/>
    </xf>
    <xf numFmtId="179" fontId="45" fillId="39" borderId="0" xfId="0" applyFont="1" applyFill="1" applyAlignment="1">
      <alignment/>
    </xf>
    <xf numFmtId="179" fontId="114" fillId="39" borderId="0" xfId="0" applyFont="1" applyFill="1" applyAlignment="1">
      <alignment horizontal="right"/>
    </xf>
    <xf numFmtId="179" fontId="44" fillId="39" borderId="0" xfId="0" applyFont="1" applyFill="1" applyAlignment="1">
      <alignment/>
    </xf>
    <xf numFmtId="179" fontId="0" fillId="39" borderId="0" xfId="0" applyFont="1" applyFill="1" applyAlignment="1">
      <alignment/>
    </xf>
    <xf numFmtId="179" fontId="0" fillId="0" borderId="17" xfId="0" applyFill="1" applyBorder="1" applyAlignment="1" applyProtection="1">
      <alignment/>
      <protection locked="0"/>
    </xf>
    <xf numFmtId="179" fontId="0" fillId="0" borderId="14" xfId="0" applyFill="1" applyBorder="1" applyAlignment="1" applyProtection="1">
      <alignment/>
      <protection locked="0"/>
    </xf>
    <xf numFmtId="179" fontId="0" fillId="0" borderId="31" xfId="0" applyFill="1" applyBorder="1" applyAlignment="1" applyProtection="1">
      <alignment/>
      <protection locked="0"/>
    </xf>
    <xf numFmtId="49" fontId="7" fillId="39" borderId="0" xfId="58" applyNumberFormat="1" applyFont="1" applyFill="1" applyBorder="1" applyAlignment="1" applyProtection="1">
      <alignment horizontal="left"/>
      <protection/>
    </xf>
    <xf numFmtId="179" fontId="67" fillId="39" borderId="0" xfId="53" applyNumberFormat="1" applyFont="1" applyFill="1" applyBorder="1" applyAlignment="1" applyProtection="1">
      <alignment/>
      <protection/>
    </xf>
    <xf numFmtId="179" fontId="0" fillId="39" borderId="0" xfId="0" applyFill="1" applyBorder="1" applyAlignment="1" applyProtection="1">
      <alignment horizontal="center"/>
      <protection hidden="1"/>
    </xf>
    <xf numFmtId="1" fontId="2" fillId="0" borderId="17" xfId="66" applyNumberFormat="1" applyFill="1" applyBorder="1" applyProtection="1">
      <alignment/>
      <protection locked="0"/>
    </xf>
    <xf numFmtId="179" fontId="0" fillId="47" borderId="0" xfId="0" applyFill="1" applyAlignment="1">
      <alignment/>
    </xf>
    <xf numFmtId="179" fontId="0" fillId="47" borderId="13" xfId="0" applyFill="1" applyBorder="1" applyAlignment="1">
      <alignment/>
    </xf>
    <xf numFmtId="179" fontId="45" fillId="47" borderId="14" xfId="0" applyFont="1" applyFill="1" applyBorder="1" applyAlignment="1">
      <alignment/>
    </xf>
    <xf numFmtId="179" fontId="0" fillId="47" borderId="14" xfId="0" applyFill="1" applyBorder="1" applyAlignment="1">
      <alignment/>
    </xf>
    <xf numFmtId="179" fontId="0" fillId="47" borderId="15" xfId="0" applyFill="1" applyBorder="1" applyAlignment="1">
      <alignment/>
    </xf>
    <xf numFmtId="179" fontId="0" fillId="47" borderId="12" xfId="0" applyFill="1" applyBorder="1" applyAlignment="1">
      <alignment/>
    </xf>
    <xf numFmtId="179" fontId="0" fillId="47" borderId="0" xfId="0" applyFill="1" applyBorder="1" applyAlignment="1">
      <alignment/>
    </xf>
    <xf numFmtId="179" fontId="0" fillId="47" borderId="16" xfId="0" applyFill="1" applyBorder="1" applyAlignment="1">
      <alignment/>
    </xf>
    <xf numFmtId="179" fontId="0" fillId="47" borderId="0" xfId="0" applyFill="1" applyBorder="1" applyAlignment="1">
      <alignment horizontal="left"/>
    </xf>
    <xf numFmtId="179" fontId="0" fillId="47" borderId="0" xfId="0" applyFill="1" applyBorder="1" applyAlignment="1">
      <alignment horizontal="right"/>
    </xf>
    <xf numFmtId="179" fontId="0" fillId="47" borderId="18" xfId="0" applyFill="1" applyBorder="1" applyAlignment="1">
      <alignment/>
    </xf>
    <xf numFmtId="179" fontId="0" fillId="47" borderId="17" xfId="0" applyFill="1" applyBorder="1" applyAlignment="1">
      <alignment/>
    </xf>
    <xf numFmtId="179" fontId="38" fillId="47" borderId="0" xfId="0" applyFont="1" applyFill="1" applyBorder="1" applyAlignment="1">
      <alignment horizontal="center"/>
    </xf>
    <xf numFmtId="179" fontId="0" fillId="47" borderId="19" xfId="0" applyFill="1" applyBorder="1" applyAlignment="1">
      <alignment/>
    </xf>
    <xf numFmtId="179" fontId="0" fillId="47" borderId="17" xfId="0" applyFill="1" applyBorder="1" applyAlignment="1">
      <alignment vertical="top"/>
    </xf>
    <xf numFmtId="179" fontId="112" fillId="39" borderId="0" xfId="0" applyFont="1" applyFill="1" applyAlignment="1">
      <alignment horizontal="right"/>
    </xf>
    <xf numFmtId="197" fontId="2" fillId="34" borderId="11" xfId="66" applyNumberFormat="1" applyFill="1" applyBorder="1" applyProtection="1">
      <alignment/>
      <protection/>
    </xf>
    <xf numFmtId="179" fontId="0" fillId="41" borderId="17" xfId="0" applyFill="1" applyBorder="1" applyAlignment="1" applyProtection="1">
      <alignment/>
      <protection/>
    </xf>
    <xf numFmtId="179" fontId="0" fillId="47" borderId="51" xfId="0" applyFill="1" applyBorder="1" applyAlignment="1">
      <alignment/>
    </xf>
    <xf numFmtId="179" fontId="0" fillId="47" borderId="51" xfId="0" applyFill="1" applyBorder="1" applyAlignment="1">
      <alignment horizontal="right"/>
    </xf>
    <xf numFmtId="179" fontId="0" fillId="47" borderId="72" xfId="0" applyFill="1" applyBorder="1" applyAlignment="1">
      <alignment/>
    </xf>
    <xf numFmtId="179" fontId="38" fillId="47" borderId="0" xfId="0" applyFont="1" applyFill="1" applyBorder="1" applyAlignment="1">
      <alignment/>
    </xf>
    <xf numFmtId="179" fontId="45" fillId="47" borderId="0" xfId="0" applyFont="1" applyFill="1" applyBorder="1" applyAlignment="1">
      <alignment/>
    </xf>
    <xf numFmtId="179" fontId="0" fillId="47" borderId="0" xfId="0" applyFont="1" applyFill="1" applyBorder="1" applyAlignment="1">
      <alignment/>
    </xf>
    <xf numFmtId="197" fontId="2" fillId="0" borderId="17" xfId="66" applyNumberFormat="1" applyFill="1" applyBorder="1" applyProtection="1">
      <alignment/>
      <protection locked="0"/>
    </xf>
    <xf numFmtId="197" fontId="2" fillId="2" borderId="71" xfId="0" applyNumberFormat="1" applyFont="1" applyFill="1" applyBorder="1" applyAlignment="1" applyProtection="1">
      <alignment/>
      <protection locked="0"/>
    </xf>
    <xf numFmtId="179" fontId="28" fillId="43" borderId="31" xfId="0" applyFont="1" applyFill="1" applyBorder="1" applyAlignment="1" applyProtection="1">
      <alignment horizontal="right" vertical="center"/>
      <protection/>
    </xf>
    <xf numFmtId="179" fontId="2" fillId="43" borderId="10" xfId="0" applyFont="1" applyFill="1" applyBorder="1" applyAlignment="1" applyProtection="1">
      <alignment vertical="center"/>
      <protection/>
    </xf>
    <xf numFmtId="1" fontId="3" fillId="43" borderId="0" xfId="0" applyNumberFormat="1" applyFont="1" applyFill="1" applyBorder="1" applyAlignment="1" applyProtection="1" quotePrefix="1">
      <alignment horizontal="center"/>
      <protection/>
    </xf>
    <xf numFmtId="179" fontId="3" fillId="43" borderId="17" xfId="0" applyFont="1" applyFill="1" applyBorder="1" applyAlignment="1" applyProtection="1" quotePrefix="1">
      <alignment horizontal="center"/>
      <protection/>
    </xf>
    <xf numFmtId="179" fontId="2" fillId="43" borderId="17" xfId="0" applyFont="1" applyFill="1" applyBorder="1" applyAlignment="1" applyProtection="1" quotePrefix="1">
      <alignment/>
      <protection/>
    </xf>
    <xf numFmtId="179" fontId="3" fillId="43" borderId="11" xfId="0" applyFont="1" applyFill="1" applyBorder="1" applyAlignment="1" applyProtection="1">
      <alignment/>
      <protection/>
    </xf>
    <xf numFmtId="179" fontId="2" fillId="43" borderId="0" xfId="0" applyFont="1" applyFill="1" applyAlignment="1" applyProtection="1">
      <alignment horizontal="left" vertical="top"/>
      <protection/>
    </xf>
    <xf numFmtId="179" fontId="8" fillId="43" borderId="0" xfId="0" applyFont="1" applyFill="1" applyAlignment="1" applyProtection="1">
      <alignment horizontal="left" vertical="center"/>
      <protection/>
    </xf>
    <xf numFmtId="179" fontId="2" fillId="43" borderId="17" xfId="0" applyFont="1" applyFill="1" applyBorder="1" applyAlignment="1" applyProtection="1" quotePrefix="1">
      <alignment horizontal="center" vertical="center"/>
      <protection/>
    </xf>
    <xf numFmtId="197" fontId="0" fillId="2" borderId="0" xfId="0" applyNumberFormat="1" applyBorder="1" applyAlignment="1" applyProtection="1">
      <alignment/>
      <protection locked="0"/>
    </xf>
    <xf numFmtId="179" fontId="15" fillId="39" borderId="17" xfId="0" applyFont="1" applyFill="1" applyBorder="1" applyAlignment="1" applyProtection="1">
      <alignment/>
      <protection/>
    </xf>
    <xf numFmtId="179" fontId="23" fillId="39" borderId="17" xfId="0" applyFont="1" applyFill="1" applyBorder="1" applyAlignment="1" applyProtection="1">
      <alignment horizontal="right"/>
      <protection/>
    </xf>
    <xf numFmtId="179" fontId="23" fillId="39" borderId="17" xfId="0" applyFont="1" applyFill="1" applyBorder="1" applyAlignment="1" applyProtection="1" quotePrefix="1">
      <alignment horizontal="right"/>
      <protection/>
    </xf>
    <xf numFmtId="179" fontId="2" fillId="39" borderId="14" xfId="0" applyFont="1" applyFill="1" applyBorder="1" applyAlignment="1" applyProtection="1">
      <alignment vertical="center"/>
      <protection/>
    </xf>
    <xf numFmtId="179" fontId="15" fillId="39" borderId="17" xfId="0" applyFont="1" applyFill="1" applyBorder="1" applyAlignment="1" applyProtection="1">
      <alignment horizontal="right"/>
      <protection/>
    </xf>
    <xf numFmtId="9" fontId="23" fillId="34" borderId="54" xfId="66" applyNumberFormat="1" applyFont="1" applyBorder="1" applyProtection="1">
      <alignment/>
      <protection/>
    </xf>
    <xf numFmtId="197" fontId="23" fillId="34" borderId="54" xfId="66" applyNumberFormat="1" applyFont="1" applyBorder="1" applyProtection="1">
      <alignment/>
      <protection/>
    </xf>
    <xf numFmtId="179" fontId="23" fillId="39" borderId="11" xfId="0" applyFont="1" applyFill="1" applyBorder="1" applyAlignment="1" applyProtection="1">
      <alignment/>
      <protection/>
    </xf>
    <xf numFmtId="178" fontId="3" fillId="39" borderId="0" xfId="0" applyNumberFormat="1" applyFont="1" applyFill="1" applyAlignment="1" applyProtection="1">
      <alignment horizontal="right"/>
      <protection/>
    </xf>
    <xf numFmtId="179" fontId="10" fillId="39" borderId="13" xfId="0" applyFont="1" applyFill="1" applyBorder="1" applyAlignment="1" applyProtection="1">
      <alignment horizontal="center" vertical="top"/>
      <protection/>
    </xf>
    <xf numFmtId="179" fontId="10" fillId="39" borderId="14" xfId="0" applyFont="1" applyFill="1" applyBorder="1" applyAlignment="1" applyProtection="1">
      <alignment vertical="top" wrapText="1"/>
      <protection/>
    </xf>
    <xf numFmtId="179" fontId="9" fillId="36" borderId="14" xfId="0" applyFont="1" applyFill="1" applyBorder="1" applyAlignment="1" applyProtection="1">
      <alignment/>
      <protection/>
    </xf>
    <xf numFmtId="179" fontId="9" fillId="36" borderId="15" xfId="0" applyFont="1" applyFill="1" applyBorder="1" applyAlignment="1" applyProtection="1">
      <alignment/>
      <protection/>
    </xf>
    <xf numFmtId="179" fontId="3" fillId="39" borderId="14" xfId="0" applyFont="1" applyFill="1" applyBorder="1" applyAlignment="1" applyProtection="1">
      <alignment horizontal="left"/>
      <protection/>
    </xf>
    <xf numFmtId="188" fontId="2" fillId="39" borderId="0" xfId="0" applyNumberFormat="1" applyFont="1" applyFill="1" applyAlignment="1" applyProtection="1">
      <alignment/>
      <protection/>
    </xf>
    <xf numFmtId="188" fontId="2" fillId="0" borderId="0" xfId="0" applyNumberFormat="1" applyFont="1" applyFill="1" applyAlignment="1" applyProtection="1">
      <alignment horizontal="center"/>
      <protection locked="0"/>
    </xf>
    <xf numFmtId="197" fontId="2" fillId="2" borderId="22" xfId="0" applyNumberFormat="1" applyFont="1" applyFill="1" applyBorder="1" applyAlignment="1" applyProtection="1">
      <alignment horizontal="center" vertical="top"/>
      <protection locked="0"/>
    </xf>
    <xf numFmtId="197" fontId="2" fillId="2" borderId="22" xfId="66" applyNumberFormat="1" applyFill="1" applyBorder="1" applyAlignment="1" applyProtection="1">
      <alignment horizontal="center" vertical="top"/>
      <protection locked="0"/>
    </xf>
    <xf numFmtId="197" fontId="2" fillId="2" borderId="22" xfId="0" applyNumberFormat="1" applyFont="1" applyFill="1" applyBorder="1" applyAlignment="1" applyProtection="1">
      <alignment vertical="top" wrapText="1"/>
      <protection locked="0"/>
    </xf>
    <xf numFmtId="1" fontId="2" fillId="2" borderId="22" xfId="0" applyNumberFormat="1" applyFont="1" applyFill="1" applyBorder="1" applyAlignment="1" applyProtection="1">
      <alignment horizontal="center" vertical="top"/>
      <protection locked="0"/>
    </xf>
    <xf numFmtId="197" fontId="2" fillId="2" borderId="22" xfId="66" applyNumberFormat="1" applyFill="1" applyBorder="1" applyAlignment="1" applyProtection="1">
      <alignment horizontal="right" vertical="top"/>
      <protection locked="0"/>
    </xf>
    <xf numFmtId="179" fontId="3" fillId="39" borderId="0" xfId="0" applyFont="1" applyFill="1" applyAlignment="1" applyProtection="1">
      <alignment vertical="center"/>
      <protection/>
    </xf>
    <xf numFmtId="179" fontId="23" fillId="39" borderId="17" xfId="0" applyFont="1" applyFill="1" applyBorder="1" applyAlignment="1" applyProtection="1">
      <alignment horizontal="center"/>
      <protection/>
    </xf>
    <xf numFmtId="179" fontId="0" fillId="39" borderId="0" xfId="0" applyFont="1" applyFill="1" applyAlignment="1" applyProtection="1">
      <alignment/>
      <protection/>
    </xf>
    <xf numFmtId="183" fontId="0" fillId="34" borderId="54" xfId="0" applyNumberFormat="1" applyFill="1" applyBorder="1" applyAlignment="1" applyProtection="1">
      <alignment horizontal="right"/>
      <protection/>
    </xf>
    <xf numFmtId="179" fontId="0" fillId="34" borderId="31" xfId="0" applyFill="1" applyBorder="1" applyAlignment="1" applyProtection="1">
      <alignment/>
      <protection/>
    </xf>
    <xf numFmtId="212" fontId="2" fillId="34" borderId="18" xfId="0" applyNumberFormat="1" applyFont="1" applyFill="1" applyBorder="1" applyAlignment="1" applyProtection="1">
      <alignment/>
      <protection/>
    </xf>
    <xf numFmtId="179" fontId="10" fillId="39" borderId="13" xfId="0" applyFont="1" applyFill="1" applyBorder="1" applyAlignment="1" applyProtection="1">
      <alignment horizontal="left" vertical="top"/>
      <protection/>
    </xf>
    <xf numFmtId="179" fontId="3" fillId="39" borderId="0" xfId="0" applyFont="1" applyFill="1" applyBorder="1" applyAlignment="1" applyProtection="1">
      <alignment horizontal="center" vertical="center" textRotation="90"/>
      <protection/>
    </xf>
    <xf numFmtId="212" fontId="2" fillId="0" borderId="20" xfId="0" applyNumberFormat="1" applyFont="1" applyFill="1" applyBorder="1" applyAlignment="1" applyProtection="1">
      <alignment/>
      <protection locked="0"/>
    </xf>
    <xf numFmtId="197" fontId="2" fillId="0" borderId="22" xfId="66" applyNumberFormat="1" applyFill="1" applyBorder="1" applyProtection="1">
      <alignment/>
      <protection locked="0"/>
    </xf>
    <xf numFmtId="0" fontId="1" fillId="0" borderId="14" xfId="60" applyFill="1" applyBorder="1">
      <alignment/>
      <protection/>
    </xf>
    <xf numFmtId="0" fontId="1" fillId="0" borderId="14" xfId="60" applyFont="1" applyFill="1" applyBorder="1">
      <alignment/>
      <protection/>
    </xf>
    <xf numFmtId="0" fontId="1" fillId="0" borderId="15" xfId="60" applyFill="1" applyBorder="1">
      <alignment/>
      <protection/>
    </xf>
    <xf numFmtId="0" fontId="1" fillId="0" borderId="0" xfId="60" applyFont="1" applyFill="1" applyBorder="1" applyAlignment="1">
      <alignment vertical="top"/>
      <protection/>
    </xf>
    <xf numFmtId="0" fontId="19" fillId="0" borderId="0" xfId="60" applyFont="1" applyFill="1" applyBorder="1" applyAlignment="1">
      <alignment horizontal="right" vertical="top"/>
      <protection/>
    </xf>
    <xf numFmtId="0" fontId="1" fillId="0" borderId="17" xfId="60" applyFill="1" applyBorder="1">
      <alignment/>
      <protection/>
    </xf>
    <xf numFmtId="0" fontId="1" fillId="0" borderId="17" xfId="60" applyFont="1" applyFill="1" applyBorder="1" applyAlignment="1">
      <alignment vertical="top"/>
      <protection/>
    </xf>
    <xf numFmtId="0" fontId="19" fillId="0" borderId="17" xfId="60" applyFont="1" applyFill="1" applyBorder="1" applyAlignment="1">
      <alignment horizontal="right" vertical="top"/>
      <protection/>
    </xf>
    <xf numFmtId="1" fontId="19" fillId="0" borderId="17" xfId="60" applyNumberFormat="1" applyFont="1" applyFill="1" applyBorder="1" applyAlignment="1">
      <alignment horizontal="left" vertical="top"/>
      <protection/>
    </xf>
    <xf numFmtId="1" fontId="19" fillId="0" borderId="19" xfId="60" applyNumberFormat="1" applyFont="1" applyFill="1" applyBorder="1" applyAlignment="1">
      <alignment horizontal="left" vertical="top"/>
      <protection/>
    </xf>
    <xf numFmtId="0" fontId="1" fillId="0" borderId="16" xfId="60" applyFill="1" applyBorder="1" applyAlignment="1">
      <alignment horizontal="left"/>
      <protection/>
    </xf>
    <xf numFmtId="0" fontId="1" fillId="0" borderId="16" xfId="60" applyFill="1" applyBorder="1">
      <alignment/>
      <protection/>
    </xf>
    <xf numFmtId="0" fontId="101" fillId="0" borderId="0" xfId="60" applyFont="1" applyFill="1" applyBorder="1" applyAlignment="1">
      <alignment horizontal="left" vertical="top"/>
      <protection/>
    </xf>
    <xf numFmtId="0" fontId="1" fillId="39" borderId="0" xfId="60" applyFill="1" applyBorder="1" applyAlignment="1">
      <alignment/>
      <protection/>
    </xf>
    <xf numFmtId="179" fontId="2" fillId="39" borderId="13" xfId="0" applyFont="1" applyFill="1" applyBorder="1" applyAlignment="1" applyProtection="1">
      <alignment/>
      <protection/>
    </xf>
    <xf numFmtId="179" fontId="3" fillId="39" borderId="0" xfId="0" applyFont="1" applyFill="1" applyBorder="1" applyAlignment="1" applyProtection="1">
      <alignment horizontal="right"/>
      <protection/>
    </xf>
    <xf numFmtId="179" fontId="3" fillId="39" borderId="12" xfId="0" applyFont="1" applyFill="1" applyBorder="1" applyAlignment="1" applyProtection="1">
      <alignment horizontal="right"/>
      <protection/>
    </xf>
    <xf numFmtId="179" fontId="38" fillId="39" borderId="0" xfId="0" applyFont="1" applyFill="1" applyBorder="1" applyAlignment="1" applyProtection="1" quotePrefix="1">
      <alignment horizontal="right"/>
      <protection/>
    </xf>
    <xf numFmtId="1" fontId="38" fillId="39" borderId="0" xfId="0" applyNumberFormat="1" applyFont="1" applyFill="1" applyBorder="1" applyAlignment="1" applyProtection="1">
      <alignment/>
      <protection/>
    </xf>
    <xf numFmtId="179" fontId="30" fillId="39" borderId="0" xfId="0" applyFont="1" applyFill="1" applyBorder="1" applyAlignment="1" applyProtection="1">
      <alignment/>
      <protection/>
    </xf>
    <xf numFmtId="179" fontId="67" fillId="39" borderId="12" xfId="53" applyNumberFormat="1" applyFont="1" applyFill="1" applyBorder="1" applyAlignment="1" applyProtection="1">
      <alignment horizontal="center"/>
      <protection/>
    </xf>
    <xf numFmtId="179" fontId="67" fillId="39" borderId="16" xfId="53" applyNumberFormat="1" applyFont="1" applyFill="1" applyBorder="1" applyAlignment="1" applyProtection="1">
      <alignment/>
      <protection/>
    </xf>
    <xf numFmtId="179" fontId="67" fillId="2" borderId="16" xfId="53" applyNumberFormat="1" applyFont="1" applyFill="1" applyBorder="1" applyAlignment="1" applyProtection="1">
      <alignment/>
      <protection/>
    </xf>
    <xf numFmtId="179" fontId="50" fillId="2" borderId="0" xfId="53" applyNumberFormat="1" applyFill="1" applyAlignment="1" applyProtection="1">
      <alignment/>
      <protection/>
    </xf>
    <xf numFmtId="179" fontId="117" fillId="0" borderId="0" xfId="58" applyFont="1" applyProtection="1">
      <alignment/>
      <protection/>
    </xf>
    <xf numFmtId="179" fontId="118" fillId="39" borderId="0" xfId="58" applyFont="1" applyFill="1" applyBorder="1" applyProtection="1">
      <alignment/>
      <protection/>
    </xf>
    <xf numFmtId="179" fontId="67" fillId="39" borderId="12" xfId="53" applyNumberFormat="1" applyFont="1" applyFill="1" applyBorder="1" applyAlignment="1" applyProtection="1">
      <alignment horizontal="left"/>
      <protection/>
    </xf>
    <xf numFmtId="179" fontId="52" fillId="36" borderId="0" xfId="0" applyFont="1" applyFill="1" applyAlignment="1" applyProtection="1">
      <alignment vertical="center"/>
      <protection hidden="1"/>
    </xf>
    <xf numFmtId="179" fontId="17" fillId="43" borderId="14" xfId="0" applyFont="1" applyFill="1" applyBorder="1" applyAlignment="1" applyProtection="1">
      <alignment/>
      <protection/>
    </xf>
    <xf numFmtId="179" fontId="42" fillId="43" borderId="14" xfId="0" applyFont="1" applyFill="1" applyBorder="1" applyAlignment="1" applyProtection="1">
      <alignment horizontal="center"/>
      <protection/>
    </xf>
    <xf numFmtId="179" fontId="4" fillId="43" borderId="14" xfId="0" applyFont="1" applyFill="1" applyBorder="1" applyAlignment="1" applyProtection="1">
      <alignment horizontal="right"/>
      <protection/>
    </xf>
    <xf numFmtId="179" fontId="4" fillId="43" borderId="15" xfId="0" applyFont="1" applyFill="1" applyBorder="1" applyAlignment="1" applyProtection="1">
      <alignment horizontal="right"/>
      <protection/>
    </xf>
    <xf numFmtId="179" fontId="2" fillId="43" borderId="19" xfId="0" applyFont="1" applyFill="1" applyBorder="1" applyAlignment="1" applyProtection="1">
      <alignment horizontal="right" vertical="center"/>
      <protection/>
    </xf>
    <xf numFmtId="0" fontId="1" fillId="0" borderId="0" xfId="60" applyFont="1">
      <alignment/>
      <protection/>
    </xf>
    <xf numFmtId="0" fontId="1" fillId="0" borderId="0" xfId="60" applyFont="1" applyFill="1" applyBorder="1">
      <alignment/>
      <protection/>
    </xf>
    <xf numFmtId="195" fontId="1" fillId="0" borderId="0" xfId="60" applyNumberFormat="1" applyFont="1" applyFill="1" applyBorder="1">
      <alignment/>
      <protection/>
    </xf>
    <xf numFmtId="179" fontId="10" fillId="43" borderId="0" xfId="0" applyFont="1" applyFill="1" applyAlignment="1" applyProtection="1">
      <alignment/>
      <protection/>
    </xf>
    <xf numFmtId="179" fontId="38" fillId="39" borderId="11" xfId="0" applyFont="1" applyFill="1" applyBorder="1" applyAlignment="1" applyProtection="1">
      <alignment horizontal="right"/>
      <protection/>
    </xf>
    <xf numFmtId="179" fontId="38" fillId="39" borderId="17" xfId="0" applyFont="1" applyFill="1" applyBorder="1" applyAlignment="1" applyProtection="1">
      <alignment/>
      <protection/>
    </xf>
    <xf numFmtId="179" fontId="0" fillId="39" borderId="0" xfId="0" applyFill="1" applyAlignment="1">
      <alignment vertical="top"/>
    </xf>
    <xf numFmtId="179" fontId="31" fillId="39" borderId="14" xfId="0" applyFont="1" applyFill="1" applyBorder="1" applyAlignment="1">
      <alignment horizontal="left"/>
    </xf>
    <xf numFmtId="179" fontId="47" fillId="39" borderId="0" xfId="0" applyFont="1" applyFill="1" applyBorder="1" applyAlignment="1">
      <alignment/>
    </xf>
    <xf numFmtId="179" fontId="47" fillId="39" borderId="17" xfId="0" applyFont="1" applyFill="1" applyBorder="1" applyAlignment="1">
      <alignment horizontal="center"/>
    </xf>
    <xf numFmtId="179" fontId="47" fillId="39" borderId="0" xfId="0" applyFont="1" applyFill="1" applyBorder="1" applyAlignment="1">
      <alignment horizontal="center"/>
    </xf>
    <xf numFmtId="179" fontId="38" fillId="39" borderId="14" xfId="0" applyFont="1" applyFill="1" applyBorder="1" applyAlignment="1">
      <alignment/>
    </xf>
    <xf numFmtId="0" fontId="55" fillId="39" borderId="17" xfId="61" applyFont="1" applyFill="1" applyBorder="1" applyAlignment="1" applyProtection="1">
      <alignment horizontal="right"/>
      <protection/>
    </xf>
    <xf numFmtId="0" fontId="55" fillId="39" borderId="11" xfId="61" applyFont="1" applyFill="1" applyBorder="1" applyProtection="1">
      <alignment/>
      <protection/>
    </xf>
    <xf numFmtId="179" fontId="26" fillId="39" borderId="11" xfId="58" applyFont="1" applyFill="1" applyBorder="1" applyAlignment="1" applyProtection="1">
      <alignment horizontal="left" wrapText="1"/>
      <protection/>
    </xf>
    <xf numFmtId="0" fontId="55" fillId="39" borderId="11" xfId="61" applyFont="1" applyFill="1" applyBorder="1" applyAlignment="1" applyProtection="1">
      <alignment horizontal="right"/>
      <protection/>
    </xf>
    <xf numFmtId="0" fontId="56" fillId="39" borderId="11" xfId="61" applyFont="1" applyFill="1" applyBorder="1" applyAlignment="1" applyProtection="1">
      <alignment horizontal="center"/>
      <protection/>
    </xf>
    <xf numFmtId="0" fontId="56" fillId="39" borderId="11" xfId="61" applyFont="1" applyFill="1" applyBorder="1" applyAlignment="1" applyProtection="1">
      <alignment horizontal="right"/>
      <protection/>
    </xf>
    <xf numFmtId="0" fontId="96" fillId="39" borderId="0" xfId="61" applyFont="1" applyFill="1" applyBorder="1">
      <alignment/>
      <protection/>
    </xf>
    <xf numFmtId="0" fontId="55" fillId="39" borderId="13" xfId="61" applyFont="1" applyFill="1" applyBorder="1" applyProtection="1">
      <alignment/>
      <protection/>
    </xf>
    <xf numFmtId="0" fontId="55" fillId="39" borderId="17" xfId="61" applyFont="1" applyFill="1" applyBorder="1" applyAlignment="1" applyProtection="1">
      <alignment horizontal="left"/>
      <protection/>
    </xf>
    <xf numFmtId="0" fontId="56" fillId="39" borderId="17" xfId="61" applyFont="1" applyFill="1" applyBorder="1" applyAlignment="1" applyProtection="1">
      <alignment horizontal="left"/>
      <protection/>
    </xf>
    <xf numFmtId="0" fontId="1" fillId="39" borderId="17" xfId="61" applyFill="1" applyBorder="1">
      <alignment/>
      <protection/>
    </xf>
    <xf numFmtId="0" fontId="58" fillId="39" borderId="17" xfId="61" applyFont="1" applyFill="1" applyBorder="1" applyAlignment="1" applyProtection="1">
      <alignment horizontal="right"/>
      <protection/>
    </xf>
    <xf numFmtId="179" fontId="38" fillId="39" borderId="17" xfId="0" applyFont="1" applyFill="1" applyBorder="1" applyAlignment="1">
      <alignment horizontal="right"/>
    </xf>
    <xf numFmtId="179" fontId="114" fillId="39" borderId="11" xfId="0" applyFont="1" applyFill="1" applyBorder="1" applyAlignment="1" quotePrefix="1">
      <alignment horizontal="right"/>
    </xf>
    <xf numFmtId="179" fontId="2" fillId="39" borderId="0" xfId="0" applyFont="1" applyFill="1" applyBorder="1" applyAlignment="1" applyProtection="1">
      <alignment vertical="center"/>
      <protection/>
    </xf>
    <xf numFmtId="179" fontId="0" fillId="2" borderId="0" xfId="0" applyAlignment="1" quotePrefix="1">
      <alignment/>
    </xf>
    <xf numFmtId="197" fontId="7" fillId="0" borderId="17" xfId="66" applyNumberFormat="1" applyFont="1" applyFill="1" applyBorder="1" applyProtection="1">
      <alignment/>
      <protection locked="0"/>
    </xf>
    <xf numFmtId="197" fontId="31" fillId="39" borderId="20" xfId="58" applyNumberFormat="1" applyFont="1" applyFill="1" applyBorder="1" applyProtection="1">
      <alignment/>
      <protection locked="0"/>
    </xf>
    <xf numFmtId="197" fontId="31" fillId="39" borderId="22" xfId="58" applyNumberFormat="1" applyFont="1" applyFill="1" applyBorder="1" applyProtection="1">
      <alignment/>
      <protection locked="0"/>
    </xf>
    <xf numFmtId="179" fontId="42" fillId="43" borderId="17" xfId="0" applyFont="1" applyFill="1" applyBorder="1" applyAlignment="1" applyProtection="1">
      <alignment horizontal="center"/>
      <protection/>
    </xf>
    <xf numFmtId="179" fontId="46" fillId="43" borderId="17" xfId="0" applyFont="1" applyFill="1" applyBorder="1" applyAlignment="1">
      <alignment/>
    </xf>
    <xf numFmtId="179" fontId="0" fillId="2" borderId="29" xfId="0" applyBorder="1" applyAlignment="1">
      <alignment horizontal="center"/>
    </xf>
    <xf numFmtId="179" fontId="0" fillId="2" borderId="29" xfId="0" applyBorder="1" applyAlignment="1">
      <alignment/>
    </xf>
    <xf numFmtId="220" fontId="0" fillId="2" borderId="29" xfId="0" applyNumberFormat="1" applyBorder="1" applyAlignment="1">
      <alignment/>
    </xf>
    <xf numFmtId="179" fontId="0" fillId="2" borderId="29" xfId="0" applyBorder="1" applyAlignment="1">
      <alignment horizontal="right"/>
    </xf>
    <xf numFmtId="191" fontId="0" fillId="2" borderId="29" xfId="0" applyNumberFormat="1" applyBorder="1" applyAlignment="1">
      <alignment/>
    </xf>
    <xf numFmtId="179" fontId="0" fillId="2" borderId="26" xfId="0" applyBorder="1" applyAlignment="1">
      <alignment horizontal="center"/>
    </xf>
    <xf numFmtId="179" fontId="0" fillId="2" borderId="22" xfId="0" applyBorder="1" applyAlignment="1">
      <alignment/>
    </xf>
    <xf numFmtId="179" fontId="0" fillId="2" borderId="22" xfId="0" applyBorder="1" applyAlignment="1">
      <alignment horizontal="center"/>
    </xf>
    <xf numFmtId="179" fontId="0" fillId="39" borderId="0" xfId="0" applyFont="1" applyFill="1" applyAlignment="1">
      <alignment/>
    </xf>
    <xf numFmtId="179" fontId="0" fillId="43" borderId="13" xfId="0" applyFill="1" applyBorder="1" applyAlignment="1">
      <alignment/>
    </xf>
    <xf numFmtId="179" fontId="16" fillId="43" borderId="14" xfId="0" applyFont="1" applyFill="1" applyBorder="1" applyAlignment="1" applyProtection="1">
      <alignment horizontal="right"/>
      <protection/>
    </xf>
    <xf numFmtId="179" fontId="16" fillId="43" borderId="18" xfId="0" applyFont="1" applyFill="1" applyBorder="1" applyAlignment="1" applyProtection="1">
      <alignment/>
      <protection/>
    </xf>
    <xf numFmtId="179" fontId="8" fillId="43" borderId="17" xfId="0" applyFont="1" applyFill="1" applyBorder="1" applyAlignment="1" applyProtection="1">
      <alignment horizontal="left"/>
      <protection/>
    </xf>
    <xf numFmtId="179" fontId="16" fillId="43" borderId="17" xfId="0" applyFont="1" applyFill="1" applyBorder="1" applyAlignment="1" applyProtection="1">
      <alignment horizontal="center"/>
      <protection/>
    </xf>
    <xf numFmtId="179" fontId="16" fillId="43" borderId="17" xfId="0" applyFont="1" applyFill="1" applyBorder="1" applyAlignment="1" applyProtection="1">
      <alignment horizontal="center" vertical="center"/>
      <protection/>
    </xf>
    <xf numFmtId="179" fontId="17" fillId="43" borderId="17" xfId="0" applyFont="1" applyFill="1" applyBorder="1" applyAlignment="1" applyProtection="1">
      <alignment vertical="center"/>
      <protection/>
    </xf>
    <xf numFmtId="179" fontId="2" fillId="43" borderId="17" xfId="0" applyFont="1" applyFill="1" applyBorder="1" applyAlignment="1" applyProtection="1">
      <alignment horizontal="right" vertical="top"/>
      <protection/>
    </xf>
    <xf numFmtId="179" fontId="1" fillId="2" borderId="0" xfId="0" applyFont="1" applyAlignment="1">
      <alignment/>
    </xf>
    <xf numFmtId="0" fontId="1" fillId="0" borderId="0" xfId="60" applyFont="1" applyFill="1" applyBorder="1">
      <alignment/>
      <protection/>
    </xf>
    <xf numFmtId="202" fontId="1" fillId="0" borderId="0" xfId="60" applyNumberFormat="1" applyFont="1" applyFill="1" applyBorder="1" applyAlignment="1">
      <alignment/>
      <protection/>
    </xf>
    <xf numFmtId="0" fontId="96" fillId="0" borderId="0" xfId="61" applyFont="1" applyFill="1" applyBorder="1" applyProtection="1">
      <alignment/>
      <protection/>
    </xf>
    <xf numFmtId="0" fontId="62" fillId="0" borderId="0" xfId="60" applyFont="1" applyFill="1" applyBorder="1">
      <alignment/>
      <protection/>
    </xf>
    <xf numFmtId="179" fontId="30" fillId="2" borderId="0" xfId="0" applyFont="1" applyAlignment="1">
      <alignment/>
    </xf>
    <xf numFmtId="0" fontId="1" fillId="36" borderId="12" xfId="60" applyFill="1" applyBorder="1">
      <alignment/>
      <protection/>
    </xf>
    <xf numFmtId="0" fontId="1" fillId="36" borderId="0" xfId="60" applyFill="1" applyBorder="1">
      <alignment/>
      <protection/>
    </xf>
    <xf numFmtId="0" fontId="1" fillId="36" borderId="16" xfId="60" applyFill="1" applyBorder="1">
      <alignment/>
      <protection/>
    </xf>
    <xf numFmtId="0" fontId="120" fillId="36" borderId="0" xfId="60" applyFont="1" applyFill="1" applyBorder="1" applyAlignment="1">
      <alignment vertical="top"/>
      <protection/>
    </xf>
    <xf numFmtId="0" fontId="23" fillId="0" borderId="0" xfId="60" applyFont="1" applyFill="1" applyBorder="1" applyAlignment="1">
      <alignment vertical="top"/>
      <protection/>
    </xf>
    <xf numFmtId="0" fontId="121" fillId="0" borderId="17" xfId="60" applyFont="1" applyFill="1" applyBorder="1" applyAlignment="1">
      <alignment horizontal="center" vertical="center"/>
      <protection/>
    </xf>
    <xf numFmtId="179" fontId="102" fillId="39" borderId="12" xfId="0" applyFont="1" applyFill="1" applyBorder="1" applyAlignment="1" applyProtection="1">
      <alignment vertical="top"/>
      <protection/>
    </xf>
    <xf numFmtId="179" fontId="0" fillId="39" borderId="0" xfId="0" applyFill="1" applyAlignment="1">
      <alignment vertical="center"/>
    </xf>
    <xf numFmtId="179" fontId="15" fillId="39" borderId="15" xfId="0" applyFont="1" applyFill="1" applyBorder="1" applyAlignment="1">
      <alignment horizontal="center"/>
    </xf>
    <xf numFmtId="179" fontId="15" fillId="39" borderId="29" xfId="0" applyFont="1" applyFill="1" applyBorder="1" applyAlignment="1">
      <alignment horizontal="center"/>
    </xf>
    <xf numFmtId="179" fontId="15" fillId="39" borderId="16" xfId="0" applyFont="1" applyFill="1" applyBorder="1" applyAlignment="1">
      <alignment horizontal="center"/>
    </xf>
    <xf numFmtId="179" fontId="15" fillId="39" borderId="22" xfId="0" applyFont="1" applyFill="1" applyBorder="1" applyAlignment="1">
      <alignment horizontal="center"/>
    </xf>
    <xf numFmtId="179" fontId="15" fillId="39" borderId="19" xfId="0" applyFont="1" applyFill="1" applyBorder="1" applyAlignment="1">
      <alignment horizontal="center"/>
    </xf>
    <xf numFmtId="179" fontId="15" fillId="39" borderId="0" xfId="0" applyFont="1" applyFill="1" applyAlignment="1">
      <alignment horizontal="right"/>
    </xf>
    <xf numFmtId="179" fontId="23" fillId="39" borderId="17" xfId="0" applyFont="1" applyFill="1" applyBorder="1" applyAlignment="1">
      <alignment/>
    </xf>
    <xf numFmtId="179" fontId="15" fillId="39" borderId="17" xfId="0" applyFont="1" applyFill="1" applyBorder="1" applyAlignment="1">
      <alignment horizontal="right"/>
    </xf>
    <xf numFmtId="179" fontId="23" fillId="39" borderId="14" xfId="0" applyFont="1" applyFill="1" applyBorder="1" applyAlignment="1">
      <alignment/>
    </xf>
    <xf numFmtId="197" fontId="27" fillId="34" borderId="17" xfId="66" applyNumberFormat="1" applyFont="1" applyFill="1" applyBorder="1" applyProtection="1">
      <alignment/>
      <protection/>
    </xf>
    <xf numFmtId="197" fontId="27" fillId="34" borderId="20" xfId="66" applyNumberFormat="1" applyFont="1" applyFill="1" applyBorder="1" applyProtection="1">
      <alignment/>
      <protection/>
    </xf>
    <xf numFmtId="179" fontId="0" fillId="2" borderId="17" xfId="0" applyFill="1" applyBorder="1" applyAlignment="1" applyProtection="1">
      <alignment horizontal="right"/>
      <protection locked="0"/>
    </xf>
    <xf numFmtId="222" fontId="0" fillId="0" borderId="20" xfId="0" applyNumberFormat="1" applyFill="1" applyBorder="1" applyAlignment="1" applyProtection="1">
      <alignment horizontal="center"/>
      <protection locked="0"/>
    </xf>
    <xf numFmtId="179" fontId="0" fillId="0" borderId="20" xfId="0" applyFill="1" applyBorder="1" applyAlignment="1" applyProtection="1">
      <alignment/>
      <protection locked="0"/>
    </xf>
    <xf numFmtId="49" fontId="0" fillId="0" borderId="20" xfId="0" applyNumberFormat="1" applyFill="1" applyBorder="1" applyAlignment="1" applyProtection="1">
      <alignment horizontal="center"/>
      <protection locked="0"/>
    </xf>
    <xf numFmtId="179" fontId="0" fillId="0" borderId="23" xfId="0" applyFill="1" applyBorder="1" applyAlignment="1" applyProtection="1">
      <alignment/>
      <protection locked="0"/>
    </xf>
    <xf numFmtId="179" fontId="0" fillId="0" borderId="20" xfId="0" applyFill="1" applyBorder="1" applyAlignment="1" applyProtection="1">
      <alignment horizontal="center"/>
      <protection locked="0"/>
    </xf>
    <xf numFmtId="179" fontId="0" fillId="39" borderId="11" xfId="0" applyFill="1" applyBorder="1" applyAlignment="1" applyProtection="1">
      <alignment horizontal="center"/>
      <protection/>
    </xf>
    <xf numFmtId="179" fontId="0" fillId="39" borderId="11" xfId="0" applyFill="1" applyBorder="1" applyAlignment="1">
      <alignment horizontal="right"/>
    </xf>
    <xf numFmtId="179" fontId="67" fillId="2" borderId="16" xfId="53" applyNumberFormat="1" applyFont="1" applyFill="1" applyBorder="1" applyAlignment="1" applyProtection="1">
      <alignment horizontal="center"/>
      <protection/>
    </xf>
    <xf numFmtId="179" fontId="38" fillId="39" borderId="0" xfId="0" applyFont="1" applyFill="1" applyAlignment="1" applyProtection="1">
      <alignment wrapText="1"/>
      <protection hidden="1"/>
    </xf>
    <xf numFmtId="179" fontId="38" fillId="39" borderId="0" xfId="0" applyFont="1" applyFill="1" applyAlignment="1" applyProtection="1">
      <alignment/>
      <protection hidden="1"/>
    </xf>
    <xf numFmtId="179" fontId="67" fillId="39" borderId="12" xfId="53" applyNumberFormat="1" applyFont="1" applyFill="1" applyBorder="1" applyAlignment="1" applyProtection="1">
      <alignment horizontal="left" vertical="top"/>
      <protection/>
    </xf>
    <xf numFmtId="179" fontId="3" fillId="39" borderId="10" xfId="0" applyFont="1" applyFill="1" applyBorder="1" applyAlignment="1" applyProtection="1">
      <alignment/>
      <protection/>
    </xf>
    <xf numFmtId="179" fontId="3" fillId="39" borderId="0" xfId="0" applyFont="1" applyFill="1" applyBorder="1" applyAlignment="1" applyProtection="1">
      <alignment/>
      <protection/>
    </xf>
    <xf numFmtId="179" fontId="27" fillId="39" borderId="10" xfId="0" applyFont="1" applyFill="1" applyBorder="1" applyAlignment="1" applyProtection="1">
      <alignment horizontal="left"/>
      <protection/>
    </xf>
    <xf numFmtId="179" fontId="0" fillId="2" borderId="11" xfId="0" applyBorder="1" applyAlignment="1">
      <alignment/>
    </xf>
    <xf numFmtId="179" fontId="0" fillId="2" borderId="23" xfId="0" applyBorder="1" applyAlignment="1">
      <alignment/>
    </xf>
    <xf numFmtId="179" fontId="26" fillId="39" borderId="0" xfId="58" applyFont="1" applyFill="1" applyAlignment="1" applyProtection="1">
      <alignment horizontal="left" vertical="center" wrapText="1"/>
      <protection/>
    </xf>
    <xf numFmtId="197" fontId="7" fillId="0" borderId="0" xfId="66" applyNumberFormat="1" applyFont="1" applyFill="1" applyBorder="1" applyProtection="1">
      <alignment/>
      <protection locked="0"/>
    </xf>
    <xf numFmtId="197" fontId="31" fillId="0" borderId="73" xfId="58" applyNumberFormat="1" applyFont="1" applyFill="1" applyBorder="1" applyProtection="1">
      <alignment/>
      <protection locked="0"/>
    </xf>
    <xf numFmtId="0" fontId="55" fillId="39" borderId="0" xfId="61" applyFont="1" applyFill="1" applyAlignment="1" applyProtection="1">
      <alignment vertical="center"/>
      <protection/>
    </xf>
    <xf numFmtId="0" fontId="56" fillId="39" borderId="13" xfId="61" applyFont="1" applyFill="1" applyBorder="1" applyAlignment="1" applyProtection="1">
      <alignment horizontal="center"/>
      <protection/>
    </xf>
    <xf numFmtId="179" fontId="26" fillId="39" borderId="14" xfId="58" applyFont="1" applyFill="1" applyBorder="1" applyAlignment="1" applyProtection="1">
      <alignment horizontal="left" wrapText="1"/>
      <protection/>
    </xf>
    <xf numFmtId="0" fontId="56" fillId="39" borderId="12" xfId="61" applyFont="1" applyFill="1" applyBorder="1" applyAlignment="1" applyProtection="1">
      <alignment horizontal="center"/>
      <protection/>
    </xf>
    <xf numFmtId="179" fontId="26" fillId="39" borderId="0" xfId="58" applyFont="1" applyFill="1" applyBorder="1" applyAlignment="1" applyProtection="1">
      <alignment horizontal="left" wrapText="1"/>
      <protection/>
    </xf>
    <xf numFmtId="0" fontId="162" fillId="48" borderId="0" xfId="61" applyFont="1" applyFill="1" applyBorder="1" applyAlignment="1" applyProtection="1">
      <alignment vertical="center"/>
      <protection/>
    </xf>
    <xf numFmtId="179" fontId="96" fillId="39" borderId="0" xfId="58" applyFont="1" applyFill="1" applyBorder="1" applyAlignment="1" applyProtection="1">
      <alignment vertical="center"/>
      <protection/>
    </xf>
    <xf numFmtId="0" fontId="96" fillId="39" borderId="0" xfId="61" applyFont="1" applyFill="1" applyBorder="1" applyAlignment="1">
      <alignment vertical="top"/>
      <protection/>
    </xf>
    <xf numFmtId="0" fontId="56" fillId="39" borderId="0" xfId="61" applyFont="1" applyFill="1" applyAlignment="1" applyProtection="1">
      <alignment vertical="top"/>
      <protection/>
    </xf>
    <xf numFmtId="0" fontId="55" fillId="39" borderId="30" xfId="61" applyFont="1" applyFill="1" applyBorder="1" applyAlignment="1" applyProtection="1">
      <alignment wrapText="1"/>
      <protection/>
    </xf>
    <xf numFmtId="179" fontId="123" fillId="2" borderId="11" xfId="0" applyFont="1" applyBorder="1" applyAlignment="1">
      <alignment horizontal="right" vertical="center"/>
    </xf>
    <xf numFmtId="0" fontId="96" fillId="39" borderId="13" xfId="61" applyFont="1" applyFill="1" applyBorder="1">
      <alignment/>
      <protection/>
    </xf>
    <xf numFmtId="0" fontId="96" fillId="39" borderId="12" xfId="61" applyFont="1" applyFill="1" applyBorder="1">
      <alignment/>
      <protection/>
    </xf>
    <xf numFmtId="0" fontId="96" fillId="39" borderId="18" xfId="61" applyFont="1" applyFill="1" applyBorder="1">
      <alignment/>
      <protection/>
    </xf>
    <xf numFmtId="0" fontId="96" fillId="39" borderId="0" xfId="61" applyFont="1" applyFill="1" applyBorder="1" applyAlignment="1">
      <alignment/>
      <protection/>
    </xf>
    <xf numFmtId="0" fontId="55" fillId="39" borderId="0" xfId="61" applyFont="1" applyFill="1" applyBorder="1" applyAlignment="1" applyProtection="1">
      <alignment horizontal="left"/>
      <protection/>
    </xf>
    <xf numFmtId="0" fontId="55" fillId="39" borderId="0" xfId="61" applyFont="1" applyFill="1" applyBorder="1" applyAlignment="1" applyProtection="1">
      <alignment vertical="top"/>
      <protection/>
    </xf>
    <xf numFmtId="0" fontId="55" fillId="39" borderId="0" xfId="61" applyFont="1" applyFill="1" applyBorder="1" applyAlignment="1" applyProtection="1">
      <alignment vertical="center"/>
      <protection/>
    </xf>
    <xf numFmtId="0" fontId="56" fillId="39" borderId="17" xfId="61" applyFont="1" applyFill="1" applyBorder="1" applyAlignment="1" applyProtection="1">
      <alignment horizontal="right"/>
      <protection/>
    </xf>
    <xf numFmtId="2" fontId="55" fillId="0" borderId="17" xfId="61" applyNumberFormat="1" applyFont="1" applyFill="1" applyBorder="1" applyAlignment="1" applyProtection="1" quotePrefix="1">
      <alignment horizontal="right"/>
      <protection locked="0"/>
    </xf>
    <xf numFmtId="2" fontId="55" fillId="0" borderId="31" xfId="61" applyNumberFormat="1" applyFont="1" applyFill="1" applyBorder="1" applyAlignment="1" applyProtection="1" quotePrefix="1">
      <alignment horizontal="right"/>
      <protection locked="0"/>
    </xf>
    <xf numFmtId="0" fontId="163" fillId="39" borderId="14" xfId="61" applyFont="1" applyFill="1" applyBorder="1" applyAlignment="1" applyProtection="1">
      <alignment horizontal="right" vertical="center"/>
      <protection/>
    </xf>
    <xf numFmtId="0" fontId="3" fillId="39" borderId="14" xfId="61" applyFont="1" applyFill="1" applyBorder="1" applyAlignment="1" applyProtection="1">
      <alignment horizontal="center" vertical="center"/>
      <protection locked="0"/>
    </xf>
    <xf numFmtId="179" fontId="0" fillId="39" borderId="17" xfId="0" applyFont="1" applyFill="1" applyBorder="1" applyAlignment="1">
      <alignment/>
    </xf>
    <xf numFmtId="0" fontId="1" fillId="0" borderId="0" xfId="61" applyProtection="1">
      <alignment/>
      <protection locked="0"/>
    </xf>
    <xf numFmtId="1" fontId="0" fillId="2" borderId="0" xfId="0" applyNumberFormat="1" applyAlignment="1">
      <alignment/>
    </xf>
    <xf numFmtId="179" fontId="46" fillId="43" borderId="0" xfId="0" applyFont="1" applyFill="1" applyBorder="1" applyAlignment="1">
      <alignment/>
    </xf>
    <xf numFmtId="179" fontId="2" fillId="34" borderId="0" xfId="66">
      <alignment/>
      <protection hidden="1"/>
    </xf>
    <xf numFmtId="179" fontId="125" fillId="39" borderId="0" xfId="0" applyFont="1" applyFill="1" applyAlignment="1" applyProtection="1">
      <alignment/>
      <protection/>
    </xf>
    <xf numFmtId="179" fontId="125" fillId="39" borderId="17" xfId="0" applyFont="1" applyFill="1" applyBorder="1" applyAlignment="1" applyProtection="1">
      <alignment vertical="top"/>
      <protection/>
    </xf>
    <xf numFmtId="49" fontId="2" fillId="2" borderId="22" xfId="0" applyNumberFormat="1" applyFont="1" applyFill="1" applyBorder="1" applyAlignment="1" applyProtection="1">
      <alignment horizontal="center" vertical="top"/>
      <protection locked="0"/>
    </xf>
    <xf numFmtId="179" fontId="84" fillId="34" borderId="12" xfId="58" applyFont="1" applyFill="1" applyBorder="1" applyProtection="1">
      <alignment/>
      <protection locked="0"/>
    </xf>
    <xf numFmtId="179" fontId="0" fillId="2" borderId="0" xfId="0" applyAlignment="1">
      <alignment/>
    </xf>
    <xf numFmtId="179" fontId="67" fillId="39" borderId="12" xfId="53" applyNumberFormat="1" applyFont="1" applyFill="1" applyBorder="1" applyAlignment="1" applyProtection="1">
      <alignment horizontal="center"/>
      <protection/>
    </xf>
    <xf numFmtId="179" fontId="67" fillId="39" borderId="16" xfId="53" applyNumberFormat="1" applyFont="1" applyFill="1" applyBorder="1" applyAlignment="1" applyProtection="1">
      <alignment/>
      <protection/>
    </xf>
    <xf numFmtId="179" fontId="67" fillId="2" borderId="16" xfId="53" applyNumberFormat="1" applyFont="1" applyFill="1" applyBorder="1" applyAlignment="1" applyProtection="1">
      <alignment/>
      <protection/>
    </xf>
    <xf numFmtId="179" fontId="67" fillId="2" borderId="16" xfId="53" applyNumberFormat="1" applyFont="1" applyFill="1" applyBorder="1" applyAlignment="1" applyProtection="1">
      <alignment horizontal="center"/>
      <protection/>
    </xf>
    <xf numFmtId="179" fontId="31" fillId="39" borderId="12" xfId="0" applyFont="1" applyFill="1" applyBorder="1" applyAlignment="1">
      <alignment horizontal="center" vertical="center"/>
    </xf>
    <xf numFmtId="179" fontId="29" fillId="39" borderId="16" xfId="0" applyFont="1" applyFill="1" applyBorder="1" applyAlignment="1">
      <alignment vertical="center"/>
    </xf>
    <xf numFmtId="179" fontId="67" fillId="39" borderId="12" xfId="53" applyNumberFormat="1" applyFont="1" applyFill="1" applyBorder="1" applyAlignment="1" applyProtection="1">
      <alignment horizontal="center" vertical="center"/>
      <protection/>
    </xf>
    <xf numFmtId="179" fontId="83" fillId="39" borderId="0" xfId="53" applyNumberFormat="1" applyFont="1" applyFill="1" applyAlignment="1" applyProtection="1">
      <alignment horizontal="left" vertical="center"/>
      <protection hidden="1"/>
    </xf>
    <xf numFmtId="179" fontId="83" fillId="2" borderId="0" xfId="53" applyNumberFormat="1" applyFont="1" applyFill="1" applyAlignment="1" applyProtection="1">
      <alignment horizontal="left"/>
      <protection/>
    </xf>
    <xf numFmtId="179" fontId="91" fillId="39" borderId="0" xfId="53" applyNumberFormat="1" applyFont="1" applyFill="1" applyAlignment="1" applyProtection="1">
      <alignment/>
      <protection hidden="1"/>
    </xf>
    <xf numFmtId="179" fontId="87" fillId="2" borderId="0" xfId="53" applyNumberFormat="1" applyFont="1" applyFill="1" applyAlignment="1" applyProtection="1">
      <alignment/>
      <protection/>
    </xf>
    <xf numFmtId="179" fontId="116" fillId="39" borderId="0" xfId="53" applyNumberFormat="1" applyFont="1" applyFill="1" applyAlignment="1" applyProtection="1">
      <alignment/>
      <protection/>
    </xf>
    <xf numFmtId="179" fontId="0" fillId="2" borderId="0" xfId="0" applyAlignment="1">
      <alignment/>
    </xf>
    <xf numFmtId="179" fontId="0" fillId="39" borderId="11" xfId="0" applyFont="1" applyFill="1" applyBorder="1" applyAlignment="1">
      <alignment horizontal="left" vertical="center"/>
    </xf>
    <xf numFmtId="179" fontId="0" fillId="2" borderId="23" xfId="0" applyFont="1" applyBorder="1" applyAlignment="1">
      <alignment horizontal="left" vertical="center"/>
    </xf>
    <xf numFmtId="179" fontId="0" fillId="39" borderId="11" xfId="0" applyFont="1" applyFill="1" applyBorder="1" applyAlignment="1">
      <alignment horizontal="left"/>
    </xf>
    <xf numFmtId="179" fontId="0" fillId="2" borderId="23" xfId="0" applyBorder="1" applyAlignment="1">
      <alignment horizontal="left"/>
    </xf>
    <xf numFmtId="179" fontId="38" fillId="39" borderId="11" xfId="0" applyFont="1" applyFill="1" applyBorder="1" applyAlignment="1">
      <alignment horizontal="left" wrapText="1"/>
    </xf>
    <xf numFmtId="179" fontId="0" fillId="2" borderId="11" xfId="0" applyBorder="1" applyAlignment="1">
      <alignment horizontal="left" wrapText="1"/>
    </xf>
    <xf numFmtId="179" fontId="0" fillId="2" borderId="23" xfId="0" applyBorder="1" applyAlignment="1">
      <alignment horizontal="left" wrapText="1"/>
    </xf>
    <xf numFmtId="179" fontId="92" fillId="39" borderId="11" xfId="53" applyNumberFormat="1" applyFont="1" applyFill="1" applyBorder="1" applyAlignment="1" applyProtection="1">
      <alignment horizontal="left" vertical="center"/>
      <protection/>
    </xf>
    <xf numFmtId="179" fontId="92" fillId="2" borderId="23" xfId="53" applyNumberFormat="1" applyFont="1" applyFill="1" applyBorder="1" applyAlignment="1" applyProtection="1">
      <alignment horizontal="left" vertical="center"/>
      <protection/>
    </xf>
    <xf numFmtId="0" fontId="21" fillId="2" borderId="0" xfId="59" applyFont="1" applyFill="1" applyBorder="1" applyAlignment="1" applyProtection="1">
      <alignment horizontal="center" vertical="center"/>
      <protection locked="0"/>
    </xf>
    <xf numFmtId="0" fontId="21" fillId="39" borderId="15" xfId="59" applyFont="1" applyFill="1" applyBorder="1" applyAlignment="1">
      <alignment horizontal="left" vertical="top"/>
      <protection/>
    </xf>
    <xf numFmtId="179" fontId="0" fillId="2" borderId="19" xfId="0" applyBorder="1" applyAlignment="1">
      <alignment horizontal="left" vertical="top"/>
    </xf>
    <xf numFmtId="0" fontId="21" fillId="2" borderId="0" xfId="59" applyFont="1" applyFill="1" applyAlignment="1" applyProtection="1">
      <alignment horizontal="center" vertical="center"/>
      <protection locked="0"/>
    </xf>
    <xf numFmtId="179" fontId="38" fillId="2" borderId="0" xfId="0" applyFont="1" applyFill="1" applyAlignment="1" applyProtection="1">
      <alignment horizontal="center" vertical="center"/>
      <protection locked="0"/>
    </xf>
    <xf numFmtId="0" fontId="15" fillId="0" borderId="13" xfId="60" applyFont="1" applyBorder="1" applyAlignment="1">
      <alignment horizontal="center" vertical="center"/>
      <protection/>
    </xf>
    <xf numFmtId="179" fontId="0" fillId="2" borderId="14" xfId="0" applyFont="1" applyBorder="1" applyAlignment="1">
      <alignment horizontal="center" vertical="center"/>
    </xf>
    <xf numFmtId="179" fontId="0" fillId="2" borderId="15" xfId="0" applyFont="1" applyBorder="1" applyAlignment="1">
      <alignment horizontal="center" vertical="center"/>
    </xf>
    <xf numFmtId="179" fontId="0" fillId="2" borderId="18" xfId="0" applyFont="1" applyBorder="1" applyAlignment="1">
      <alignment horizontal="center" vertical="center"/>
    </xf>
    <xf numFmtId="179" fontId="0" fillId="2" borderId="17" xfId="0" applyFont="1" applyBorder="1" applyAlignment="1">
      <alignment horizontal="center" vertical="center"/>
    </xf>
    <xf numFmtId="179" fontId="0" fillId="2" borderId="19" xfId="0" applyFont="1" applyBorder="1" applyAlignment="1">
      <alignment horizontal="center" vertical="center"/>
    </xf>
    <xf numFmtId="0" fontId="1" fillId="40" borderId="18" xfId="60" applyFill="1" applyBorder="1" applyAlignment="1">
      <alignment horizontal="center"/>
      <protection/>
    </xf>
    <xf numFmtId="0" fontId="1" fillId="40" borderId="19" xfId="60" applyFill="1" applyBorder="1" applyAlignment="1">
      <alignment horizontal="center"/>
      <protection/>
    </xf>
    <xf numFmtId="1" fontId="25" fillId="2" borderId="30" xfId="60" applyNumberFormat="1" applyFont="1" applyFill="1" applyBorder="1" applyAlignment="1" applyProtection="1">
      <alignment horizontal="center"/>
      <protection locked="0"/>
    </xf>
    <xf numFmtId="1" fontId="25" fillId="2" borderId="23" xfId="60" applyNumberFormat="1" applyFont="1" applyFill="1" applyBorder="1" applyAlignment="1" applyProtection="1">
      <alignment horizontal="center"/>
      <protection locked="0"/>
    </xf>
    <xf numFmtId="0" fontId="1" fillId="39" borderId="58" xfId="60" applyFill="1" applyBorder="1" applyAlignment="1">
      <alignment horizontal="center"/>
      <protection/>
    </xf>
    <xf numFmtId="0" fontId="1" fillId="0" borderId="58" xfId="60" applyBorder="1" applyAlignment="1">
      <alignment horizontal="center"/>
      <protection/>
    </xf>
    <xf numFmtId="1" fontId="122" fillId="0" borderId="0" xfId="60" applyNumberFormat="1" applyFont="1" applyFill="1" applyBorder="1" applyAlignment="1">
      <alignment horizontal="center" vertical="top"/>
      <protection/>
    </xf>
    <xf numFmtId="1" fontId="122" fillId="0" borderId="16" xfId="60" applyNumberFormat="1" applyFont="1" applyFill="1" applyBorder="1" applyAlignment="1">
      <alignment horizontal="center" vertical="top"/>
      <protection/>
    </xf>
    <xf numFmtId="0" fontId="24" fillId="2" borderId="17" xfId="60" applyNumberFormat="1" applyFont="1" applyFill="1" applyBorder="1" applyAlignment="1" applyProtection="1">
      <alignment horizontal="left"/>
      <protection locked="0"/>
    </xf>
    <xf numFmtId="0" fontId="0" fillId="2" borderId="17" xfId="0" applyNumberFormat="1" applyBorder="1" applyAlignment="1" applyProtection="1">
      <alignment horizontal="left"/>
      <protection locked="0"/>
    </xf>
    <xf numFmtId="0" fontId="1" fillId="39" borderId="49" xfId="60" applyFill="1" applyBorder="1" applyAlignment="1">
      <alignment horizontal="center"/>
      <protection/>
    </xf>
    <xf numFmtId="2" fontId="25" fillId="0" borderId="17" xfId="60" applyNumberFormat="1" applyFont="1" applyFill="1" applyBorder="1" applyAlignment="1" applyProtection="1">
      <alignment horizontal="right"/>
      <protection locked="0"/>
    </xf>
    <xf numFmtId="0" fontId="21" fillId="39" borderId="13" xfId="60" applyFont="1" applyFill="1" applyBorder="1" applyAlignment="1">
      <alignment horizontal="center"/>
      <protection/>
    </xf>
    <xf numFmtId="179" fontId="0" fillId="2" borderId="15" xfId="0" applyBorder="1" applyAlignment="1">
      <alignment/>
    </xf>
    <xf numFmtId="0" fontId="21" fillId="39" borderId="18" xfId="60" applyFont="1" applyFill="1" applyBorder="1" applyAlignment="1">
      <alignment horizontal="center" vertical="top"/>
      <protection/>
    </xf>
    <xf numFmtId="179" fontId="0" fillId="2" borderId="19" xfId="0" applyBorder="1" applyAlignment="1">
      <alignment/>
    </xf>
    <xf numFmtId="0" fontId="1" fillId="39" borderId="0" xfId="60" applyFont="1" applyFill="1" applyBorder="1" applyAlignment="1">
      <alignment wrapText="1"/>
      <protection/>
    </xf>
    <xf numFmtId="0" fontId="24" fillId="2" borderId="17" xfId="60" applyFont="1" applyFill="1" applyBorder="1" applyAlignment="1" applyProtection="1">
      <alignment horizontal="left" vertical="center"/>
      <protection locked="0"/>
    </xf>
    <xf numFmtId="0" fontId="1" fillId="40" borderId="20" xfId="60" applyFill="1" applyBorder="1" applyAlignment="1">
      <alignment horizontal="center"/>
      <protection/>
    </xf>
    <xf numFmtId="0" fontId="1" fillId="40" borderId="30" xfId="60" applyFill="1" applyBorder="1" applyAlignment="1">
      <alignment/>
      <protection/>
    </xf>
    <xf numFmtId="0" fontId="1" fillId="40" borderId="23" xfId="60" applyFill="1" applyBorder="1" applyAlignment="1">
      <alignment/>
      <protection/>
    </xf>
    <xf numFmtId="0" fontId="1" fillId="40" borderId="17" xfId="60" applyFill="1" applyBorder="1" applyAlignment="1">
      <alignment horizontal="center"/>
      <protection/>
    </xf>
    <xf numFmtId="192" fontId="25" fillId="2" borderId="30" xfId="60" applyNumberFormat="1" applyFont="1" applyFill="1" applyBorder="1" applyAlignment="1" applyProtection="1">
      <alignment horizontal="center"/>
      <protection locked="0"/>
    </xf>
    <xf numFmtId="192" fontId="25" fillId="2" borderId="23" xfId="60" applyNumberFormat="1" applyFont="1" applyFill="1" applyBorder="1" applyAlignment="1" applyProtection="1">
      <alignment horizontal="center"/>
      <protection locked="0"/>
    </xf>
    <xf numFmtId="217" fontId="20" fillId="2" borderId="17" xfId="60" applyNumberFormat="1" applyFont="1" applyFill="1" applyBorder="1" applyAlignment="1" applyProtection="1">
      <alignment horizontal="center" shrinkToFit="1"/>
      <protection locked="0"/>
    </xf>
    <xf numFmtId="0" fontId="24" fillId="2" borderId="17" xfId="60" applyFont="1" applyFill="1" applyBorder="1" applyAlignment="1" applyProtection="1">
      <alignment horizontal="left" vertical="center" shrinkToFit="1"/>
      <protection locked="0"/>
    </xf>
    <xf numFmtId="179" fontId="0" fillId="2" borderId="17" xfId="0" applyBorder="1" applyAlignment="1" applyProtection="1">
      <alignment vertical="center" shrinkToFit="1"/>
      <protection locked="0"/>
    </xf>
    <xf numFmtId="0" fontId="24" fillId="2" borderId="17" xfId="60" applyFont="1" applyFill="1" applyBorder="1" applyAlignment="1" applyProtection="1">
      <alignment horizontal="center" vertical="center"/>
      <protection locked="0"/>
    </xf>
    <xf numFmtId="179" fontId="0" fillId="2" borderId="17" xfId="0" applyBorder="1" applyAlignment="1" applyProtection="1">
      <alignment horizontal="center" vertical="center"/>
      <protection locked="0"/>
    </xf>
    <xf numFmtId="179" fontId="0" fillId="2" borderId="17" xfId="0" applyBorder="1" applyAlignment="1" applyProtection="1">
      <alignment horizontal="left" vertical="center"/>
      <protection locked="0"/>
    </xf>
    <xf numFmtId="0" fontId="88" fillId="36" borderId="12" xfId="60" applyFont="1" applyFill="1" applyBorder="1" applyAlignment="1">
      <alignment horizontal="center" vertical="center"/>
      <protection/>
    </xf>
    <xf numFmtId="179" fontId="119" fillId="36" borderId="0" xfId="0" applyFont="1" applyFill="1" applyAlignment="1">
      <alignment horizontal="center" vertical="center"/>
    </xf>
    <xf numFmtId="179" fontId="119" fillId="36" borderId="16" xfId="0" applyFont="1" applyFill="1" applyBorder="1" applyAlignment="1">
      <alignment horizontal="center" vertical="center"/>
    </xf>
    <xf numFmtId="0" fontId="20" fillId="40" borderId="13" xfId="60" applyFont="1" applyFill="1" applyBorder="1" applyAlignment="1">
      <alignment horizontal="center" vertical="center"/>
      <protection/>
    </xf>
    <xf numFmtId="0" fontId="20" fillId="40" borderId="15" xfId="60" applyFont="1" applyFill="1" applyBorder="1" applyAlignment="1">
      <alignment horizontal="center" vertical="center"/>
      <protection/>
    </xf>
    <xf numFmtId="0" fontId="20" fillId="40" borderId="18" xfId="60" applyFont="1" applyFill="1" applyBorder="1" applyAlignment="1">
      <alignment horizontal="center" vertical="center"/>
      <protection/>
    </xf>
    <xf numFmtId="0" fontId="20" fillId="40" borderId="19" xfId="60" applyFont="1" applyFill="1" applyBorder="1" applyAlignment="1">
      <alignment horizontal="center" vertical="center"/>
      <protection/>
    </xf>
    <xf numFmtId="0" fontId="63" fillId="39" borderId="0" xfId="60" applyFont="1" applyFill="1" applyAlignment="1">
      <alignment horizontal="center"/>
      <protection/>
    </xf>
    <xf numFmtId="0" fontId="63" fillId="39" borderId="16" xfId="60" applyFont="1" applyFill="1" applyBorder="1" applyAlignment="1">
      <alignment horizontal="center"/>
      <protection/>
    </xf>
    <xf numFmtId="0" fontId="63" fillId="39" borderId="17" xfId="60" applyFont="1" applyFill="1" applyBorder="1" applyAlignment="1">
      <alignment horizontal="center"/>
      <protection/>
    </xf>
    <xf numFmtId="0" fontId="63" fillId="39" borderId="19" xfId="60" applyFont="1" applyFill="1" applyBorder="1" applyAlignment="1">
      <alignment horizontal="center"/>
      <protection/>
    </xf>
    <xf numFmtId="0" fontId="24" fillId="2" borderId="17" xfId="60" applyFont="1" applyFill="1" applyBorder="1" applyAlignment="1" applyProtection="1">
      <alignment horizontal="left"/>
      <protection locked="0"/>
    </xf>
    <xf numFmtId="0" fontId="1" fillId="39" borderId="0" xfId="60" applyFill="1" applyBorder="1" applyAlignment="1">
      <alignment horizontal="center"/>
      <protection/>
    </xf>
    <xf numFmtId="0" fontId="1" fillId="39" borderId="17" xfId="60" applyFill="1" applyBorder="1" applyAlignment="1">
      <alignment horizontal="center"/>
      <protection/>
    </xf>
    <xf numFmtId="0" fontId="1" fillId="39" borderId="0" xfId="60" applyFont="1" applyFill="1" applyBorder="1" applyAlignment="1">
      <alignment horizontal="left" wrapText="1"/>
      <protection/>
    </xf>
    <xf numFmtId="179" fontId="0" fillId="2" borderId="0" xfId="0" applyAlignment="1">
      <alignment horizontal="left" wrapText="1"/>
    </xf>
    <xf numFmtId="0" fontId="24" fillId="2" borderId="18" xfId="60" applyFont="1" applyFill="1" applyBorder="1" applyAlignment="1" applyProtection="1">
      <alignment horizontal="left" vertical="center"/>
      <protection locked="0"/>
    </xf>
    <xf numFmtId="217" fontId="63" fillId="2" borderId="0" xfId="60" applyNumberFormat="1" applyFont="1" applyFill="1" applyBorder="1" applyAlignment="1" applyProtection="1">
      <alignment horizontal="center" vertical="top" shrinkToFit="1"/>
      <protection locked="0"/>
    </xf>
    <xf numFmtId="179" fontId="0" fillId="2" borderId="0" xfId="0" applyAlignment="1" applyProtection="1">
      <alignment vertical="top"/>
      <protection locked="0"/>
    </xf>
    <xf numFmtId="2" fontId="25" fillId="2" borderId="17" xfId="60" applyNumberFormat="1" applyFont="1" applyFill="1" applyBorder="1" applyAlignment="1" applyProtection="1">
      <alignment horizontal="right"/>
      <protection locked="0"/>
    </xf>
    <xf numFmtId="179" fontId="0" fillId="2" borderId="17" xfId="0" applyBorder="1" applyAlignment="1" applyProtection="1">
      <alignment/>
      <protection locked="0"/>
    </xf>
    <xf numFmtId="0" fontId="1" fillId="39" borderId="14" xfId="60" applyFill="1" applyBorder="1" applyAlignment="1">
      <alignment horizontal="center"/>
      <protection/>
    </xf>
    <xf numFmtId="0" fontId="1" fillId="0" borderId="14" xfId="60" applyBorder="1" applyAlignment="1">
      <alignment horizontal="center"/>
      <protection/>
    </xf>
    <xf numFmtId="179" fontId="2" fillId="39" borderId="11" xfId="0" applyFont="1" applyFill="1" applyBorder="1" applyAlignment="1" applyProtection="1">
      <alignment wrapText="1"/>
      <protection/>
    </xf>
    <xf numFmtId="179" fontId="2" fillId="39" borderId="11" xfId="0" applyFont="1" applyFill="1" applyBorder="1" applyAlignment="1" applyProtection="1">
      <alignment/>
      <protection/>
    </xf>
    <xf numFmtId="179" fontId="2" fillId="39" borderId="11" xfId="0" applyFont="1" applyFill="1" applyBorder="1" applyAlignment="1" applyProtection="1">
      <alignment horizontal="left" wrapText="1"/>
      <protection/>
    </xf>
    <xf numFmtId="179" fontId="0" fillId="2" borderId="11" xfId="0" applyBorder="1" applyAlignment="1">
      <alignment/>
    </xf>
    <xf numFmtId="179" fontId="0" fillId="40" borderId="11" xfId="0" applyFill="1" applyBorder="1" applyAlignment="1" applyProtection="1">
      <alignment horizontal="center"/>
      <protection locked="0"/>
    </xf>
    <xf numFmtId="179" fontId="0" fillId="40" borderId="23" xfId="0" applyFill="1" applyBorder="1" applyAlignment="1" applyProtection="1">
      <alignment horizontal="center"/>
      <protection locked="0"/>
    </xf>
    <xf numFmtId="179" fontId="2" fillId="40" borderId="11" xfId="0" applyNumberFormat="1" applyFont="1" applyFill="1" applyBorder="1" applyAlignment="1" applyProtection="1">
      <alignment horizontal="center"/>
      <protection locked="0"/>
    </xf>
    <xf numFmtId="179" fontId="2" fillId="40" borderId="23" xfId="0" applyNumberFormat="1" applyFont="1" applyFill="1" applyBorder="1" applyAlignment="1" applyProtection="1">
      <alignment horizontal="center"/>
      <protection locked="0"/>
    </xf>
    <xf numFmtId="211" fontId="0" fillId="2" borderId="17" xfId="0" applyNumberFormat="1" applyFill="1" applyBorder="1" applyAlignment="1" applyProtection="1">
      <alignment horizontal="center"/>
      <protection locked="0"/>
    </xf>
    <xf numFmtId="179" fontId="38" fillId="0" borderId="18" xfId="0" applyFont="1" applyFill="1" applyBorder="1" applyAlignment="1" applyProtection="1">
      <alignment horizontal="left"/>
      <protection/>
    </xf>
    <xf numFmtId="179" fontId="38" fillId="0" borderId="17" xfId="0" applyFont="1" applyFill="1" applyBorder="1" applyAlignment="1" applyProtection="1">
      <alignment horizontal="left"/>
      <protection/>
    </xf>
    <xf numFmtId="197" fontId="2" fillId="34" borderId="17" xfId="66" applyNumberFormat="1" applyFont="1" applyBorder="1" applyAlignment="1" applyProtection="1">
      <alignment horizontal="center"/>
      <protection/>
    </xf>
    <xf numFmtId="197" fontId="2" fillId="34" borderId="17" xfId="66" applyNumberFormat="1" applyBorder="1" applyAlignment="1" applyProtection="1">
      <alignment horizontal="center"/>
      <protection/>
    </xf>
    <xf numFmtId="197" fontId="2" fillId="34" borderId="26" xfId="66" applyNumberFormat="1" applyBorder="1" applyAlignment="1" applyProtection="1">
      <alignment/>
      <protection/>
    </xf>
    <xf numFmtId="179" fontId="0" fillId="2" borderId="22" xfId="0" applyBorder="1" applyAlignment="1">
      <alignment/>
    </xf>
    <xf numFmtId="197" fontId="2" fillId="2" borderId="11" xfId="0" applyNumberFormat="1" applyFont="1" applyFill="1" applyBorder="1" applyAlignment="1" applyProtection="1">
      <alignment horizontal="center"/>
      <protection locked="0"/>
    </xf>
    <xf numFmtId="179" fontId="2" fillId="39" borderId="11" xfId="0" applyFont="1" applyFill="1" applyBorder="1" applyAlignment="1" applyProtection="1">
      <alignment horizontal="right" wrapText="1"/>
      <protection/>
    </xf>
    <xf numFmtId="179" fontId="2" fillId="2" borderId="11" xfId="0" applyFont="1" applyFill="1" applyBorder="1" applyAlignment="1" applyProtection="1">
      <alignment horizontal="left" shrinkToFit="1"/>
      <protection locked="0"/>
    </xf>
    <xf numFmtId="179" fontId="0" fillId="2" borderId="11" xfId="0" applyFill="1" applyBorder="1" applyAlignment="1" applyProtection="1">
      <alignment horizontal="left"/>
      <protection locked="0"/>
    </xf>
    <xf numFmtId="179" fontId="2" fillId="39" borderId="0" xfId="0" applyFont="1" applyFill="1" applyAlignment="1" applyProtection="1">
      <alignment/>
      <protection/>
    </xf>
    <xf numFmtId="179" fontId="33" fillId="39" borderId="11" xfId="0" applyFont="1" applyFill="1" applyBorder="1" applyAlignment="1" applyProtection="1">
      <alignment wrapText="1"/>
      <protection/>
    </xf>
    <xf numFmtId="179" fontId="71" fillId="43" borderId="0" xfId="0" applyFont="1" applyFill="1" applyAlignment="1" applyProtection="1">
      <alignment vertical="top" wrapText="1"/>
      <protection/>
    </xf>
    <xf numFmtId="179" fontId="0" fillId="2" borderId="0" xfId="0" applyAlignment="1">
      <alignment vertical="top"/>
    </xf>
    <xf numFmtId="179" fontId="10" fillId="43" borderId="11" xfId="0" applyFont="1" applyFill="1" applyBorder="1" applyAlignment="1" applyProtection="1">
      <alignment wrapText="1"/>
      <protection/>
    </xf>
    <xf numFmtId="179" fontId="8" fillId="43" borderId="14" xfId="0" applyFont="1" applyFill="1" applyBorder="1" applyAlignment="1" applyProtection="1">
      <alignment horizontal="center" vertical="center"/>
      <protection/>
    </xf>
    <xf numFmtId="179" fontId="0" fillId="2" borderId="14" xfId="0" applyBorder="1" applyAlignment="1">
      <alignment/>
    </xf>
    <xf numFmtId="179" fontId="0" fillId="2" borderId="17" xfId="0" applyBorder="1" applyAlignment="1">
      <alignment/>
    </xf>
    <xf numFmtId="179" fontId="2" fillId="39" borderId="11" xfId="0" applyFont="1" applyFill="1" applyBorder="1" applyAlignment="1" applyProtection="1">
      <alignment shrinkToFit="1"/>
      <protection/>
    </xf>
    <xf numFmtId="179" fontId="0" fillId="2" borderId="11" xfId="0" applyBorder="1" applyAlignment="1">
      <alignment shrinkToFit="1"/>
    </xf>
    <xf numFmtId="179" fontId="77" fillId="2" borderId="11" xfId="0" applyFont="1" applyBorder="1" applyAlignment="1">
      <alignment/>
    </xf>
    <xf numFmtId="49" fontId="2" fillId="2" borderId="17" xfId="0" applyNumberFormat="1" applyFont="1" applyFill="1" applyBorder="1" applyAlignment="1" applyProtection="1">
      <alignment horizontal="center"/>
      <protection locked="0"/>
    </xf>
    <xf numFmtId="179" fontId="0" fillId="2" borderId="19" xfId="0" applyBorder="1" applyAlignment="1" applyProtection="1">
      <alignment/>
      <protection locked="0"/>
    </xf>
    <xf numFmtId="179" fontId="10" fillId="39" borderId="13" xfId="0" applyFont="1" applyFill="1" applyBorder="1" applyAlignment="1" applyProtection="1">
      <alignment horizontal="center"/>
      <protection/>
    </xf>
    <xf numFmtId="179" fontId="10" fillId="39" borderId="15" xfId="0" applyFont="1" applyFill="1" applyBorder="1" applyAlignment="1" applyProtection="1">
      <alignment horizontal="center"/>
      <protection/>
    </xf>
    <xf numFmtId="1" fontId="2" fillId="0" borderId="18" xfId="0" applyNumberFormat="1" applyFont="1" applyFill="1" applyBorder="1" applyAlignment="1" applyProtection="1">
      <alignment horizontal="center"/>
      <protection locked="0"/>
    </xf>
    <xf numFmtId="1" fontId="2" fillId="0" borderId="19" xfId="0" applyNumberFormat="1" applyFont="1" applyFill="1" applyBorder="1" applyAlignment="1" applyProtection="1">
      <alignment horizontal="center"/>
      <protection locked="0"/>
    </xf>
    <xf numFmtId="49" fontId="2" fillId="2" borderId="18" xfId="0" applyNumberFormat="1" applyFont="1" applyFill="1" applyBorder="1" applyAlignment="1" applyProtection="1">
      <alignment horizontal="center"/>
      <protection locked="0"/>
    </xf>
    <xf numFmtId="179" fontId="0" fillId="2" borderId="15" xfId="0" applyBorder="1" applyAlignment="1">
      <alignment horizontal="center"/>
    </xf>
    <xf numFmtId="197" fontId="2" fillId="2" borderId="18" xfId="0" applyNumberFormat="1" applyFont="1" applyFill="1" applyBorder="1" applyAlignment="1" applyProtection="1">
      <alignment horizontal="center"/>
      <protection locked="0"/>
    </xf>
    <xf numFmtId="197" fontId="2" fillId="2" borderId="19" xfId="0" applyNumberFormat="1" applyFont="1" applyFill="1" applyBorder="1" applyAlignment="1" applyProtection="1">
      <alignment horizontal="center"/>
      <protection locked="0"/>
    </xf>
    <xf numFmtId="197" fontId="2" fillId="2" borderId="18" xfId="0" applyNumberFormat="1" applyFont="1" applyFill="1" applyBorder="1" applyAlignment="1" applyProtection="1">
      <alignment horizontal="left"/>
      <protection locked="0"/>
    </xf>
    <xf numFmtId="197" fontId="2" fillId="2" borderId="17" xfId="0" applyNumberFormat="1" applyFont="1" applyFill="1" applyBorder="1" applyAlignment="1" applyProtection="1">
      <alignment horizontal="left"/>
      <protection locked="0"/>
    </xf>
    <xf numFmtId="197" fontId="2" fillId="2" borderId="19" xfId="0" applyNumberFormat="1" applyFont="1" applyFill="1" applyBorder="1" applyAlignment="1" applyProtection="1">
      <alignment horizontal="left"/>
      <protection locked="0"/>
    </xf>
    <xf numFmtId="49" fontId="2" fillId="2" borderId="19" xfId="0" applyNumberFormat="1" applyFont="1" applyFill="1" applyBorder="1" applyAlignment="1" applyProtection="1">
      <alignment horizontal="center"/>
      <protection locked="0"/>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protection locked="0"/>
    </xf>
    <xf numFmtId="179" fontId="0" fillId="39" borderId="18" xfId="0" applyFill="1" applyBorder="1" applyAlignment="1" applyProtection="1">
      <alignment/>
      <protection/>
    </xf>
    <xf numFmtId="179" fontId="5" fillId="39" borderId="18" xfId="0" applyFont="1" applyFill="1" applyBorder="1" applyAlignment="1" applyProtection="1">
      <alignment horizontal="center"/>
      <protection/>
    </xf>
    <xf numFmtId="179" fontId="5" fillId="39" borderId="19" xfId="0" applyFont="1" applyFill="1" applyBorder="1" applyAlignment="1" applyProtection="1">
      <alignment horizontal="center"/>
      <protection/>
    </xf>
    <xf numFmtId="179" fontId="9" fillId="36" borderId="12" xfId="0" applyFont="1" applyFill="1" applyBorder="1" applyAlignment="1" applyProtection="1">
      <alignment/>
      <protection/>
    </xf>
    <xf numFmtId="179" fontId="0" fillId="2" borderId="16" xfId="0" applyBorder="1" applyAlignment="1">
      <alignment/>
    </xf>
    <xf numFmtId="179" fontId="10" fillId="39" borderId="13" xfId="0" applyFont="1" applyFill="1" applyBorder="1" applyAlignment="1" applyProtection="1">
      <alignment horizontal="left" vertical="top" wrapText="1"/>
      <protection/>
    </xf>
    <xf numFmtId="179" fontId="0" fillId="2" borderId="14" xfId="0" applyBorder="1" applyAlignment="1">
      <alignment vertical="top" wrapText="1"/>
    </xf>
    <xf numFmtId="179" fontId="0" fillId="2" borderId="15" xfId="0" applyBorder="1" applyAlignment="1">
      <alignment vertical="top" wrapText="1"/>
    </xf>
    <xf numFmtId="179" fontId="0" fillId="0" borderId="18" xfId="0" applyFill="1" applyBorder="1" applyAlignment="1" applyProtection="1">
      <alignment horizontal="center"/>
      <protection locked="0"/>
    </xf>
    <xf numFmtId="179" fontId="0" fillId="0" borderId="17" xfId="0" applyFill="1" applyBorder="1" applyAlignment="1">
      <alignment horizontal="center"/>
    </xf>
    <xf numFmtId="179" fontId="0" fillId="0" borderId="19" xfId="0" applyFill="1" applyBorder="1" applyAlignment="1">
      <alignment horizontal="center"/>
    </xf>
    <xf numFmtId="179" fontId="5" fillId="39" borderId="13" xfId="0" applyFont="1" applyFill="1" applyBorder="1" applyAlignment="1" applyProtection="1">
      <alignment horizontal="center"/>
      <protection/>
    </xf>
    <xf numFmtId="179" fontId="5" fillId="39" borderId="15" xfId="0" applyFont="1" applyFill="1" applyBorder="1" applyAlignment="1" applyProtection="1">
      <alignment horizontal="center"/>
      <protection/>
    </xf>
    <xf numFmtId="179" fontId="10" fillId="39" borderId="12" xfId="0" applyFont="1" applyFill="1" applyBorder="1" applyAlignment="1" applyProtection="1">
      <alignment horizontal="center"/>
      <protection/>
    </xf>
    <xf numFmtId="179" fontId="10" fillId="39" borderId="16" xfId="0" applyFont="1" applyFill="1" applyBorder="1" applyAlignment="1" applyProtection="1">
      <alignment horizontal="center"/>
      <protection/>
    </xf>
    <xf numFmtId="1" fontId="2" fillId="2" borderId="18" xfId="0" applyNumberFormat="1" applyFont="1" applyFill="1" applyBorder="1" applyAlignment="1" applyProtection="1">
      <alignment horizontal="center"/>
      <protection locked="0"/>
    </xf>
    <xf numFmtId="1" fontId="0" fillId="2" borderId="19" xfId="0" applyNumberFormat="1" applyBorder="1" applyAlignment="1" applyProtection="1">
      <alignment horizontal="center"/>
      <protection locked="0"/>
    </xf>
    <xf numFmtId="197" fontId="2" fillId="2" borderId="17" xfId="0" applyNumberFormat="1" applyFont="1" applyFill="1" applyBorder="1" applyAlignment="1" applyProtection="1">
      <alignment/>
      <protection locked="0"/>
    </xf>
    <xf numFmtId="197" fontId="2" fillId="2" borderId="17" xfId="0" applyNumberFormat="1" applyFont="1" applyFill="1" applyBorder="1" applyAlignment="1" applyProtection="1">
      <alignment horizontal="center"/>
      <protection locked="0"/>
    </xf>
    <xf numFmtId="179" fontId="3" fillId="39" borderId="0" xfId="0" applyFont="1" applyFill="1" applyBorder="1" applyAlignment="1" applyProtection="1">
      <alignment wrapText="1"/>
      <protection/>
    </xf>
    <xf numFmtId="179" fontId="0" fillId="2" borderId="19" xfId="0" applyBorder="1" applyAlignment="1" applyProtection="1">
      <alignment horizontal="center"/>
      <protection locked="0"/>
    </xf>
    <xf numFmtId="179" fontId="38" fillId="39" borderId="14" xfId="0" applyFont="1" applyFill="1" applyBorder="1" applyAlignment="1" applyProtection="1">
      <alignment horizontal="center" vertical="center" textRotation="90"/>
      <protection/>
    </xf>
    <xf numFmtId="179" fontId="38" fillId="39" borderId="0" xfId="0" applyFont="1" applyFill="1" applyAlignment="1">
      <alignment horizontal="center" vertical="center" textRotation="90"/>
    </xf>
    <xf numFmtId="179" fontId="0" fillId="2" borderId="18" xfId="0" applyBorder="1" applyAlignment="1" applyProtection="1">
      <alignment horizontal="center"/>
      <protection locked="0"/>
    </xf>
    <xf numFmtId="179" fontId="0" fillId="2" borderId="17" xfId="0" applyBorder="1" applyAlignment="1">
      <alignment horizontal="center"/>
    </xf>
    <xf numFmtId="179" fontId="0" fillId="2" borderId="19" xfId="0" applyBorder="1" applyAlignment="1">
      <alignment horizontal="center"/>
    </xf>
    <xf numFmtId="179" fontId="10" fillId="39" borderId="13" xfId="0" applyFont="1" applyFill="1" applyBorder="1" applyAlignment="1" applyProtection="1">
      <alignment vertical="top" wrapText="1"/>
      <protection/>
    </xf>
    <xf numFmtId="179" fontId="10" fillId="39" borderId="14" xfId="0" applyFont="1" applyFill="1" applyBorder="1" applyAlignment="1" applyProtection="1">
      <alignment vertical="top" wrapText="1"/>
      <protection/>
    </xf>
    <xf numFmtId="197" fontId="2" fillId="34" borderId="21" xfId="0" applyNumberFormat="1" applyFont="1" applyFill="1" applyBorder="1" applyAlignment="1" applyProtection="1">
      <alignment horizontal="center"/>
      <protection/>
    </xf>
    <xf numFmtId="197" fontId="2" fillId="2" borderId="21" xfId="0" applyNumberFormat="1" applyFont="1" applyFill="1" applyBorder="1" applyAlignment="1" applyProtection="1">
      <alignment horizontal="left"/>
      <protection locked="0"/>
    </xf>
    <xf numFmtId="197" fontId="2" fillId="2" borderId="10" xfId="0" applyNumberFormat="1" applyFont="1" applyFill="1" applyBorder="1" applyAlignment="1" applyProtection="1">
      <alignment horizontal="left"/>
      <protection locked="0"/>
    </xf>
    <xf numFmtId="179" fontId="2" fillId="2" borderId="17" xfId="0" applyFont="1" applyFill="1" applyBorder="1" applyAlignment="1" applyProtection="1">
      <alignment horizontal="left"/>
      <protection locked="0"/>
    </xf>
    <xf numFmtId="197" fontId="2" fillId="34" borderId="10" xfId="0" applyNumberFormat="1" applyFont="1" applyFill="1" applyBorder="1" applyAlignment="1" applyProtection="1">
      <alignment horizontal="left"/>
      <protection/>
    </xf>
    <xf numFmtId="197" fontId="2" fillId="34" borderId="21" xfId="0" applyNumberFormat="1" applyFont="1" applyFill="1" applyBorder="1" applyAlignment="1" applyProtection="1">
      <alignment horizontal="left"/>
      <protection/>
    </xf>
    <xf numFmtId="197" fontId="2" fillId="2" borderId="18" xfId="0" applyNumberFormat="1" applyFont="1" applyFill="1" applyBorder="1" applyAlignment="1" applyProtection="1">
      <alignment horizontal="left" vertical="top" wrapText="1"/>
      <protection locked="0"/>
    </xf>
    <xf numFmtId="197" fontId="2" fillId="2" borderId="19" xfId="0" applyNumberFormat="1" applyFont="1" applyFill="1" applyBorder="1" applyAlignment="1" applyProtection="1">
      <alignment horizontal="left" vertical="top" wrapText="1"/>
      <protection locked="0"/>
    </xf>
    <xf numFmtId="179" fontId="2" fillId="39" borderId="13" xfId="0" applyFont="1" applyFill="1" applyBorder="1" applyAlignment="1" applyProtection="1">
      <alignment horizontal="center" vertical="top" wrapText="1"/>
      <protection/>
    </xf>
    <xf numFmtId="179" fontId="0" fillId="2" borderId="15" xfId="0" applyBorder="1" applyAlignment="1">
      <alignment vertical="top"/>
    </xf>
    <xf numFmtId="179" fontId="0" fillId="2" borderId="12" xfId="0" applyBorder="1" applyAlignment="1">
      <alignment vertical="top"/>
    </xf>
    <xf numFmtId="179" fontId="0" fillId="2" borderId="16" xfId="0" applyBorder="1" applyAlignment="1">
      <alignment vertical="top"/>
    </xf>
    <xf numFmtId="179" fontId="0" fillId="2" borderId="18" xfId="0" applyBorder="1" applyAlignment="1">
      <alignment vertical="top"/>
    </xf>
    <xf numFmtId="179" fontId="0" fillId="2" borderId="19" xfId="0" applyBorder="1" applyAlignment="1">
      <alignment vertical="top"/>
    </xf>
    <xf numFmtId="197" fontId="2" fillId="2" borderId="30" xfId="0" applyNumberFormat="1" applyFont="1" applyFill="1" applyBorder="1" applyAlignment="1" applyProtection="1">
      <alignment/>
      <protection locked="0"/>
    </xf>
    <xf numFmtId="179" fontId="0" fillId="2" borderId="23" xfId="0" applyBorder="1" applyAlignment="1">
      <alignment/>
    </xf>
    <xf numFmtId="179" fontId="0" fillId="39" borderId="13" xfId="0" applyFill="1" applyBorder="1" applyAlignment="1">
      <alignment horizontal="center" vertical="center"/>
    </xf>
    <xf numFmtId="179" fontId="0" fillId="2" borderId="14" xfId="0" applyBorder="1" applyAlignment="1">
      <alignment horizontal="center" vertical="center"/>
    </xf>
    <xf numFmtId="179" fontId="0" fillId="2" borderId="74" xfId="0" applyBorder="1" applyAlignment="1">
      <alignment horizontal="center" vertical="center"/>
    </xf>
    <xf numFmtId="179" fontId="0" fillId="2" borderId="18" xfId="0" applyBorder="1" applyAlignment="1">
      <alignment horizontal="center" vertical="center"/>
    </xf>
    <xf numFmtId="179" fontId="0" fillId="2" borderId="17" xfId="0" applyBorder="1" applyAlignment="1">
      <alignment horizontal="center" vertical="center"/>
    </xf>
    <xf numFmtId="179" fontId="0" fillId="2" borderId="68" xfId="0" applyBorder="1" applyAlignment="1">
      <alignment horizontal="center" vertical="center"/>
    </xf>
    <xf numFmtId="179" fontId="0" fillId="2" borderId="15" xfId="0" applyBorder="1" applyAlignment="1">
      <alignment horizontal="center" vertical="center"/>
    </xf>
    <xf numFmtId="179" fontId="0" fillId="2" borderId="12" xfId="0" applyBorder="1" applyAlignment="1">
      <alignment horizontal="center" vertical="center"/>
    </xf>
    <xf numFmtId="179" fontId="0" fillId="2" borderId="0" xfId="0" applyAlignment="1">
      <alignment horizontal="center" vertical="center"/>
    </xf>
    <xf numFmtId="179" fontId="0" fillId="2" borderId="16" xfId="0" applyBorder="1" applyAlignment="1">
      <alignment horizontal="center" vertical="center"/>
    </xf>
    <xf numFmtId="179" fontId="0" fillId="2" borderId="19" xfId="0" applyBorder="1" applyAlignment="1">
      <alignment horizontal="center" vertical="center"/>
    </xf>
    <xf numFmtId="179" fontId="0" fillId="2" borderId="60" xfId="0" applyBorder="1" applyAlignment="1">
      <alignment horizontal="center" vertical="center"/>
    </xf>
    <xf numFmtId="179" fontId="0" fillId="39" borderId="65" xfId="0" applyFill="1" applyBorder="1" applyAlignment="1">
      <alignment horizontal="center"/>
    </xf>
    <xf numFmtId="179" fontId="0" fillId="2" borderId="16" xfId="0" applyBorder="1" applyAlignment="1">
      <alignment horizontal="center"/>
    </xf>
    <xf numFmtId="179" fontId="38" fillId="39" borderId="12" xfId="0" applyFont="1" applyFill="1" applyBorder="1" applyAlignment="1">
      <alignment/>
    </xf>
    <xf numFmtId="179" fontId="38" fillId="2" borderId="0" xfId="0" applyFont="1" applyAlignment="1">
      <alignment/>
    </xf>
    <xf numFmtId="179" fontId="38" fillId="2" borderId="16" xfId="0" applyFont="1" applyBorder="1" applyAlignment="1">
      <alignment/>
    </xf>
    <xf numFmtId="179" fontId="0" fillId="39" borderId="12" xfId="0" applyFill="1" applyBorder="1" applyAlignment="1">
      <alignment/>
    </xf>
    <xf numFmtId="179" fontId="0" fillId="39" borderId="63" xfId="0" applyFill="1" applyBorder="1" applyAlignment="1">
      <alignment horizontal="center" vertical="center"/>
    </xf>
    <xf numFmtId="179" fontId="0" fillId="39" borderId="18" xfId="0" applyFill="1" applyBorder="1" applyAlignment="1">
      <alignment horizontal="center"/>
    </xf>
    <xf numFmtId="179" fontId="0" fillId="2" borderId="68" xfId="0" applyBorder="1" applyAlignment="1">
      <alignment horizontal="center"/>
    </xf>
    <xf numFmtId="179" fontId="0" fillId="2" borderId="75" xfId="0" applyBorder="1" applyAlignment="1">
      <alignment horizontal="center" vertical="center"/>
    </xf>
    <xf numFmtId="179" fontId="0" fillId="2" borderId="31" xfId="0" applyBorder="1" applyAlignment="1">
      <alignment horizontal="center" vertical="center"/>
    </xf>
    <xf numFmtId="179" fontId="0" fillId="2" borderId="61" xfId="0" applyBorder="1" applyAlignment="1">
      <alignment horizontal="center" vertical="center"/>
    </xf>
    <xf numFmtId="179" fontId="0" fillId="39" borderId="65" xfId="0" applyFill="1" applyBorder="1" applyAlignment="1">
      <alignment/>
    </xf>
    <xf numFmtId="179" fontId="0" fillId="39" borderId="63" xfId="0" applyFill="1" applyBorder="1" applyAlignment="1">
      <alignment/>
    </xf>
    <xf numFmtId="179" fontId="38" fillId="39" borderId="76" xfId="0" applyFont="1" applyFill="1" applyBorder="1" applyAlignment="1">
      <alignment horizontal="center"/>
    </xf>
    <xf numFmtId="179" fontId="38" fillId="2" borderId="15" xfId="0" applyFont="1" applyBorder="1" applyAlignment="1">
      <alignment horizontal="center"/>
    </xf>
    <xf numFmtId="179" fontId="0" fillId="39" borderId="63" xfId="0" applyFill="1" applyBorder="1" applyAlignment="1">
      <alignment horizontal="center"/>
    </xf>
    <xf numFmtId="179" fontId="38" fillId="39" borderId="65" xfId="0" applyFont="1" applyFill="1" applyBorder="1" applyAlignment="1">
      <alignment horizontal="center" vertical="center"/>
    </xf>
    <xf numFmtId="179" fontId="38" fillId="2" borderId="0" xfId="0" applyFont="1" applyAlignment="1">
      <alignment horizontal="center" vertical="center"/>
    </xf>
    <xf numFmtId="179" fontId="0" fillId="39" borderId="65" xfId="0" applyFill="1" applyBorder="1" applyAlignment="1">
      <alignment horizontal="center" vertical="center"/>
    </xf>
    <xf numFmtId="179" fontId="0" fillId="39" borderId="66" xfId="0" applyFill="1" applyBorder="1" applyAlignment="1">
      <alignment horizontal="center" vertical="top"/>
    </xf>
    <xf numFmtId="179" fontId="0" fillId="2" borderId="77" xfId="0" applyBorder="1" applyAlignment="1">
      <alignment horizontal="center" vertical="top"/>
    </xf>
    <xf numFmtId="179" fontId="0" fillId="2" borderId="0" xfId="0" applyAlignment="1" quotePrefix="1">
      <alignment/>
    </xf>
    <xf numFmtId="179" fontId="38" fillId="39" borderId="48" xfId="0" applyFont="1" applyFill="1" applyBorder="1" applyAlignment="1">
      <alignment horizontal="center"/>
    </xf>
    <xf numFmtId="179" fontId="38" fillId="2" borderId="49" xfId="0" applyFont="1" applyBorder="1" applyAlignment="1">
      <alignment horizontal="center"/>
    </xf>
    <xf numFmtId="179" fontId="0" fillId="39" borderId="78" xfId="0" applyFill="1" applyBorder="1" applyAlignment="1">
      <alignment/>
    </xf>
    <xf numFmtId="179" fontId="0" fillId="2" borderId="49" xfId="0" applyBorder="1" applyAlignment="1">
      <alignment/>
    </xf>
    <xf numFmtId="179" fontId="0" fillId="2" borderId="79" xfId="0" applyBorder="1" applyAlignment="1">
      <alignment/>
    </xf>
    <xf numFmtId="179" fontId="0" fillId="2" borderId="50" xfId="0" applyBorder="1" applyAlignment="1">
      <alignment/>
    </xf>
    <xf numFmtId="179" fontId="0" fillId="39" borderId="12" xfId="0" applyFill="1" applyBorder="1" applyAlignment="1">
      <alignment horizontal="center"/>
    </xf>
    <xf numFmtId="179" fontId="0" fillId="2" borderId="0" xfId="0" applyBorder="1" applyAlignment="1">
      <alignment horizontal="center"/>
    </xf>
    <xf numFmtId="179" fontId="0" fillId="2" borderId="0" xfId="0" applyBorder="1" applyAlignment="1">
      <alignment/>
    </xf>
    <xf numFmtId="179" fontId="0" fillId="39" borderId="75" xfId="0" applyFill="1" applyBorder="1" applyAlignment="1">
      <alignment/>
    </xf>
    <xf numFmtId="179" fontId="0" fillId="2" borderId="31" xfId="0" applyBorder="1" applyAlignment="1">
      <alignment/>
    </xf>
    <xf numFmtId="179" fontId="0" fillId="2" borderId="77" xfId="0" applyBorder="1" applyAlignment="1">
      <alignment/>
    </xf>
    <xf numFmtId="179" fontId="0" fillId="2" borderId="60" xfId="0" applyBorder="1" applyAlignment="1">
      <alignment horizontal="center"/>
    </xf>
    <xf numFmtId="179" fontId="2" fillId="39" borderId="14" xfId="0" applyFont="1" applyFill="1" applyBorder="1" applyAlignment="1" applyProtection="1">
      <alignment wrapText="1"/>
      <protection/>
    </xf>
    <xf numFmtId="179" fontId="0" fillId="0" borderId="30" xfId="0" applyFill="1" applyBorder="1" applyAlignment="1" applyProtection="1">
      <alignment/>
      <protection locked="0"/>
    </xf>
    <xf numFmtId="179" fontId="0" fillId="0" borderId="23" xfId="0" applyFill="1" applyBorder="1" applyAlignment="1" applyProtection="1">
      <alignment/>
      <protection locked="0"/>
    </xf>
    <xf numFmtId="179" fontId="106" fillId="39" borderId="0" xfId="0" applyFont="1" applyFill="1" applyAlignment="1" applyProtection="1">
      <alignment horizontal="center"/>
      <protection/>
    </xf>
    <xf numFmtId="179" fontId="0" fillId="39" borderId="0" xfId="0" applyFill="1" applyAlignment="1">
      <alignment/>
    </xf>
    <xf numFmtId="179" fontId="15" fillId="39" borderId="30" xfId="0" applyFont="1" applyFill="1" applyBorder="1" applyAlignment="1">
      <alignment horizontal="center"/>
    </xf>
    <xf numFmtId="179" fontId="15" fillId="39" borderId="23" xfId="0" applyFont="1" applyFill="1" applyBorder="1" applyAlignment="1">
      <alignment horizontal="center"/>
    </xf>
    <xf numFmtId="179" fontId="15" fillId="39" borderId="26" xfId="0" applyFont="1" applyFill="1" applyBorder="1" applyAlignment="1">
      <alignment horizontal="center" vertical="center" wrapText="1"/>
    </xf>
    <xf numFmtId="179" fontId="15" fillId="39" borderId="29" xfId="0" applyFont="1" applyFill="1" applyBorder="1" applyAlignment="1">
      <alignment horizontal="center" vertical="center"/>
    </xf>
    <xf numFmtId="179" fontId="15" fillId="39" borderId="22" xfId="0" applyFont="1" applyFill="1" applyBorder="1" applyAlignment="1">
      <alignment horizontal="center" vertical="center"/>
    </xf>
    <xf numFmtId="179" fontId="15" fillId="39" borderId="26" xfId="0" applyFont="1" applyFill="1" applyBorder="1" applyAlignment="1">
      <alignment horizontal="center" vertical="center"/>
    </xf>
    <xf numFmtId="179" fontId="15" fillId="39" borderId="13" xfId="0" applyFont="1" applyFill="1" applyBorder="1" applyAlignment="1">
      <alignment horizontal="center" vertical="center" wrapText="1"/>
    </xf>
    <xf numFmtId="179" fontId="0" fillId="39" borderId="15" xfId="0" applyFill="1" applyBorder="1" applyAlignment="1">
      <alignment horizontal="center" vertical="center"/>
    </xf>
    <xf numFmtId="179" fontId="15" fillId="39" borderId="12" xfId="0" applyFont="1" applyFill="1" applyBorder="1" applyAlignment="1">
      <alignment horizontal="center" vertical="center"/>
    </xf>
    <xf numFmtId="179" fontId="0" fillId="39" borderId="16" xfId="0" applyFill="1" applyBorder="1" applyAlignment="1">
      <alignment horizontal="center" vertical="center"/>
    </xf>
    <xf numFmtId="179" fontId="15" fillId="39" borderId="18" xfId="0" applyFont="1" applyFill="1" applyBorder="1" applyAlignment="1">
      <alignment horizontal="center" vertical="center"/>
    </xf>
    <xf numFmtId="179" fontId="0" fillId="39" borderId="19" xfId="0" applyFill="1" applyBorder="1" applyAlignment="1">
      <alignment horizontal="center" vertical="center"/>
    </xf>
    <xf numFmtId="179" fontId="4" fillId="39" borderId="0" xfId="58" applyFont="1" applyFill="1" applyAlignment="1" applyProtection="1">
      <alignment wrapText="1"/>
      <protection/>
    </xf>
    <xf numFmtId="179" fontId="0" fillId="0" borderId="0" xfId="58" applyAlignment="1" applyProtection="1">
      <alignment wrapText="1"/>
      <protection/>
    </xf>
    <xf numFmtId="179" fontId="29" fillId="2" borderId="0" xfId="0" applyFont="1" applyAlignment="1">
      <alignment wrapText="1"/>
    </xf>
    <xf numFmtId="179" fontId="28" fillId="39" borderId="0" xfId="58" applyFont="1" applyFill="1" applyAlignment="1" applyProtection="1">
      <alignment vertical="top" wrapText="1"/>
      <protection/>
    </xf>
    <xf numFmtId="197" fontId="2" fillId="2" borderId="11" xfId="0" applyNumberFormat="1" applyFont="1" applyFill="1" applyBorder="1" applyAlignment="1" applyProtection="1">
      <alignment horizontal="left"/>
      <protection locked="0"/>
    </xf>
    <xf numFmtId="179" fontId="0" fillId="39" borderId="0" xfId="0" applyFont="1" applyFill="1" applyBorder="1" applyAlignment="1" applyProtection="1">
      <alignment horizontal="center"/>
      <protection/>
    </xf>
    <xf numFmtId="179" fontId="0" fillId="2" borderId="0" xfId="0" applyAlignment="1">
      <alignment horizontal="center"/>
    </xf>
    <xf numFmtId="179" fontId="0" fillId="2" borderId="11" xfId="0" applyBorder="1" applyAlignment="1" applyProtection="1">
      <alignment horizontal="left"/>
      <protection locked="0"/>
    </xf>
    <xf numFmtId="179" fontId="0" fillId="2" borderId="17" xfId="0" applyFill="1" applyBorder="1" applyAlignment="1" applyProtection="1">
      <alignment horizontal="center"/>
      <protection locked="0"/>
    </xf>
    <xf numFmtId="0" fontId="0" fillId="2" borderId="17" xfId="0" applyNumberFormat="1" applyFill="1" applyBorder="1" applyAlignment="1" applyProtection="1">
      <alignment horizontal="center"/>
      <protection locked="0"/>
    </xf>
    <xf numFmtId="0" fontId="0" fillId="2" borderId="17" xfId="0" applyNumberFormat="1" applyBorder="1" applyAlignment="1" applyProtection="1">
      <alignment horizontal="center"/>
      <protection locked="0"/>
    </xf>
    <xf numFmtId="217" fontId="31" fillId="2" borderId="0" xfId="0" applyNumberFormat="1" applyFont="1" applyFill="1" applyAlignment="1" applyProtection="1">
      <alignment horizontal="center"/>
      <protection locked="0"/>
    </xf>
    <xf numFmtId="179" fontId="0" fillId="2" borderId="0" xfId="0" applyAlignment="1" applyProtection="1">
      <alignment horizontal="center"/>
      <protection locked="0"/>
    </xf>
    <xf numFmtId="179" fontId="0" fillId="2" borderId="17" xfId="0" applyFill="1" applyBorder="1" applyAlignment="1" applyProtection="1">
      <alignment/>
      <protection locked="0"/>
    </xf>
    <xf numFmtId="179" fontId="0" fillId="2" borderId="17" xfId="0" applyFill="1" applyBorder="1" applyAlignment="1">
      <alignment/>
    </xf>
    <xf numFmtId="179" fontId="0" fillId="39" borderId="14" xfId="0" applyFill="1" applyBorder="1" applyAlignment="1">
      <alignment horizontal="center"/>
    </xf>
    <xf numFmtId="179" fontId="0" fillId="39" borderId="0" xfId="0" applyFill="1" applyAlignment="1">
      <alignment horizontal="center"/>
    </xf>
    <xf numFmtId="179" fontId="0" fillId="2" borderId="17" xfId="0" applyBorder="1" applyAlignment="1" applyProtection="1">
      <alignment horizontal="center"/>
      <protection locked="0"/>
    </xf>
    <xf numFmtId="0" fontId="58" fillId="39" borderId="13" xfId="61" applyFont="1" applyFill="1" applyBorder="1" applyAlignment="1" applyProtection="1">
      <alignment horizontal="center"/>
      <protection/>
    </xf>
    <xf numFmtId="0" fontId="58" fillId="39" borderId="14" xfId="61" applyFont="1" applyFill="1" applyBorder="1" applyAlignment="1" applyProtection="1">
      <alignment horizontal="center"/>
      <protection/>
    </xf>
    <xf numFmtId="8" fontId="55" fillId="39" borderId="30" xfId="61" applyNumberFormat="1" applyFont="1" applyFill="1" applyBorder="1" applyAlignment="1" applyProtection="1">
      <alignment horizontal="center"/>
      <protection/>
    </xf>
    <xf numFmtId="0" fontId="55" fillId="39" borderId="11" xfId="61" applyFont="1" applyFill="1" applyBorder="1" applyAlignment="1" applyProtection="1">
      <alignment horizontal="center"/>
      <protection/>
    </xf>
    <xf numFmtId="0" fontId="57" fillId="39" borderId="18" xfId="61" applyFont="1" applyFill="1" applyBorder="1" applyAlignment="1" applyProtection="1">
      <alignment horizontal="center"/>
      <protection/>
    </xf>
    <xf numFmtId="0" fontId="57" fillId="39" borderId="17" xfId="61" applyFont="1" applyFill="1" applyBorder="1" applyAlignment="1" applyProtection="1">
      <alignment horizontal="center"/>
      <protection/>
    </xf>
    <xf numFmtId="0" fontId="55" fillId="39" borderId="17" xfId="61" applyFont="1" applyFill="1" applyBorder="1" applyAlignment="1" applyProtection="1">
      <alignment horizontal="right"/>
      <protection/>
    </xf>
    <xf numFmtId="179" fontId="98" fillId="2" borderId="17" xfId="0" applyFont="1" applyBorder="1" applyAlignment="1">
      <alignment/>
    </xf>
    <xf numFmtId="0" fontId="57" fillId="39" borderId="12" xfId="61" applyFont="1" applyFill="1" applyBorder="1" applyAlignment="1" applyProtection="1">
      <alignment horizontal="center"/>
      <protection/>
    </xf>
    <xf numFmtId="0" fontId="57" fillId="39" borderId="0" xfId="61" applyFont="1" applyFill="1" applyBorder="1" applyAlignment="1" applyProtection="1">
      <alignment horizontal="center"/>
      <protection/>
    </xf>
    <xf numFmtId="49" fontId="7" fillId="34" borderId="18" xfId="62" applyNumberFormat="1" applyFont="1" applyFill="1" applyBorder="1" applyAlignment="1" applyProtection="1">
      <alignment horizontal="center" vertical="center"/>
      <protection/>
    </xf>
    <xf numFmtId="49" fontId="7" fillId="34" borderId="17" xfId="62" applyNumberFormat="1" applyFont="1" applyFill="1" applyBorder="1" applyAlignment="1" applyProtection="1">
      <alignment horizontal="center" vertical="center"/>
      <protection/>
    </xf>
    <xf numFmtId="49" fontId="7" fillId="34" borderId="19" xfId="62" applyNumberFormat="1" applyFont="1" applyFill="1" applyBorder="1" applyAlignment="1" applyProtection="1">
      <alignment horizontal="center" vertical="center"/>
      <protection/>
    </xf>
    <xf numFmtId="49" fontId="7" fillId="44" borderId="18" xfId="62" applyNumberFormat="1" applyFont="1" applyFill="1" applyBorder="1" applyAlignment="1" applyProtection="1">
      <alignment horizontal="center" vertical="center"/>
      <protection locked="0"/>
    </xf>
    <xf numFmtId="49" fontId="7" fillId="44" borderId="17" xfId="62" applyNumberFormat="1" applyFont="1" applyFill="1" applyBorder="1" applyAlignment="1" applyProtection="1">
      <alignment horizontal="center" vertical="center"/>
      <protection locked="0"/>
    </xf>
    <xf numFmtId="49" fontId="7" fillId="44" borderId="19" xfId="62" applyNumberFormat="1" applyFont="1" applyFill="1" applyBorder="1" applyAlignment="1" applyProtection="1">
      <alignment horizontal="center" vertical="center"/>
      <protection locked="0"/>
    </xf>
    <xf numFmtId="179" fontId="0" fillId="0" borderId="11" xfId="0" applyFill="1" applyBorder="1" applyAlignment="1" applyProtection="1">
      <alignment vertical="center"/>
      <protection locked="0"/>
    </xf>
    <xf numFmtId="179" fontId="0" fillId="2" borderId="11" xfId="0" applyBorder="1" applyAlignment="1" applyProtection="1">
      <alignment vertical="center"/>
      <protection locked="0"/>
    </xf>
    <xf numFmtId="179" fontId="0" fillId="2" borderId="23" xfId="0" applyBorder="1" applyAlignment="1" applyProtection="1">
      <alignment vertical="center"/>
      <protection locked="0"/>
    </xf>
    <xf numFmtId="197" fontId="0" fillId="34" borderId="11" xfId="53" applyNumberFormat="1" applyFont="1" applyFill="1" applyBorder="1" applyAlignment="1" applyProtection="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ain 1" xfId="56"/>
    <cellStyle name="Neutral" xfId="57"/>
    <cellStyle name="Normal_alberta" xfId="58"/>
    <cellStyle name="Normal_Book1" xfId="59"/>
    <cellStyle name="Normal_T1-Page 1 b" xfId="60"/>
    <cellStyle name="Normal_T2204a" xfId="61"/>
    <cellStyle name="Normal_T2205" xfId="62"/>
    <cellStyle name="Note" xfId="63"/>
    <cellStyle name="Output" xfId="64"/>
    <cellStyle name="Percent" xfId="65"/>
    <cellStyle name="protect &amp; lock" xfId="66"/>
    <cellStyle name="sch1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C8"/>
      <rgbColor rgb="0099CCFF"/>
      <rgbColor rgb="00FFEB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52</xdr:row>
      <xdr:rowOff>28575</xdr:rowOff>
    </xdr:from>
    <xdr:to>
      <xdr:col>0</xdr:col>
      <xdr:colOff>533400</xdr:colOff>
      <xdr:row>52</xdr:row>
      <xdr:rowOff>200025</xdr:rowOff>
    </xdr:to>
    <xdr:sp>
      <xdr:nvSpPr>
        <xdr:cNvPr id="1" name="AutoShape 2"/>
        <xdr:cNvSpPr>
          <a:spLocks/>
        </xdr:cNvSpPr>
      </xdr:nvSpPr>
      <xdr:spPr>
        <a:xfrm>
          <a:off x="352425" y="11953875"/>
          <a:ext cx="1809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228600</xdr:colOff>
      <xdr:row>1</xdr:row>
      <xdr:rowOff>133350</xdr:rowOff>
    </xdr:to>
    <xdr:pic>
      <xdr:nvPicPr>
        <xdr:cNvPr id="1" name="Picture 1"/>
        <xdr:cNvPicPr preferRelativeResize="1">
          <a:picLocks noChangeAspect="1"/>
        </xdr:cNvPicPr>
      </xdr:nvPicPr>
      <xdr:blipFill>
        <a:blip r:embed="rId1"/>
        <a:stretch>
          <a:fillRect/>
        </a:stretch>
      </xdr:blipFill>
      <xdr:spPr>
        <a:xfrm>
          <a:off x="342900" y="66675"/>
          <a:ext cx="590550" cy="257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2</xdr:col>
      <xdr:colOff>495300</xdr:colOff>
      <xdr:row>1</xdr:row>
      <xdr:rowOff>152400</xdr:rowOff>
    </xdr:to>
    <xdr:pic>
      <xdr:nvPicPr>
        <xdr:cNvPr id="1" name="Picture 1"/>
        <xdr:cNvPicPr preferRelativeResize="1">
          <a:picLocks noChangeAspect="1"/>
        </xdr:cNvPicPr>
      </xdr:nvPicPr>
      <xdr:blipFill>
        <a:blip r:embed="rId1"/>
        <a:stretch>
          <a:fillRect/>
        </a:stretch>
      </xdr:blipFill>
      <xdr:spPr>
        <a:xfrm>
          <a:off x="171450" y="66675"/>
          <a:ext cx="628650" cy="276225"/>
        </a:xfrm>
        <a:prstGeom prst="rect">
          <a:avLst/>
        </a:prstGeom>
        <a:noFill/>
        <a:ln w="9525" cmpd="sng">
          <a:noFill/>
        </a:ln>
      </xdr:spPr>
    </xdr:pic>
    <xdr:clientData/>
  </xdr:twoCellAnchor>
  <xdr:twoCellAnchor>
    <xdr:from>
      <xdr:col>13</xdr:col>
      <xdr:colOff>790575</xdr:colOff>
      <xdr:row>17</xdr:row>
      <xdr:rowOff>76200</xdr:rowOff>
    </xdr:from>
    <xdr:to>
      <xdr:col>13</xdr:col>
      <xdr:colOff>895350</xdr:colOff>
      <xdr:row>17</xdr:row>
      <xdr:rowOff>180975</xdr:rowOff>
    </xdr:to>
    <xdr:sp>
      <xdr:nvSpPr>
        <xdr:cNvPr id="2" name="Isosceles Triangle 2"/>
        <xdr:cNvSpPr>
          <a:spLocks/>
        </xdr:cNvSpPr>
      </xdr:nvSpPr>
      <xdr:spPr>
        <a:xfrm rot="5400000">
          <a:off x="8524875" y="3905250"/>
          <a:ext cx="104775" cy="1047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409575</xdr:colOff>
      <xdr:row>1</xdr:row>
      <xdr:rowOff>85725</xdr:rowOff>
    </xdr:to>
    <xdr:pic>
      <xdr:nvPicPr>
        <xdr:cNvPr id="1" name="Picture 5"/>
        <xdr:cNvPicPr preferRelativeResize="1">
          <a:picLocks noChangeAspect="1"/>
        </xdr:cNvPicPr>
      </xdr:nvPicPr>
      <xdr:blipFill>
        <a:blip r:embed="rId1"/>
        <a:stretch>
          <a:fillRect/>
        </a:stretch>
      </xdr:blipFill>
      <xdr:spPr>
        <a:xfrm>
          <a:off x="133350" y="38100"/>
          <a:ext cx="542925"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1</xdr:col>
      <xdr:colOff>2724150</xdr:colOff>
      <xdr:row>2</xdr:row>
      <xdr:rowOff>19050</xdr:rowOff>
    </xdr:to>
    <xdr:pic>
      <xdr:nvPicPr>
        <xdr:cNvPr id="1" name="Picture 8" descr="clffip-e"/>
        <xdr:cNvPicPr preferRelativeResize="1">
          <a:picLocks noChangeAspect="1"/>
        </xdr:cNvPicPr>
      </xdr:nvPicPr>
      <xdr:blipFill>
        <a:blip r:embed="rId1"/>
        <a:stretch>
          <a:fillRect/>
        </a:stretch>
      </xdr:blipFill>
      <xdr:spPr>
        <a:xfrm>
          <a:off x="152400" y="190500"/>
          <a:ext cx="2724150" cy="190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2</xdr:col>
      <xdr:colOff>542925</xdr:colOff>
      <xdr:row>1</xdr:row>
      <xdr:rowOff>190500</xdr:rowOff>
    </xdr:to>
    <xdr:pic>
      <xdr:nvPicPr>
        <xdr:cNvPr id="1" name="Picture 1" descr="clffip-e"/>
        <xdr:cNvPicPr preferRelativeResize="1">
          <a:picLocks noChangeAspect="1"/>
        </xdr:cNvPicPr>
      </xdr:nvPicPr>
      <xdr:blipFill>
        <a:blip r:embed="rId1"/>
        <a:stretch>
          <a:fillRect/>
        </a:stretch>
      </xdr:blipFill>
      <xdr:spPr>
        <a:xfrm>
          <a:off x="104775" y="190500"/>
          <a:ext cx="27241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28575</xdr:rowOff>
    </xdr:from>
    <xdr:to>
      <xdr:col>2</xdr:col>
      <xdr:colOff>533400</xdr:colOff>
      <xdr:row>3</xdr:row>
      <xdr:rowOff>142875</xdr:rowOff>
    </xdr:to>
    <xdr:pic>
      <xdr:nvPicPr>
        <xdr:cNvPr id="1" name="Picture 1"/>
        <xdr:cNvPicPr preferRelativeResize="1">
          <a:picLocks noChangeAspect="1"/>
        </xdr:cNvPicPr>
      </xdr:nvPicPr>
      <xdr:blipFill>
        <a:blip r:embed="rId1"/>
        <a:stretch>
          <a:fillRect/>
        </a:stretch>
      </xdr:blipFill>
      <xdr:spPr>
        <a:xfrm>
          <a:off x="171450" y="190500"/>
          <a:ext cx="628650" cy="276225"/>
        </a:xfrm>
        <a:prstGeom prst="rect">
          <a:avLst/>
        </a:prstGeom>
        <a:noFill/>
        <a:ln w="9525" cmpd="sng">
          <a:noFill/>
        </a:ln>
      </xdr:spPr>
    </xdr:pic>
    <xdr:clientData/>
  </xdr:twoCellAnchor>
  <xdr:twoCellAnchor editAs="oneCell">
    <xdr:from>
      <xdr:col>2</xdr:col>
      <xdr:colOff>0</xdr:colOff>
      <xdr:row>43</xdr:row>
      <xdr:rowOff>9525</xdr:rowOff>
    </xdr:from>
    <xdr:to>
      <xdr:col>2</xdr:col>
      <xdr:colOff>533400</xdr:colOff>
      <xdr:row>44</xdr:row>
      <xdr:rowOff>209550</xdr:rowOff>
    </xdr:to>
    <xdr:pic>
      <xdr:nvPicPr>
        <xdr:cNvPr id="2" name="Picture 23"/>
        <xdr:cNvPicPr preferRelativeResize="1">
          <a:picLocks noChangeAspect="1"/>
        </xdr:cNvPicPr>
      </xdr:nvPicPr>
      <xdr:blipFill>
        <a:blip r:embed="rId2"/>
        <a:stretch>
          <a:fillRect/>
        </a:stretch>
      </xdr:blipFill>
      <xdr:spPr>
        <a:xfrm>
          <a:off x="266700" y="9077325"/>
          <a:ext cx="5334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135</xdr:row>
      <xdr:rowOff>95250</xdr:rowOff>
    </xdr:from>
    <xdr:to>
      <xdr:col>10</xdr:col>
      <xdr:colOff>457200</xdr:colOff>
      <xdr:row>135</xdr:row>
      <xdr:rowOff>95250</xdr:rowOff>
    </xdr:to>
    <xdr:sp>
      <xdr:nvSpPr>
        <xdr:cNvPr id="1" name="Line 11"/>
        <xdr:cNvSpPr>
          <a:spLocks/>
        </xdr:cNvSpPr>
      </xdr:nvSpPr>
      <xdr:spPr>
        <a:xfrm>
          <a:off x="3324225" y="29232225"/>
          <a:ext cx="529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134</xdr:row>
      <xdr:rowOff>104775</xdr:rowOff>
    </xdr:from>
    <xdr:to>
      <xdr:col>5</xdr:col>
      <xdr:colOff>381000</xdr:colOff>
      <xdr:row>134</xdr:row>
      <xdr:rowOff>104775</xdr:rowOff>
    </xdr:to>
    <xdr:sp>
      <xdr:nvSpPr>
        <xdr:cNvPr id="2" name="Line 14"/>
        <xdr:cNvSpPr>
          <a:spLocks/>
        </xdr:cNvSpPr>
      </xdr:nvSpPr>
      <xdr:spPr>
        <a:xfrm flipH="1">
          <a:off x="4905375" y="290512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134</xdr:row>
      <xdr:rowOff>104775</xdr:rowOff>
    </xdr:from>
    <xdr:to>
      <xdr:col>4</xdr:col>
      <xdr:colOff>981075</xdr:colOff>
      <xdr:row>135</xdr:row>
      <xdr:rowOff>104775</xdr:rowOff>
    </xdr:to>
    <xdr:sp>
      <xdr:nvSpPr>
        <xdr:cNvPr id="3" name="Line 15"/>
        <xdr:cNvSpPr>
          <a:spLocks/>
        </xdr:cNvSpPr>
      </xdr:nvSpPr>
      <xdr:spPr>
        <a:xfrm>
          <a:off x="4905375" y="290512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153</xdr:row>
      <xdr:rowOff>0</xdr:rowOff>
    </xdr:from>
    <xdr:to>
      <xdr:col>11</xdr:col>
      <xdr:colOff>66675</xdr:colOff>
      <xdr:row>153</xdr:row>
      <xdr:rowOff>0</xdr:rowOff>
    </xdr:to>
    <xdr:sp>
      <xdr:nvSpPr>
        <xdr:cNvPr id="4" name="Line 16"/>
        <xdr:cNvSpPr>
          <a:spLocks/>
        </xdr:cNvSpPr>
      </xdr:nvSpPr>
      <xdr:spPr>
        <a:xfrm>
          <a:off x="2581275" y="32689800"/>
          <a:ext cx="657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2324100</xdr:colOff>
      <xdr:row>167</xdr:row>
      <xdr:rowOff>123825</xdr:rowOff>
    </xdr:from>
    <xdr:to>
      <xdr:col>1</xdr:col>
      <xdr:colOff>2600325</xdr:colOff>
      <xdr:row>168</xdr:row>
      <xdr:rowOff>76200</xdr:rowOff>
    </xdr:to>
    <xdr:sp>
      <xdr:nvSpPr>
        <xdr:cNvPr id="5" name="Rectangle 54"/>
        <xdr:cNvSpPr>
          <a:spLocks/>
        </xdr:cNvSpPr>
      </xdr:nvSpPr>
      <xdr:spPr>
        <a:xfrm>
          <a:off x="2476500" y="34575750"/>
          <a:ext cx="276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1123950</xdr:colOff>
      <xdr:row>167</xdr:row>
      <xdr:rowOff>0</xdr:rowOff>
    </xdr:from>
    <xdr:to>
      <xdr:col>1</xdr:col>
      <xdr:colOff>1123950</xdr:colOff>
      <xdr:row>170</xdr:row>
      <xdr:rowOff>9525</xdr:rowOff>
    </xdr:to>
    <xdr:sp>
      <xdr:nvSpPr>
        <xdr:cNvPr id="6" name="Line 71"/>
        <xdr:cNvSpPr>
          <a:spLocks/>
        </xdr:cNvSpPr>
      </xdr:nvSpPr>
      <xdr:spPr>
        <a:xfrm>
          <a:off x="1276350" y="34451925"/>
          <a:ext cx="0" cy="514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6</xdr:col>
      <xdr:colOff>542925</xdr:colOff>
      <xdr:row>167</xdr:row>
      <xdr:rowOff>9525</xdr:rowOff>
    </xdr:from>
    <xdr:to>
      <xdr:col>6</xdr:col>
      <xdr:colOff>542925</xdr:colOff>
      <xdr:row>169</xdr:row>
      <xdr:rowOff>9525</xdr:rowOff>
    </xdr:to>
    <xdr:sp>
      <xdr:nvSpPr>
        <xdr:cNvPr id="7" name="Line 76"/>
        <xdr:cNvSpPr>
          <a:spLocks/>
        </xdr:cNvSpPr>
      </xdr:nvSpPr>
      <xdr:spPr>
        <a:xfrm>
          <a:off x="5867400" y="34461450"/>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390525</xdr:colOff>
      <xdr:row>135</xdr:row>
      <xdr:rowOff>95250</xdr:rowOff>
    </xdr:from>
    <xdr:to>
      <xdr:col>2</xdr:col>
      <xdr:colOff>390525</xdr:colOff>
      <xdr:row>137</xdr:row>
      <xdr:rowOff>0</xdr:rowOff>
    </xdr:to>
    <xdr:sp>
      <xdr:nvSpPr>
        <xdr:cNvPr id="8" name="Line 85"/>
        <xdr:cNvSpPr>
          <a:spLocks/>
        </xdr:cNvSpPr>
      </xdr:nvSpPr>
      <xdr:spPr>
        <a:xfrm>
          <a:off x="3324225" y="292322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457200</xdr:colOff>
      <xdr:row>135</xdr:row>
      <xdr:rowOff>95250</xdr:rowOff>
    </xdr:from>
    <xdr:to>
      <xdr:col>10</xdr:col>
      <xdr:colOff>457200</xdr:colOff>
      <xdr:row>137</xdr:row>
      <xdr:rowOff>9525</xdr:rowOff>
    </xdr:to>
    <xdr:sp>
      <xdr:nvSpPr>
        <xdr:cNvPr id="9" name="Line 86"/>
        <xdr:cNvSpPr>
          <a:spLocks/>
        </xdr:cNvSpPr>
      </xdr:nvSpPr>
      <xdr:spPr>
        <a:xfrm>
          <a:off x="8620125" y="292322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114300</xdr:colOff>
      <xdr:row>167</xdr:row>
      <xdr:rowOff>9525</xdr:rowOff>
    </xdr:from>
    <xdr:to>
      <xdr:col>10</xdr:col>
      <xdr:colOff>114300</xdr:colOff>
      <xdr:row>169</xdr:row>
      <xdr:rowOff>9525</xdr:rowOff>
    </xdr:to>
    <xdr:sp>
      <xdr:nvSpPr>
        <xdr:cNvPr id="10" name="Line 95"/>
        <xdr:cNvSpPr>
          <a:spLocks/>
        </xdr:cNvSpPr>
      </xdr:nvSpPr>
      <xdr:spPr>
        <a:xfrm>
          <a:off x="8277225" y="34461450"/>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1190625</xdr:colOff>
      <xdr:row>167</xdr:row>
      <xdr:rowOff>114300</xdr:rowOff>
    </xdr:from>
    <xdr:to>
      <xdr:col>1</xdr:col>
      <xdr:colOff>1533525</xdr:colOff>
      <xdr:row>168</xdr:row>
      <xdr:rowOff>123825</xdr:rowOff>
    </xdr:to>
    <xdr:sp>
      <xdr:nvSpPr>
        <xdr:cNvPr id="11" name="Text Box 99"/>
        <xdr:cNvSpPr txBox="1">
          <a:spLocks noChangeArrowheads="1"/>
        </xdr:cNvSpPr>
      </xdr:nvSpPr>
      <xdr:spPr>
        <a:xfrm>
          <a:off x="1343025" y="34566225"/>
          <a:ext cx="342900" cy="266700"/>
        </a:xfrm>
        <a:prstGeom prst="rect">
          <a:avLst/>
        </a:prstGeom>
        <a:solidFill>
          <a:srgbClr val="FFFFFF"/>
        </a:solidFill>
        <a:ln w="9525" cmpd="sng">
          <a:noFill/>
        </a:ln>
      </xdr:spPr>
      <xdr:txBody>
        <a:bodyPr vertOverflow="clip" wrap="square" lIns="27432" tIns="22860" rIns="27432" bIns="22860" anchor="ctr"/>
        <a:p>
          <a:pPr algn="ctr">
            <a:defRPr/>
          </a:pPr>
          <a:r>
            <a:rPr lang="en-US" cap="none" sz="1200" b="1" i="0" u="none" baseline="0">
              <a:solidFill>
                <a:srgbClr val="000000"/>
              </a:solidFill>
              <a:latin typeface="Arial MT"/>
              <a:ea typeface="Arial MT"/>
              <a:cs typeface="Arial MT"/>
            </a:rPr>
            <a:t>487</a:t>
          </a:r>
        </a:p>
      </xdr:txBody>
    </xdr:sp>
    <xdr:clientData/>
  </xdr:twoCellAnchor>
  <xdr:twoCellAnchor>
    <xdr:from>
      <xdr:col>1</xdr:col>
      <xdr:colOff>1981200</xdr:colOff>
      <xdr:row>167</xdr:row>
      <xdr:rowOff>114300</xdr:rowOff>
    </xdr:from>
    <xdr:to>
      <xdr:col>1</xdr:col>
      <xdr:colOff>2324100</xdr:colOff>
      <xdr:row>168</xdr:row>
      <xdr:rowOff>123825</xdr:rowOff>
    </xdr:to>
    <xdr:sp>
      <xdr:nvSpPr>
        <xdr:cNvPr id="12" name="Text Box 100"/>
        <xdr:cNvSpPr txBox="1">
          <a:spLocks noChangeArrowheads="1"/>
        </xdr:cNvSpPr>
      </xdr:nvSpPr>
      <xdr:spPr>
        <a:xfrm>
          <a:off x="2133600" y="34566225"/>
          <a:ext cx="342900" cy="266700"/>
        </a:xfrm>
        <a:prstGeom prst="rect">
          <a:avLst/>
        </a:prstGeom>
        <a:solidFill>
          <a:srgbClr val="FFFFFF"/>
        </a:solidFill>
        <a:ln w="9525" cmpd="sng">
          <a:noFill/>
        </a:ln>
      </xdr:spPr>
      <xdr:txBody>
        <a:bodyPr vertOverflow="clip" wrap="square" lIns="27432" tIns="22860" rIns="27432" bIns="22860" anchor="ctr"/>
        <a:p>
          <a:pPr algn="ctr">
            <a:defRPr/>
          </a:pPr>
          <a:r>
            <a:rPr lang="en-US" cap="none" sz="1200" b="1" i="0" u="none" baseline="0">
              <a:solidFill>
                <a:srgbClr val="000000"/>
              </a:solidFill>
              <a:latin typeface="Arial MT"/>
              <a:ea typeface="Arial MT"/>
              <a:cs typeface="Arial MT"/>
            </a:rPr>
            <a:t>488
</a:t>
          </a:r>
        </a:p>
      </xdr:txBody>
    </xdr:sp>
    <xdr:clientData/>
  </xdr:twoCellAnchor>
  <xdr:twoCellAnchor>
    <xdr:from>
      <xdr:col>1</xdr:col>
      <xdr:colOff>1562100</xdr:colOff>
      <xdr:row>167</xdr:row>
      <xdr:rowOff>123825</xdr:rowOff>
    </xdr:from>
    <xdr:to>
      <xdr:col>1</xdr:col>
      <xdr:colOff>1838325</xdr:colOff>
      <xdr:row>168</xdr:row>
      <xdr:rowOff>76200</xdr:rowOff>
    </xdr:to>
    <xdr:sp>
      <xdr:nvSpPr>
        <xdr:cNvPr id="13" name="Rectangle 101"/>
        <xdr:cNvSpPr>
          <a:spLocks/>
        </xdr:cNvSpPr>
      </xdr:nvSpPr>
      <xdr:spPr>
        <a:xfrm>
          <a:off x="1714500" y="34575750"/>
          <a:ext cx="276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1533525</xdr:colOff>
      <xdr:row>164</xdr:row>
      <xdr:rowOff>0</xdr:rowOff>
    </xdr:from>
    <xdr:to>
      <xdr:col>1</xdr:col>
      <xdr:colOff>1533525</xdr:colOff>
      <xdr:row>166</xdr:row>
      <xdr:rowOff>0</xdr:rowOff>
    </xdr:to>
    <xdr:sp>
      <xdr:nvSpPr>
        <xdr:cNvPr id="14" name="Straight Connector 27"/>
        <xdr:cNvSpPr>
          <a:spLocks/>
        </xdr:cNvSpPr>
      </xdr:nvSpPr>
      <xdr:spPr>
        <a:xfrm rot="5400000">
          <a:off x="1685925" y="33966150"/>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1314450</xdr:colOff>
      <xdr:row>2</xdr:row>
      <xdr:rowOff>180975</xdr:rowOff>
    </xdr:to>
    <xdr:pic>
      <xdr:nvPicPr>
        <xdr:cNvPr id="1" name="Picture 1"/>
        <xdr:cNvPicPr preferRelativeResize="1">
          <a:picLocks noChangeAspect="1"/>
        </xdr:cNvPicPr>
      </xdr:nvPicPr>
      <xdr:blipFill>
        <a:blip r:embed="rId1"/>
        <a:stretch>
          <a:fillRect/>
        </a:stretch>
      </xdr:blipFill>
      <xdr:spPr>
        <a:xfrm>
          <a:off x="0" y="190500"/>
          <a:ext cx="13144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0</xdr:rowOff>
    </xdr:from>
    <xdr:to>
      <xdr:col>1</xdr:col>
      <xdr:colOff>1419225</xdr:colOff>
      <xdr:row>2</xdr:row>
      <xdr:rowOff>247650</xdr:rowOff>
    </xdr:to>
    <xdr:pic>
      <xdr:nvPicPr>
        <xdr:cNvPr id="1" name="Picture 1"/>
        <xdr:cNvPicPr preferRelativeResize="1">
          <a:picLocks noChangeAspect="1"/>
        </xdr:cNvPicPr>
      </xdr:nvPicPr>
      <xdr:blipFill>
        <a:blip r:embed="rId1"/>
        <a:stretch>
          <a:fillRect/>
        </a:stretch>
      </xdr:blipFill>
      <xdr:spPr>
        <a:xfrm>
          <a:off x="219075" y="190500"/>
          <a:ext cx="133350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38100</xdr:rowOff>
    </xdr:from>
    <xdr:to>
      <xdr:col>1</xdr:col>
      <xdr:colOff>1562100</xdr:colOff>
      <xdr:row>2</xdr:row>
      <xdr:rowOff>95250</xdr:rowOff>
    </xdr:to>
    <xdr:pic>
      <xdr:nvPicPr>
        <xdr:cNvPr id="1" name="Picture 1"/>
        <xdr:cNvPicPr preferRelativeResize="1">
          <a:picLocks noChangeAspect="1"/>
        </xdr:cNvPicPr>
      </xdr:nvPicPr>
      <xdr:blipFill>
        <a:blip r:embed="rId1"/>
        <a:stretch>
          <a:fillRect/>
        </a:stretch>
      </xdr:blipFill>
      <xdr:spPr>
        <a:xfrm>
          <a:off x="295275" y="38100"/>
          <a:ext cx="148590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180975</xdr:rowOff>
    </xdr:from>
    <xdr:to>
      <xdr:col>2</xdr:col>
      <xdr:colOff>800100</xdr:colOff>
      <xdr:row>3</xdr:row>
      <xdr:rowOff>9525</xdr:rowOff>
    </xdr:to>
    <xdr:pic>
      <xdr:nvPicPr>
        <xdr:cNvPr id="1" name="Picture 1"/>
        <xdr:cNvPicPr preferRelativeResize="1">
          <a:picLocks noChangeAspect="1"/>
        </xdr:cNvPicPr>
      </xdr:nvPicPr>
      <xdr:blipFill>
        <a:blip r:embed="rId1"/>
        <a:stretch>
          <a:fillRect/>
        </a:stretch>
      </xdr:blipFill>
      <xdr:spPr>
        <a:xfrm>
          <a:off x="238125" y="180975"/>
          <a:ext cx="168592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38100</xdr:rowOff>
    </xdr:from>
    <xdr:to>
      <xdr:col>0</xdr:col>
      <xdr:colOff>1533525</xdr:colOff>
      <xdr:row>2</xdr:row>
      <xdr:rowOff>314325</xdr:rowOff>
    </xdr:to>
    <xdr:pic>
      <xdr:nvPicPr>
        <xdr:cNvPr id="1" name="Picture 1"/>
        <xdr:cNvPicPr preferRelativeResize="1">
          <a:picLocks noChangeAspect="1"/>
        </xdr:cNvPicPr>
      </xdr:nvPicPr>
      <xdr:blipFill>
        <a:blip r:embed="rId1"/>
        <a:stretch>
          <a:fillRect/>
        </a:stretch>
      </xdr:blipFill>
      <xdr:spPr>
        <a:xfrm>
          <a:off x="76200" y="180975"/>
          <a:ext cx="1457325" cy="552450"/>
        </a:xfrm>
        <a:prstGeom prst="rect">
          <a:avLst/>
        </a:prstGeom>
        <a:noFill/>
        <a:ln w="9525" cmpd="sng">
          <a:noFill/>
        </a:ln>
      </xdr:spPr>
    </xdr:pic>
    <xdr:clientData/>
  </xdr:twoCellAnchor>
  <xdr:oneCellAnchor>
    <xdr:from>
      <xdr:col>4</xdr:col>
      <xdr:colOff>752475</xdr:colOff>
      <xdr:row>54</xdr:row>
      <xdr:rowOff>66675</xdr:rowOff>
    </xdr:from>
    <xdr:ext cx="104775" cy="257175"/>
    <xdr:sp fLocksText="0">
      <xdr:nvSpPr>
        <xdr:cNvPr id="2" name="Text Box 4"/>
        <xdr:cNvSpPr txBox="1">
          <a:spLocks noChangeArrowheads="1"/>
        </xdr:cNvSpPr>
      </xdr:nvSpPr>
      <xdr:spPr>
        <a:xfrm>
          <a:off x="6172200" y="12249150"/>
          <a:ext cx="104775" cy="257175"/>
        </a:xfrm>
        <a:prstGeom prst="rect">
          <a:avLst/>
        </a:prstGeom>
        <a:noFill/>
        <a:ln w="9525" cmpd="sng">
          <a:noFill/>
        </a:ln>
      </xdr:spPr>
      <xdr:txBody>
        <a:bodyPr vertOverflow="clip" wrap="square"/>
        <a:p>
          <a:pPr algn="l">
            <a:defRPr/>
          </a:pPr>
          <a:r>
            <a:rPr lang="en-US" cap="none" u="none" baseline="0">
              <a:latin typeface="Arial MT"/>
              <a:ea typeface="Arial MT"/>
              <a:cs typeface="Arial MT"/>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119</xdr:row>
      <xdr:rowOff>104775</xdr:rowOff>
    </xdr:from>
    <xdr:to>
      <xdr:col>9</xdr:col>
      <xdr:colOff>962025</xdr:colOff>
      <xdr:row>119</xdr:row>
      <xdr:rowOff>104775</xdr:rowOff>
    </xdr:to>
    <xdr:sp>
      <xdr:nvSpPr>
        <xdr:cNvPr id="1" name="Straight Arrow Connector 2"/>
        <xdr:cNvSpPr>
          <a:spLocks/>
        </xdr:cNvSpPr>
      </xdr:nvSpPr>
      <xdr:spPr>
        <a:xfrm>
          <a:off x="4391025" y="25260300"/>
          <a:ext cx="3114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9.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ra.gc.ca/access" TargetMode="External" /><Relationship Id="rId2" Type="http://schemas.openxmlformats.org/officeDocument/2006/relationships/hyperlink" Target="http://www.cra.gc.ca/charities" TargetMode="External" /><Relationship Id="rId3" Type="http://schemas.openxmlformats.org/officeDocument/2006/relationships/hyperlink" Target="http://www.cra.gc.ca/benefits-calculator" TargetMode="External" /><Relationship Id="rId4" Type="http://schemas.openxmlformats.org/officeDocument/2006/relationships/hyperlink" Target="http://www.cra.gc.ca/commonadjustments" TargetMode="External" /><Relationship Id="rId5" Type="http://schemas.openxmlformats.org/officeDocument/2006/relationships/hyperlink" Target="http://www.cra.gc.ca/efile-individuals" TargetMode="External" /><Relationship Id="rId6" Type="http://schemas.openxmlformats.org/officeDocument/2006/relationships/hyperlink" Target="http://www.cra.gc.ca/electronicpayments" TargetMode="External" /><Relationship Id="rId7" Type="http://schemas.openxmlformats.org/officeDocument/2006/relationships/hyperlink" Target="http://www.cra.gc.ca/forms" TargetMode="External" /><Relationship Id="rId8" Type="http://schemas.openxmlformats.org/officeDocument/2006/relationships/hyperlink" Target="http://www.cra.gc.ca/dates-ind" TargetMode="External" /><Relationship Id="rId9" Type="http://schemas.openxmlformats.org/officeDocument/2006/relationships/hyperlink" Target="http://www.cra.gc.ca/international" TargetMode="External" /><Relationship Id="rId10" Type="http://schemas.openxmlformats.org/officeDocument/2006/relationships/hyperlink" Target="http://www.cra.gc.ca/myaccount" TargetMode="External" /><Relationship Id="rId11" Type="http://schemas.openxmlformats.org/officeDocument/2006/relationships/hyperlink" Target="http://www.netfile.gc.ca/" TargetMode="External" /><Relationship Id="rId12" Type="http://schemas.openxmlformats.org/officeDocument/2006/relationships/hyperlink" Target="http://www.cra.gc.ca/disability" TargetMode="External" /><Relationship Id="rId13" Type="http://schemas.openxmlformats.org/officeDocument/2006/relationships/hyperlink" Target="http://www.cra.gc.ca/rrsp" TargetMode="External" /><Relationship Id="rId14" Type="http://schemas.openxmlformats.org/officeDocument/2006/relationships/hyperlink" Target="http://www.cra.gc.ca/reviews" TargetMode="External" /><Relationship Id="rId15" Type="http://schemas.openxmlformats.org/officeDocument/2006/relationships/hyperlink" Target="http://www.cra.gc.ca/students" TargetMode="External" /><Relationship Id="rId16" Type="http://schemas.openxmlformats.org/officeDocument/2006/relationships/hyperlink" Target="http://www.cra.gc.ca/tips" TargetMode="External" /><Relationship Id="rId17" Type="http://schemas.openxmlformats.org/officeDocument/2006/relationships/hyperlink" Target="http://www.cra.gc.ca/tso" TargetMode="External" /><Relationship Id="rId18" Type="http://schemas.openxmlformats.org/officeDocument/2006/relationships/hyperlink" Target="http://www.cra.gc.ca/treaties" TargetMode="External" /><Relationship Id="rId19" Type="http://schemas.openxmlformats.org/officeDocument/2006/relationships/hyperlink" Target="http://www.cra.gc.ca/telefile" TargetMode="External" /><Relationship Id="rId20" Type="http://schemas.openxmlformats.org/officeDocument/2006/relationships/hyperlink" Target="http://www.cra.gc.ca/travelcosts" TargetMode="External" /><Relationship Id="rId21" Type="http://schemas.openxmlformats.org/officeDocument/2006/relationships/hyperlink" Target="http://www.cra-arc.gc.ca/tx/ndvdls/tpcs/rdsp-reei/menu-eng.html" TargetMode="External" /><Relationship Id="rId22" Type="http://schemas.openxmlformats.org/officeDocument/2006/relationships/hyperlink" Target="http://www.cra-arc.gc.ca/tx/ndvdls/tpcs/ncm-tx/rtrn/cmpltng/whtsnw-eng.html" TargetMode="External" /><Relationship Id="rId23" Type="http://schemas.openxmlformats.org/officeDocument/2006/relationships/hyperlink" Target="http://www.cra-arc.gc.ca/tx/ndvdls/tpcs/ncm-tx/rtrn/cmpltng/ddctns/lns300-350/300-eng.html" TargetMode="External" /><Relationship Id="rId24" Type="http://schemas.openxmlformats.org/officeDocument/2006/relationships/hyperlink" Target="http://www.cra-arc.gc.ca/tx/ndvdls/tpcs/ncm-tx/rtrn/cmpltng/rprtng-ncm/lns101-170/130/s-thr-eng.html" TargetMode="External" /><Relationship Id="rId25" Type="http://schemas.openxmlformats.org/officeDocument/2006/relationships/hyperlink" Target="http://www.cra-arc.gc.ca/tx/ndvdls/tpcs/ncm-tx/rtrn/cmpltng/ddctns/lns300-350/303/menu-eng.html" TargetMode="External" /><Relationship Id="rId26" Type="http://schemas.openxmlformats.org/officeDocument/2006/relationships/hyperlink" Target="http://www.cra-arc.gc.ca/tx/ndvdls/tpcs/ncm-tx/rtrn/cmpltng/ddctns/lns300-350/301/menu-eng.html" TargetMode="External" /><Relationship Id="rId27" Type="http://schemas.openxmlformats.org/officeDocument/2006/relationships/hyperlink" Target="http://www.cra-arc.gc.ca/tx/ndvdls/tpcs/ncm-tx/rtrn/cmpltng/ddctns/lns300-350/305/menu-eng.html" TargetMode="External" /><Relationship Id="rId28" Type="http://schemas.openxmlformats.org/officeDocument/2006/relationships/hyperlink" Target="http://www.cra-arc.gc.ca/tx/ndvdls/tpcs/ncm-tx/rtrn/cmpltng/ddctns/lns360-390/368-eng.html" TargetMode="External" /><Relationship Id="rId29" Type="http://schemas.openxmlformats.org/officeDocument/2006/relationships/hyperlink" Target="http://www.cra-arc.gc.ca/tx/ndvdls/tpcs/ncm-tx/rtrn/cmpltng/ddctns/lns360-390/369/menu-eng.html" TargetMode="External" /><Relationship Id="rId30" Type="http://schemas.openxmlformats.org/officeDocument/2006/relationships/hyperlink" Target="http://www.cra-arc.gc.ca/tx/ndvdls/tpcs/ncm-tx/rtrn/cmpltng/ddctns/lns409-485/412/menu-eng.html" TargetMode="External" /><Relationship Id="rId31" Type="http://schemas.openxmlformats.org/officeDocument/2006/relationships/hyperlink" Target="http://www.cra-arc.gc.ca/esrvc-srvce/tx/mypymnt/menu-eng.html" TargetMode="External" /><Relationship Id="rId32" Type="http://schemas.openxmlformats.org/officeDocument/2006/relationships/hyperlink" Target="http://www.cra-arc.gc.ca/tx/ndvdls/tpcs/rrsp-reer/hbp-rap/menu-eng.html?=slnk" TargetMode="External" /><Relationship Id="rId33" Type="http://schemas.openxmlformats.org/officeDocument/2006/relationships/hyperlink" Target="http://www.cra-arc.gc.ca/E/pub/tg/t4040/README.html" TargetMode="External" /><Relationship Id="rId3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5.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6.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ra-arc.gc.ca/formspubs/t1gnrl/menu-eng.html"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7.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8.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9.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0.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1.vml" /><Relationship Id="rId3" Type="http://schemas.openxmlformats.org/officeDocument/2006/relationships/drawing" Target="../drawings/drawing10.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22.vml" /><Relationship Id="rId3" Type="http://schemas.openxmlformats.org/officeDocument/2006/relationships/drawing" Target="../drawings/drawing11.x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3.vml" /><Relationship Id="rId3" Type="http://schemas.openxmlformats.org/officeDocument/2006/relationships/drawing" Target="../drawings/drawing12.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4.vml" /><Relationship Id="rId3" Type="http://schemas.openxmlformats.org/officeDocument/2006/relationships/drawing" Target="../drawings/drawing13.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ra-arc.gc.ca/E/pbg/tf/t1-m/README.html" TargetMode="External" /><Relationship Id="rId2" Type="http://schemas.openxmlformats.org/officeDocument/2006/relationships/hyperlink" Target="http://www.cra-arc.gc.ca/menu/AFAF_T-e.html" TargetMode="External" /><Relationship Id="rId3" Type="http://schemas.openxmlformats.org/officeDocument/2006/relationships/hyperlink" Target="http://www.cra-arc.gc.ca/E/pbg/tf/cpt20/README.html" TargetMode="External" /><Relationship Id="rId4" Type="http://schemas.openxmlformats.org/officeDocument/2006/relationships/hyperlink" Target="http://www.cra-arc.gc.ca/E/pbg/tf/t1-adj/README.html" TargetMode="External" /><Relationship Id="rId5" Type="http://schemas.openxmlformats.org/officeDocument/2006/relationships/hyperlink" Target="http://www.cra-arc.gc.ca/E/pbg/tf/t626/README.html" TargetMode="External" /><Relationship Id="rId6" Type="http://schemas.openxmlformats.org/officeDocument/2006/relationships/hyperlink" Target="http://www.cra-arc.gc.ca/E/pbg/tf/t657/README.html" TargetMode="External" /><Relationship Id="rId7" Type="http://schemas.openxmlformats.org/officeDocument/2006/relationships/hyperlink" Target="http://www.cra-arc.gc.ca/E/pbg/tf/t776/README.html" TargetMode="External" /><Relationship Id="rId8" Type="http://schemas.openxmlformats.org/officeDocument/2006/relationships/hyperlink" Target="http://www.cra-arc.gc.ca/E/pbg/tf/t777/README.html" TargetMode="External" /><Relationship Id="rId9" Type="http://schemas.openxmlformats.org/officeDocument/2006/relationships/hyperlink" Target="http://www.cra-arc.gc.ca/E/pbg/tf/t1139/README.html" TargetMode="External" /><Relationship Id="rId10" Type="http://schemas.openxmlformats.org/officeDocument/2006/relationships/hyperlink" Target="http://www.cra-arc.gc.ca/E/pbg/tf/t1172/README.html" TargetMode="External" /><Relationship Id="rId11" Type="http://schemas.openxmlformats.org/officeDocument/2006/relationships/hyperlink" Target="http://www.cra-arc.gc.ca/E/pbg/tf/t1206/README.html" TargetMode="External" /><Relationship Id="rId12" Type="http://schemas.openxmlformats.org/officeDocument/2006/relationships/hyperlink" Target="http://www.cra-arc.gc.ca/E/pbg/tf/t2036/README.html" TargetMode="External" /><Relationship Id="rId13" Type="http://schemas.openxmlformats.org/officeDocument/2006/relationships/hyperlink" Target="http://www.cra-arc.gc.ca/E/pbg/tf/t2038_ind/README.html" TargetMode="External" /><Relationship Id="rId14" Type="http://schemas.openxmlformats.org/officeDocument/2006/relationships/hyperlink" Target="http://www.cra-arc.gc.ca/E/pbg/tf/t2125/README.html" TargetMode="External" /><Relationship Id="rId15" Type="http://schemas.openxmlformats.org/officeDocument/2006/relationships/hyperlink" Target="http://www.cra-arc.gc.ca/E/pbg/tf/t2222/README.html" TargetMode="External" /><Relationship Id="rId16" Type="http://schemas.openxmlformats.org/officeDocument/2006/relationships/hyperlink" Target="http://www.cra-arc.gc.ca/E/pbg/tf/t1229/README.html" TargetMode="External" /><Relationship Id="rId17"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5.vml" /><Relationship Id="rId3" Type="http://schemas.openxmlformats.org/officeDocument/2006/relationships/drawing" Target="../drawings/drawing14.xml" /><Relationship Id="rId4"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26.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77"/>
  <sheetViews>
    <sheetView tabSelected="1" zoomScalePageLayoutView="0" workbookViewId="0" topLeftCell="A1">
      <selection activeCell="A3" sqref="A3"/>
    </sheetView>
  </sheetViews>
  <sheetFormatPr defaultColWidth="9.77734375" defaultRowHeight="15"/>
  <cols>
    <col min="1" max="1" width="65.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5.3359375" style="0" customWidth="1"/>
  </cols>
  <sheetData>
    <row r="1" spans="1:9" ht="20.25">
      <c r="A1" s="721" t="s">
        <v>379</v>
      </c>
      <c r="B1" s="350" t="s">
        <v>380</v>
      </c>
      <c r="C1" s="74"/>
      <c r="D1" s="74"/>
      <c r="E1" s="188"/>
      <c r="F1" s="74"/>
      <c r="G1" s="188" t="s">
        <v>1820</v>
      </c>
      <c r="H1" s="78"/>
      <c r="I1" s="1566" t="s">
        <v>35</v>
      </c>
    </row>
    <row r="2" spans="1:9" ht="27" customHeight="1">
      <c r="A2" s="722" t="str">
        <f>"Version "&amp;yeartext&amp;"-1.0c"</f>
        <v>Version 2009-1.0c</v>
      </c>
      <c r="B2" s="350"/>
      <c r="C2" s="74"/>
      <c r="D2" s="74"/>
      <c r="E2" s="188"/>
      <c r="F2" s="74"/>
      <c r="G2" s="188"/>
      <c r="H2" s="78"/>
      <c r="I2" s="1566"/>
    </row>
    <row r="3" spans="1:9" ht="20.25">
      <c r="A3" s="722"/>
      <c r="B3" s="350"/>
      <c r="C3" s="74"/>
      <c r="D3" s="74"/>
      <c r="E3" s="188"/>
      <c r="F3" s="74"/>
      <c r="G3" s="188"/>
      <c r="H3" s="78"/>
      <c r="I3" s="1566"/>
    </row>
    <row r="4" spans="1:9" ht="20.25">
      <c r="A4" s="921" t="s">
        <v>1159</v>
      </c>
      <c r="B4" s="82"/>
      <c r="C4" s="120"/>
      <c r="D4" s="121"/>
      <c r="E4" s="121"/>
      <c r="F4" s="121"/>
      <c r="G4" s="121"/>
      <c r="H4" s="121"/>
      <c r="I4" s="1566"/>
    </row>
    <row r="5" spans="1:9" ht="18">
      <c r="A5" s="723" t="s">
        <v>994</v>
      </c>
      <c r="B5" s="121"/>
      <c r="C5" s="120"/>
      <c r="D5" s="121"/>
      <c r="E5" s="121"/>
      <c r="F5" s="121"/>
      <c r="G5" s="121"/>
      <c r="H5" s="121"/>
      <c r="I5" s="1566"/>
    </row>
    <row r="6" spans="1:9" ht="18">
      <c r="A6" s="724" t="s">
        <v>1325</v>
      </c>
      <c r="B6" s="75"/>
      <c r="C6" s="120"/>
      <c r="D6" s="121"/>
      <c r="E6" s="121"/>
      <c r="F6" s="121"/>
      <c r="G6" s="121"/>
      <c r="H6" s="121"/>
      <c r="I6" s="1566"/>
    </row>
    <row r="7" spans="1:9" ht="33" customHeight="1">
      <c r="A7" s="725" t="s">
        <v>1160</v>
      </c>
      <c r="B7" s="121"/>
      <c r="C7" s="121"/>
      <c r="D7" s="121"/>
      <c r="E7" s="121"/>
      <c r="F7" s="78"/>
      <c r="G7" s="78"/>
      <c r="H7" s="78"/>
      <c r="I7" s="1566"/>
    </row>
    <row r="8" spans="1:9" ht="18">
      <c r="A8" s="725" t="s">
        <v>1182</v>
      </c>
      <c r="B8" s="121"/>
      <c r="C8" s="121"/>
      <c r="D8" s="121"/>
      <c r="E8" s="121"/>
      <c r="F8" s="78"/>
      <c r="G8" s="78"/>
      <c r="H8" s="78"/>
      <c r="I8" s="1566"/>
    </row>
    <row r="9" spans="1:9" ht="18">
      <c r="A9" s="725" t="s">
        <v>1326</v>
      </c>
      <c r="B9" s="121"/>
      <c r="C9" s="121"/>
      <c r="D9" s="121"/>
      <c r="E9" s="121"/>
      <c r="F9" s="78"/>
      <c r="G9" s="78"/>
      <c r="H9" s="78"/>
      <c r="I9" s="1566"/>
    </row>
    <row r="10" spans="1:9" ht="18">
      <c r="A10" s="725" t="s">
        <v>1819</v>
      </c>
      <c r="B10" s="121"/>
      <c r="C10" s="121"/>
      <c r="D10" s="121"/>
      <c r="E10" s="121"/>
      <c r="F10" s="78"/>
      <c r="G10" s="78"/>
      <c r="H10" s="78"/>
      <c r="I10" s="1566"/>
    </row>
    <row r="11" spans="1:9" ht="18">
      <c r="A11" s="725"/>
      <c r="B11" s="121"/>
      <c r="C11" s="121"/>
      <c r="D11" s="121"/>
      <c r="E11" s="121"/>
      <c r="F11" s="78"/>
      <c r="G11" s="78"/>
      <c r="H11" s="78"/>
      <c r="I11" s="1566"/>
    </row>
    <row r="12" spans="1:9" ht="18">
      <c r="A12" s="725" t="s">
        <v>1327</v>
      </c>
      <c r="B12" s="121"/>
      <c r="C12" s="121"/>
      <c r="D12" s="121"/>
      <c r="E12" s="121"/>
      <c r="F12" s="78"/>
      <c r="G12" s="78"/>
      <c r="H12" s="78"/>
      <c r="I12" s="1566"/>
    </row>
    <row r="13" spans="1:9" ht="18">
      <c r="A13" s="725" t="s">
        <v>1818</v>
      </c>
      <c r="B13" s="121"/>
      <c r="C13" s="121"/>
      <c r="D13" s="121"/>
      <c r="E13" s="121"/>
      <c r="F13" s="78"/>
      <c r="G13" s="78"/>
      <c r="H13" s="78"/>
      <c r="I13" s="1566"/>
    </row>
    <row r="14" spans="1:9" ht="18">
      <c r="A14" s="725" t="s">
        <v>1940</v>
      </c>
      <c r="B14" s="121"/>
      <c r="C14" s="121"/>
      <c r="D14" s="121"/>
      <c r="E14" s="121"/>
      <c r="F14" s="78"/>
      <c r="G14" s="78"/>
      <c r="H14" s="78"/>
      <c r="I14" s="1566"/>
    </row>
    <row r="15" spans="1:9" ht="25.5" customHeight="1">
      <c r="A15" s="725"/>
      <c r="B15" s="78"/>
      <c r="C15" s="472" t="s">
        <v>1328</v>
      </c>
      <c r="D15" s="78"/>
      <c r="E15" s="78"/>
      <c r="F15" s="78"/>
      <c r="G15" s="78"/>
      <c r="H15" s="78"/>
      <c r="I15" s="1566"/>
    </row>
    <row r="16" spans="1:9" ht="30.75" customHeight="1">
      <c r="A16" s="725" t="s">
        <v>1842</v>
      </c>
      <c r="B16" s="121"/>
      <c r="C16" s="121"/>
      <c r="D16" s="121"/>
      <c r="E16" s="121"/>
      <c r="F16" s="78"/>
      <c r="G16" s="78"/>
      <c r="H16" s="78"/>
      <c r="I16" s="1566"/>
    </row>
    <row r="17" spans="1:9" ht="18">
      <c r="A17" s="725" t="s">
        <v>68</v>
      </c>
      <c r="B17" s="121"/>
      <c r="C17" s="121"/>
      <c r="D17" s="121"/>
      <c r="E17" s="121"/>
      <c r="F17" s="78"/>
      <c r="G17" s="78"/>
      <c r="H17" s="78"/>
      <c r="I17" s="1566"/>
    </row>
    <row r="18" spans="1:9" ht="31.5" customHeight="1">
      <c r="A18" s="1151" t="s">
        <v>1761</v>
      </c>
      <c r="B18" s="121"/>
      <c r="C18" s="121"/>
      <c r="D18" s="121"/>
      <c r="E18" s="121"/>
      <c r="F18" s="78"/>
      <c r="G18" s="78"/>
      <c r="H18" s="78"/>
      <c r="I18" s="1566"/>
    </row>
    <row r="19" spans="1:9" s="349" customFormat="1" ht="36.75" customHeight="1">
      <c r="A19" s="1011" t="s">
        <v>943</v>
      </c>
      <c r="B19" s="80"/>
      <c r="C19" s="80"/>
      <c r="D19" s="80"/>
      <c r="E19" s="80"/>
      <c r="F19" s="80"/>
      <c r="G19" s="80"/>
      <c r="H19" s="80"/>
      <c r="I19" s="1566"/>
    </row>
    <row r="20" spans="1:9" s="349" customFormat="1" ht="18">
      <c r="A20" s="1012" t="s">
        <v>933</v>
      </c>
      <c r="B20" s="80"/>
      <c r="C20" s="80"/>
      <c r="D20" s="80"/>
      <c r="E20" s="80"/>
      <c r="F20" s="80"/>
      <c r="G20" s="80"/>
      <c r="H20" s="80"/>
      <c r="I20" s="1566"/>
    </row>
    <row r="21" spans="1:9" s="349" customFormat="1" ht="18">
      <c r="A21" s="954" t="s">
        <v>932</v>
      </c>
      <c r="B21" s="80"/>
      <c r="C21" s="80"/>
      <c r="D21" s="80"/>
      <c r="E21" s="80"/>
      <c r="F21" s="80"/>
      <c r="G21" s="80"/>
      <c r="H21" s="80"/>
      <c r="I21" s="1566"/>
    </row>
    <row r="22" spans="1:9" ht="33.75" customHeight="1">
      <c r="A22" s="779" t="s">
        <v>1802</v>
      </c>
      <c r="B22" s="78"/>
      <c r="C22" s="78"/>
      <c r="D22" s="78"/>
      <c r="E22" s="78"/>
      <c r="F22" s="78"/>
      <c r="G22" s="78"/>
      <c r="H22" s="78"/>
      <c r="I22" s="1566"/>
    </row>
    <row r="23" spans="1:9" ht="18">
      <c r="A23" s="727" t="s">
        <v>1939</v>
      </c>
      <c r="B23" s="78"/>
      <c r="C23" s="78"/>
      <c r="D23" s="78"/>
      <c r="E23" s="78"/>
      <c r="F23" s="78"/>
      <c r="G23" s="78"/>
      <c r="H23" s="78"/>
      <c r="I23" s="1566"/>
    </row>
    <row r="24" spans="1:9" ht="18">
      <c r="A24" s="725"/>
      <c r="B24" s="78"/>
      <c r="C24" s="78"/>
      <c r="D24" s="78"/>
      <c r="E24" s="78"/>
      <c r="F24" s="78"/>
      <c r="G24" s="78"/>
      <c r="H24" s="78"/>
      <c r="I24" s="1566"/>
    </row>
    <row r="25" spans="1:9" ht="24.75" customHeight="1">
      <c r="A25" s="727" t="s">
        <v>1330</v>
      </c>
      <c r="B25" s="78"/>
      <c r="C25" s="78"/>
      <c r="D25" s="78"/>
      <c r="E25" s="78"/>
      <c r="F25" s="78"/>
      <c r="G25" s="78"/>
      <c r="H25" s="78"/>
      <c r="I25" s="1566"/>
    </row>
    <row r="26" spans="1:9" ht="18">
      <c r="A26" s="725" t="s">
        <v>945</v>
      </c>
      <c r="B26" s="78"/>
      <c r="C26" s="78"/>
      <c r="D26" s="78"/>
      <c r="E26" s="78"/>
      <c r="F26" s="78"/>
      <c r="G26" s="78"/>
      <c r="H26" s="78"/>
      <c r="I26" s="1566"/>
    </row>
    <row r="27" spans="1:9" ht="18">
      <c r="A27" s="725"/>
      <c r="B27" s="78"/>
      <c r="C27" s="78"/>
      <c r="D27" s="78"/>
      <c r="E27" s="78"/>
      <c r="F27" s="78"/>
      <c r="G27" s="78"/>
      <c r="H27" s="78"/>
      <c r="I27" s="1566"/>
    </row>
    <row r="28" spans="1:9" ht="18">
      <c r="A28" s="725" t="s">
        <v>90</v>
      </c>
      <c r="B28" s="78"/>
      <c r="C28" s="78"/>
      <c r="D28" s="78"/>
      <c r="E28" s="78"/>
      <c r="F28" s="78"/>
      <c r="G28" s="78"/>
      <c r="H28" s="78"/>
      <c r="I28" s="1566"/>
    </row>
    <row r="29" spans="1:9" ht="30.75" customHeight="1">
      <c r="A29" s="725" t="s">
        <v>1959</v>
      </c>
      <c r="B29" s="78"/>
      <c r="C29" s="78"/>
      <c r="D29" s="78"/>
      <c r="E29" s="78"/>
      <c r="F29" s="78"/>
      <c r="G29" s="78"/>
      <c r="H29" s="78"/>
      <c r="I29" s="1566"/>
    </row>
    <row r="30" spans="1:9" ht="18">
      <c r="A30" s="725" t="s">
        <v>1329</v>
      </c>
      <c r="B30" s="78"/>
      <c r="C30" s="78"/>
      <c r="D30" s="78"/>
      <c r="E30" s="78"/>
      <c r="F30" s="78"/>
      <c r="G30" s="78"/>
      <c r="H30" s="78"/>
      <c r="I30" s="1566"/>
    </row>
    <row r="31" spans="1:9" ht="18">
      <c r="A31" s="725" t="s">
        <v>69</v>
      </c>
      <c r="B31" s="78"/>
      <c r="C31" s="78"/>
      <c r="D31" s="78"/>
      <c r="E31" s="78"/>
      <c r="F31" s="78"/>
      <c r="G31" s="78"/>
      <c r="H31" s="78"/>
      <c r="I31" s="1566"/>
    </row>
    <row r="32" spans="1:9" ht="18">
      <c r="A32" s="725"/>
      <c r="B32" s="78"/>
      <c r="C32" s="78"/>
      <c r="D32" s="78"/>
      <c r="E32" s="78"/>
      <c r="F32" s="78"/>
      <c r="G32" s="78"/>
      <c r="H32" s="78"/>
      <c r="I32" s="1566"/>
    </row>
    <row r="33" spans="1:9" ht="18">
      <c r="A33" s="726" t="s">
        <v>1902</v>
      </c>
      <c r="B33" s="78"/>
      <c r="C33" s="78"/>
      <c r="D33" s="78"/>
      <c r="E33" s="78"/>
      <c r="F33" s="78"/>
      <c r="G33" s="78"/>
      <c r="H33" s="78"/>
      <c r="I33" s="1566"/>
    </row>
    <row r="34" spans="1:9" ht="25.5" customHeight="1">
      <c r="A34" s="728" t="s">
        <v>381</v>
      </c>
      <c r="B34" s="78"/>
      <c r="C34" s="103" t="s">
        <v>1847</v>
      </c>
      <c r="D34" s="78"/>
      <c r="E34" s="78"/>
      <c r="F34" s="78"/>
      <c r="G34" s="78"/>
      <c r="H34" s="78"/>
      <c r="I34" s="1566"/>
    </row>
    <row r="35" spans="1:9" ht="18">
      <c r="A35" s="725" t="s">
        <v>1848</v>
      </c>
      <c r="B35" s="78"/>
      <c r="C35" s="208"/>
      <c r="D35" s="78"/>
      <c r="E35" s="78" t="s">
        <v>2411</v>
      </c>
      <c r="F35" s="78"/>
      <c r="G35" s="78"/>
      <c r="H35" s="78"/>
      <c r="I35" s="1566"/>
    </row>
    <row r="36" spans="1:9" ht="18">
      <c r="A36" s="725" t="s">
        <v>1476</v>
      </c>
      <c r="B36" s="78"/>
      <c r="C36" s="75"/>
      <c r="D36" s="78"/>
      <c r="E36" s="78" t="s">
        <v>2411</v>
      </c>
      <c r="F36" s="78"/>
      <c r="G36" s="78"/>
      <c r="H36" s="78"/>
      <c r="I36" s="1566"/>
    </row>
    <row r="37" spans="1:9" ht="18">
      <c r="A37" s="725" t="s">
        <v>1477</v>
      </c>
      <c r="B37" s="78"/>
      <c r="C37" s="253"/>
      <c r="D37" s="78"/>
      <c r="E37" s="78" t="s">
        <v>2411</v>
      </c>
      <c r="F37" s="78"/>
      <c r="G37" s="78"/>
      <c r="H37" s="78"/>
      <c r="I37" s="1566"/>
    </row>
    <row r="38" spans="1:9" ht="15">
      <c r="A38" s="729" t="s">
        <v>1835</v>
      </c>
      <c r="B38" s="78"/>
      <c r="C38" s="254"/>
      <c r="D38" s="78"/>
      <c r="E38" s="78" t="s">
        <v>2426</v>
      </c>
      <c r="F38" s="78"/>
      <c r="G38" s="78"/>
      <c r="H38" s="78"/>
      <c r="I38" s="1566"/>
    </row>
    <row r="39" spans="1:9" ht="18">
      <c r="A39" s="725" t="s">
        <v>1905</v>
      </c>
      <c r="B39" s="78"/>
      <c r="C39" s="422"/>
      <c r="D39" s="78"/>
      <c r="E39" s="78"/>
      <c r="F39" s="78"/>
      <c r="G39" s="78"/>
      <c r="H39" s="78"/>
      <c r="I39" s="1566"/>
    </row>
    <row r="40" spans="1:9" ht="18">
      <c r="A40" s="725" t="s">
        <v>1849</v>
      </c>
      <c r="B40" s="78"/>
      <c r="C40" s="82"/>
      <c r="D40" s="78"/>
      <c r="E40" s="78"/>
      <c r="F40" s="78"/>
      <c r="G40" s="78"/>
      <c r="H40" s="78"/>
      <c r="I40" s="1566"/>
    </row>
    <row r="41" spans="1:9" ht="18.75" customHeight="1">
      <c r="A41" s="725"/>
      <c r="B41" s="78"/>
      <c r="C41" s="121"/>
      <c r="D41" s="78"/>
      <c r="E41" s="78"/>
      <c r="F41" s="78"/>
      <c r="G41" s="78"/>
      <c r="H41" s="78"/>
      <c r="I41" s="1566"/>
    </row>
    <row r="42" spans="1:9" ht="18">
      <c r="A42" s="727" t="s">
        <v>1513</v>
      </c>
      <c r="B42" s="78"/>
      <c r="C42" s="78"/>
      <c r="D42" s="78"/>
      <c r="E42" s="78"/>
      <c r="F42" s="78"/>
      <c r="G42" s="78"/>
      <c r="H42" s="78"/>
      <c r="I42" s="1566"/>
    </row>
    <row r="43" spans="1:9" ht="18">
      <c r="A43" s="727" t="s">
        <v>1541</v>
      </c>
      <c r="B43" s="78"/>
      <c r="C43" s="78"/>
      <c r="D43" s="78"/>
      <c r="E43" s="78"/>
      <c r="F43" s="78"/>
      <c r="G43" s="78"/>
      <c r="H43" s="78"/>
      <c r="I43" s="1566"/>
    </row>
    <row r="44" spans="1:9" ht="18">
      <c r="A44" s="725" t="s">
        <v>1801</v>
      </c>
      <c r="B44" s="78"/>
      <c r="C44" s="78"/>
      <c r="D44" s="78"/>
      <c r="E44" s="78"/>
      <c r="F44" s="78"/>
      <c r="G44" s="78"/>
      <c r="H44" s="78"/>
      <c r="I44" s="1566"/>
    </row>
    <row r="45" spans="1:9" ht="18">
      <c r="A45" s="727" t="s">
        <v>944</v>
      </c>
      <c r="B45" s="78"/>
      <c r="C45" s="78"/>
      <c r="D45" s="78"/>
      <c r="E45" s="78"/>
      <c r="F45" s="78"/>
      <c r="G45" s="78"/>
      <c r="H45" s="78"/>
      <c r="I45" s="1566"/>
    </row>
    <row r="46" spans="1:9" ht="18">
      <c r="A46" s="727" t="s">
        <v>1766</v>
      </c>
      <c r="B46" s="78"/>
      <c r="C46" s="78"/>
      <c r="D46" s="78"/>
      <c r="E46" s="78"/>
      <c r="F46" s="78"/>
      <c r="G46" s="78"/>
      <c r="H46" s="78"/>
      <c r="I46" s="1566"/>
    </row>
    <row r="47" spans="1:9" ht="18">
      <c r="A47" s="727" t="s">
        <v>11</v>
      </c>
      <c r="B47" s="78"/>
      <c r="C47" s="78"/>
      <c r="D47" s="78"/>
      <c r="E47" s="78"/>
      <c r="F47" s="78"/>
      <c r="G47" s="78"/>
      <c r="H47" s="78"/>
      <c r="I47" s="1566"/>
    </row>
    <row r="48" spans="1:9" ht="18">
      <c r="A48" s="725" t="s">
        <v>1158</v>
      </c>
      <c r="B48" s="78"/>
      <c r="C48" s="78"/>
      <c r="D48" s="78"/>
      <c r="E48" s="78"/>
      <c r="F48" s="78"/>
      <c r="G48" s="78"/>
      <c r="H48" s="78"/>
      <c r="I48" s="1566"/>
    </row>
    <row r="49" spans="1:9" ht="18">
      <c r="A49" s="727" t="s">
        <v>17</v>
      </c>
      <c r="B49" s="78"/>
      <c r="C49" s="78"/>
      <c r="D49" s="78"/>
      <c r="E49" s="78"/>
      <c r="F49" s="78"/>
      <c r="G49" s="78"/>
      <c r="H49" s="78"/>
      <c r="I49" s="1566"/>
    </row>
    <row r="50" spans="1:9" ht="18">
      <c r="A50" s="727" t="s">
        <v>1621</v>
      </c>
      <c r="B50" s="78"/>
      <c r="C50" s="78"/>
      <c r="D50" s="78"/>
      <c r="E50" s="78"/>
      <c r="F50" s="78"/>
      <c r="G50" s="78"/>
      <c r="H50" s="78"/>
      <c r="I50" s="1566"/>
    </row>
    <row r="51" spans="1:9" ht="18">
      <c r="A51" s="725" t="s">
        <v>1578</v>
      </c>
      <c r="B51" s="78"/>
      <c r="C51" s="78"/>
      <c r="D51" s="78"/>
      <c r="E51" s="78"/>
      <c r="F51" s="78"/>
      <c r="G51" s="78"/>
      <c r="H51" s="78"/>
      <c r="I51" s="1566"/>
    </row>
    <row r="52" spans="1:9" ht="30" customHeight="1">
      <c r="A52" s="727" t="s">
        <v>1708</v>
      </c>
      <c r="B52" s="78"/>
      <c r="C52" s="78"/>
      <c r="D52" s="78"/>
      <c r="E52" s="78"/>
      <c r="F52" s="78"/>
      <c r="G52" s="78"/>
      <c r="H52" s="78"/>
      <c r="I52" s="1566"/>
    </row>
    <row r="53" spans="1:9" ht="18">
      <c r="A53" s="730" t="s">
        <v>1622</v>
      </c>
      <c r="B53" s="78"/>
      <c r="C53" s="78"/>
      <c r="D53" s="78"/>
      <c r="E53" s="78"/>
      <c r="F53" s="78"/>
      <c r="G53" s="78"/>
      <c r="H53" s="78"/>
      <c r="I53" s="1566"/>
    </row>
    <row r="54" spans="1:9" ht="18">
      <c r="A54" s="731" t="s">
        <v>1430</v>
      </c>
      <c r="B54" s="78"/>
      <c r="C54" s="78"/>
      <c r="D54" s="78"/>
      <c r="E54" s="78"/>
      <c r="F54" s="78"/>
      <c r="G54" s="78"/>
      <c r="H54" s="78"/>
      <c r="I54" s="1566"/>
    </row>
    <row r="55" spans="1:9" ht="18">
      <c r="A55" s="731" t="s">
        <v>1431</v>
      </c>
      <c r="B55" s="78"/>
      <c r="C55" s="78"/>
      <c r="D55" s="78"/>
      <c r="E55" s="78"/>
      <c r="F55" s="78"/>
      <c r="G55" s="78"/>
      <c r="H55" s="78"/>
      <c r="I55" s="1566"/>
    </row>
    <row r="56" spans="1:9" ht="18">
      <c r="A56" s="731" t="s">
        <v>992</v>
      </c>
      <c r="B56" s="78"/>
      <c r="C56" s="78"/>
      <c r="D56" s="78"/>
      <c r="E56" s="78"/>
      <c r="F56" s="78"/>
      <c r="G56" s="78"/>
      <c r="H56" s="78"/>
      <c r="I56" s="1566"/>
    </row>
    <row r="57" spans="1:9" ht="18.75" customHeight="1">
      <c r="A57" s="727" t="s">
        <v>1478</v>
      </c>
      <c r="B57" s="78"/>
      <c r="C57" s="78"/>
      <c r="D57" s="78"/>
      <c r="E57" s="78"/>
      <c r="F57" s="78"/>
      <c r="G57" s="78"/>
      <c r="H57" s="78"/>
      <c r="I57" s="1566"/>
    </row>
    <row r="58" spans="1:9" ht="18">
      <c r="A58" s="725" t="s">
        <v>993</v>
      </c>
      <c r="B58" s="78"/>
      <c r="C58" s="78"/>
      <c r="D58" s="78"/>
      <c r="E58" s="78"/>
      <c r="F58" s="78"/>
      <c r="G58" s="78"/>
      <c r="H58" s="78"/>
      <c r="I58" s="1566"/>
    </row>
    <row r="59" spans="1:9" ht="18">
      <c r="A59" s="727" t="s">
        <v>451</v>
      </c>
      <c r="B59" s="78"/>
      <c r="C59" s="78"/>
      <c r="D59" s="78"/>
      <c r="E59" s="78"/>
      <c r="F59" s="78"/>
      <c r="G59" s="78"/>
      <c r="H59" s="78"/>
      <c r="I59" s="1566"/>
    </row>
    <row r="60" spans="1:9" ht="18">
      <c r="A60" s="725"/>
      <c r="B60" s="78"/>
      <c r="C60" s="78"/>
      <c r="D60" s="78"/>
      <c r="E60" s="78"/>
      <c r="F60" s="78"/>
      <c r="G60" s="78"/>
      <c r="H60" s="78"/>
      <c r="I60" s="1566"/>
    </row>
    <row r="61" spans="1:9" ht="18">
      <c r="A61" s="725"/>
      <c r="B61" s="78"/>
      <c r="C61" s="78"/>
      <c r="D61" s="78"/>
      <c r="E61" s="78"/>
      <c r="F61" s="78"/>
      <c r="G61" s="78"/>
      <c r="H61" s="78"/>
      <c r="I61" s="1566"/>
    </row>
    <row r="62" spans="1:9" ht="30" customHeight="1">
      <c r="A62" s="727" t="s">
        <v>21</v>
      </c>
      <c r="B62" s="78"/>
      <c r="C62" s="78"/>
      <c r="D62" s="78"/>
      <c r="E62" s="78"/>
      <c r="F62" s="78"/>
      <c r="G62" s="78"/>
      <c r="H62" s="78"/>
      <c r="I62" s="1566"/>
    </row>
    <row r="63" spans="1:9" ht="21.75" customHeight="1">
      <c r="A63" s="727" t="s">
        <v>1943</v>
      </c>
      <c r="B63" s="78"/>
      <c r="C63" s="78"/>
      <c r="D63" s="78"/>
      <c r="E63" s="78"/>
      <c r="F63" s="78"/>
      <c r="G63" s="78"/>
      <c r="H63" s="78"/>
      <c r="I63" s="1566"/>
    </row>
    <row r="64" spans="1:9" ht="18">
      <c r="A64" s="725" t="s">
        <v>1676</v>
      </c>
      <c r="B64" s="78"/>
      <c r="C64" s="78"/>
      <c r="D64" s="78"/>
      <c r="E64" s="78"/>
      <c r="F64" s="78"/>
      <c r="G64" s="78"/>
      <c r="H64" s="78"/>
      <c r="I64" s="1566"/>
    </row>
    <row r="65" spans="1:9" ht="20.25" customHeight="1">
      <c r="A65" s="727" t="s">
        <v>710</v>
      </c>
      <c r="B65" s="78"/>
      <c r="C65" s="78"/>
      <c r="D65" s="78"/>
      <c r="E65" s="78"/>
      <c r="F65" s="78"/>
      <c r="G65" s="78"/>
      <c r="H65" s="78"/>
      <c r="I65" s="1566"/>
    </row>
    <row r="66" spans="1:9" ht="20.25" customHeight="1">
      <c r="A66" s="725" t="s">
        <v>1942</v>
      </c>
      <c r="B66" s="78"/>
      <c r="C66" s="78"/>
      <c r="D66" s="78"/>
      <c r="E66" s="78"/>
      <c r="F66" s="78"/>
      <c r="G66" s="78"/>
      <c r="H66" s="78"/>
      <c r="I66" s="1566"/>
    </row>
    <row r="67" spans="1:9" ht="18">
      <c r="A67" s="732" t="s">
        <v>452</v>
      </c>
      <c r="B67" s="78"/>
      <c r="C67" s="78"/>
      <c r="D67" s="78"/>
      <c r="E67" s="78"/>
      <c r="F67" s="78"/>
      <c r="G67" s="78"/>
      <c r="H67" s="78"/>
      <c r="I67" s="1566"/>
    </row>
    <row r="68" spans="1:9" ht="18">
      <c r="A68" s="727" t="s">
        <v>2121</v>
      </c>
      <c r="B68" s="78"/>
      <c r="C68" s="78"/>
      <c r="D68" s="78"/>
      <c r="E68" s="78"/>
      <c r="F68" s="78"/>
      <c r="G68" s="78"/>
      <c r="H68" s="78"/>
      <c r="I68" s="1566"/>
    </row>
    <row r="69" spans="1:9" ht="18">
      <c r="A69" s="725" t="s">
        <v>990</v>
      </c>
      <c r="B69" s="78"/>
      <c r="C69" s="78"/>
      <c r="D69" s="78"/>
      <c r="E69" s="78"/>
      <c r="F69" s="78"/>
      <c r="G69" s="78"/>
      <c r="H69" s="78"/>
      <c r="I69" s="1566"/>
    </row>
    <row r="70" spans="1:9" ht="18">
      <c r="A70" s="725" t="s">
        <v>991</v>
      </c>
      <c r="B70" s="78"/>
      <c r="C70" s="78"/>
      <c r="D70" s="78"/>
      <c r="E70" s="78"/>
      <c r="F70" s="78"/>
      <c r="G70" s="78"/>
      <c r="H70" s="78"/>
      <c r="I70" s="1566"/>
    </row>
    <row r="71" spans="1:9" ht="18">
      <c r="A71" s="727" t="s">
        <v>1276</v>
      </c>
      <c r="B71" s="78"/>
      <c r="C71" s="78"/>
      <c r="D71" s="78"/>
      <c r="E71" s="78"/>
      <c r="F71" s="78"/>
      <c r="G71" s="78"/>
      <c r="H71" s="78"/>
      <c r="I71" s="1566"/>
    </row>
    <row r="72" spans="1:9" ht="18">
      <c r="A72" s="727" t="s">
        <v>1694</v>
      </c>
      <c r="B72" s="78"/>
      <c r="C72" s="78"/>
      <c r="D72" s="78"/>
      <c r="E72" s="78"/>
      <c r="F72" s="78"/>
      <c r="G72" s="78"/>
      <c r="H72" s="78"/>
      <c r="I72" s="1566"/>
    </row>
    <row r="73" spans="1:9" ht="18">
      <c r="A73" s="727" t="s">
        <v>1695</v>
      </c>
      <c r="B73" s="78"/>
      <c r="C73" s="78"/>
      <c r="D73" s="78"/>
      <c r="E73" s="78"/>
      <c r="F73" s="78"/>
      <c r="G73" s="78"/>
      <c r="H73" s="78"/>
      <c r="I73" s="1566"/>
    </row>
    <row r="74" spans="1:9" ht="18">
      <c r="A74" s="725" t="str">
        <f>"such as if you are using MyTAX "&amp;yeartext&amp;" for personal tax planning scenarios."</f>
        <v>such as if you are using MyTAX 2009 for personal tax planning scenarios.</v>
      </c>
      <c r="B74" s="78"/>
      <c r="C74" s="78"/>
      <c r="D74" s="78"/>
      <c r="E74" s="78"/>
      <c r="F74" s="78"/>
      <c r="G74" s="78"/>
      <c r="H74" s="78"/>
      <c r="I74" s="1566"/>
    </row>
    <row r="75" spans="1:9" ht="30.75" customHeight="1">
      <c r="A75" s="725" t="s">
        <v>1660</v>
      </c>
      <c r="B75" s="78"/>
      <c r="C75" s="78"/>
      <c r="D75" s="78"/>
      <c r="E75" s="78"/>
      <c r="F75" s="78"/>
      <c r="G75" s="78"/>
      <c r="H75" s="78"/>
      <c r="I75" s="1566"/>
    </row>
    <row r="76" spans="1:9" ht="15">
      <c r="A76" s="729"/>
      <c r="B76" s="78"/>
      <c r="C76" s="78"/>
      <c r="D76" s="78"/>
      <c r="E76" s="78"/>
      <c r="F76" s="78"/>
      <c r="G76" s="78"/>
      <c r="H76" s="78"/>
      <c r="I76" s="1566"/>
    </row>
    <row r="77" spans="1:9" ht="15.75">
      <c r="A77" s="733"/>
      <c r="B77" s="78"/>
      <c r="C77" s="78"/>
      <c r="D77" s="78"/>
      <c r="E77" s="78"/>
      <c r="F77" s="78"/>
      <c r="G77" s="115"/>
      <c r="H77" s="78"/>
      <c r="I77" s="1566"/>
    </row>
  </sheetData>
  <sheetProtection password="EC35" sheet="1" objects="1" scenarios="1"/>
  <mergeCells count="1">
    <mergeCell ref="I1:I77"/>
  </mergeCells>
  <hyperlinks>
    <hyperlink ref="A19" location="'What''s New'!A1" display="New this Year!!:   What's New Sheet for Canada Revenue Agency. "/>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70" r:id="rId3"/>
  <rowBreaks count="1" manualBreakCount="1">
    <brk id="41" max="7" man="1"/>
  </rowBreaks>
  <legacyDrawing r:id="rId2"/>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N96"/>
  <sheetViews>
    <sheetView zoomScalePageLayoutView="0" workbookViewId="0" topLeftCell="A1">
      <selection activeCell="A1" sqref="A1"/>
    </sheetView>
  </sheetViews>
  <sheetFormatPr defaultColWidth="9.77734375" defaultRowHeight="15"/>
  <cols>
    <col min="1" max="1" width="1.5625" style="579" customWidth="1"/>
    <col min="2" max="2" width="24.77734375" style="579" customWidth="1"/>
    <col min="3" max="3" width="13.77734375" style="579" customWidth="1"/>
    <col min="4" max="4" width="11.77734375" style="579" customWidth="1"/>
    <col min="5" max="5" width="5.99609375" style="579" customWidth="1"/>
    <col min="6" max="6" width="12.77734375" style="579" customWidth="1"/>
    <col min="7" max="7" width="3.77734375" style="579" customWidth="1"/>
    <col min="8" max="8" width="5.77734375" style="579" customWidth="1"/>
    <col min="9" max="9" width="11.77734375" style="579" customWidth="1"/>
    <col min="10" max="10" width="5.5546875" style="579" customWidth="1"/>
    <col min="11" max="11" width="11.77734375" style="579" customWidth="1"/>
    <col min="12" max="12" width="3.88671875" style="579" customWidth="1"/>
    <col min="13" max="13" width="2.21484375" style="579" customWidth="1"/>
    <col min="14" max="16384" width="9.77734375" style="579" customWidth="1"/>
  </cols>
  <sheetData>
    <row r="1" spans="1:14" ht="15">
      <c r="A1" s="620"/>
      <c r="B1" s="620"/>
      <c r="C1" s="620"/>
      <c r="D1" s="620"/>
      <c r="E1" s="620"/>
      <c r="F1" s="620"/>
      <c r="G1" s="620"/>
      <c r="H1" s="620"/>
      <c r="I1" s="620"/>
      <c r="J1" s="620"/>
      <c r="K1" s="620"/>
      <c r="L1" s="620"/>
      <c r="N1" s="1566" t="s">
        <v>35</v>
      </c>
    </row>
    <row r="2" spans="1:14" ht="20.25" customHeight="1">
      <c r="A2" s="614"/>
      <c r="B2" s="558"/>
      <c r="C2" s="224"/>
      <c r="D2" s="1677" t="s">
        <v>33</v>
      </c>
      <c r="E2" s="1678"/>
      <c r="F2" s="1678"/>
      <c r="G2" s="224"/>
      <c r="H2" s="224"/>
      <c r="I2" s="224"/>
      <c r="J2" s="224"/>
      <c r="K2" s="1436" t="s">
        <v>1437</v>
      </c>
      <c r="L2" s="242"/>
      <c r="N2" s="1566"/>
    </row>
    <row r="3" spans="1:14" ht="21.75" customHeight="1">
      <c r="A3" s="614"/>
      <c r="B3" s="443"/>
      <c r="C3" s="211"/>
      <c r="D3" s="1679"/>
      <c r="E3" s="1679"/>
      <c r="F3" s="1679"/>
      <c r="G3" s="211"/>
      <c r="H3" s="211"/>
      <c r="I3" s="211"/>
      <c r="J3" s="211"/>
      <c r="K3" s="1488" t="str">
        <f>+"T1 General - "&amp;yeartext</f>
        <v>T1 General - 2009</v>
      </c>
      <c r="L3" s="243"/>
      <c r="N3" s="1566"/>
    </row>
    <row r="4" spans="1:14" ht="20.25" customHeight="1">
      <c r="A4" s="614"/>
      <c r="B4" s="212" t="s">
        <v>1834</v>
      </c>
      <c r="C4" s="208"/>
      <c r="D4" s="208"/>
      <c r="E4" s="208"/>
      <c r="F4" s="208"/>
      <c r="G4" s="208"/>
      <c r="H4" s="208"/>
      <c r="I4" s="208"/>
      <c r="J4" s="208"/>
      <c r="K4" s="208"/>
      <c r="L4" s="208"/>
      <c r="N4" s="1566"/>
    </row>
    <row r="5" spans="1:14" ht="32.25" customHeight="1">
      <c r="A5" s="614"/>
      <c r="B5" s="429" t="s">
        <v>1617</v>
      </c>
      <c r="C5" s="208"/>
      <c r="D5" s="208"/>
      <c r="E5" s="208"/>
      <c r="F5" s="208"/>
      <c r="G5" s="208"/>
      <c r="H5" s="208"/>
      <c r="I5" s="208"/>
      <c r="J5" s="208"/>
      <c r="K5" s="208"/>
      <c r="L5" s="208"/>
      <c r="N5" s="1566"/>
    </row>
    <row r="6" spans="1:14" ht="15.75">
      <c r="A6" s="614"/>
      <c r="B6" s="208"/>
      <c r="C6" s="208"/>
      <c r="D6" s="208"/>
      <c r="E6" s="220"/>
      <c r="F6" s="222" t="s">
        <v>1380</v>
      </c>
      <c r="G6" s="237"/>
      <c r="H6" s="446">
        <v>5608</v>
      </c>
      <c r="I6" s="208"/>
      <c r="J6" s="208"/>
      <c r="K6" s="208"/>
      <c r="L6" s="208"/>
      <c r="N6" s="1566"/>
    </row>
    <row r="7" spans="1:14" ht="15.75">
      <c r="A7" s="614"/>
      <c r="B7" s="211" t="s">
        <v>192</v>
      </c>
      <c r="C7" s="211"/>
      <c r="D7" s="211"/>
      <c r="E7" s="211"/>
      <c r="F7" s="1370" t="s">
        <v>2668</v>
      </c>
      <c r="G7" s="240"/>
      <c r="H7" s="1149" t="s">
        <v>193</v>
      </c>
      <c r="I7" s="352">
        <f>16775*fract</f>
        <v>16775</v>
      </c>
      <c r="J7" s="1367">
        <f>1</f>
        <v>1</v>
      </c>
      <c r="K7" s="208"/>
      <c r="L7" s="208"/>
      <c r="N7" s="1566"/>
    </row>
    <row r="8" spans="1:14" ht="15.75">
      <c r="A8" s="614"/>
      <c r="B8" s="214" t="str">
        <f>"Age amount (if born "&amp;year65text&amp;" or earlier)"</f>
        <v>Age amount (if born 1944 or earlier)</v>
      </c>
      <c r="C8" s="214"/>
      <c r="D8" s="214"/>
      <c r="E8" s="214"/>
      <c r="F8" s="221" t="s">
        <v>2669</v>
      </c>
      <c r="G8" s="565"/>
      <c r="H8" s="1149" t="s">
        <v>194</v>
      </c>
      <c r="I8" s="615">
        <f>'AB WRK'!I16</f>
        <v>0</v>
      </c>
      <c r="J8" s="1367">
        <f>J7+1</f>
        <v>2</v>
      </c>
      <c r="K8" s="208"/>
      <c r="L8" s="208"/>
      <c r="N8" s="1566"/>
    </row>
    <row r="9" spans="1:14" ht="15">
      <c r="A9" s="614"/>
      <c r="B9" s="208" t="s">
        <v>1052</v>
      </c>
      <c r="C9" s="208"/>
      <c r="D9" s="208"/>
      <c r="E9" s="208"/>
      <c r="F9" s="208"/>
      <c r="G9" s="208"/>
      <c r="H9" s="208"/>
      <c r="I9" s="208"/>
      <c r="J9" s="208"/>
      <c r="K9" s="208"/>
      <c r="L9" s="208"/>
      <c r="N9" s="1566"/>
    </row>
    <row r="10" spans="1:14" ht="15">
      <c r="A10" s="614"/>
      <c r="B10" s="211" t="s">
        <v>39</v>
      </c>
      <c r="C10" s="211"/>
      <c r="D10" s="211"/>
      <c r="E10" s="208"/>
      <c r="F10" s="777">
        <f>IF('T1 GEN-1'!S28="",0,16775*fract)</f>
        <v>0</v>
      </c>
      <c r="G10" s="208"/>
      <c r="H10" s="208"/>
      <c r="I10" s="208"/>
      <c r="J10" s="208"/>
      <c r="K10" s="208"/>
      <c r="L10" s="208"/>
      <c r="N10" s="1566"/>
    </row>
    <row r="11" spans="1:14" ht="15.75">
      <c r="A11" s="614"/>
      <c r="B11" s="214" t="s">
        <v>2110</v>
      </c>
      <c r="C11" s="214"/>
      <c r="D11" s="214"/>
      <c r="E11" s="208"/>
      <c r="F11" s="352">
        <f>'T1 GEN-1'!U30</f>
        <v>0</v>
      </c>
      <c r="G11" s="208"/>
      <c r="H11" s="208"/>
      <c r="I11" s="208"/>
      <c r="J11" s="208"/>
      <c r="K11" s="208"/>
      <c r="L11" s="208"/>
      <c r="N11" s="1566"/>
    </row>
    <row r="12" spans="1:14" ht="15.75">
      <c r="A12" s="614"/>
      <c r="B12" s="564" t="s">
        <v>2406</v>
      </c>
      <c r="C12" s="432"/>
      <c r="D12" s="435"/>
      <c r="E12" s="208"/>
      <c r="F12" s="615">
        <f>MINA(F10,MAXA(0,F10-F11))</f>
        <v>0</v>
      </c>
      <c r="G12" s="1130" t="s">
        <v>1886</v>
      </c>
      <c r="H12" s="1149" t="s">
        <v>1054</v>
      </c>
      <c r="I12" s="352">
        <f>IF(QUAL!G10,F12,0)</f>
        <v>0</v>
      </c>
      <c r="J12" s="1367">
        <f>1+J8</f>
        <v>3</v>
      </c>
      <c r="K12" s="208"/>
      <c r="L12" s="208"/>
      <c r="N12" s="1566"/>
    </row>
    <row r="13" spans="1:14" ht="15.75">
      <c r="A13" s="614"/>
      <c r="B13" s="224" t="s">
        <v>1053</v>
      </c>
      <c r="C13" s="433"/>
      <c r="D13" s="224"/>
      <c r="E13" s="208"/>
      <c r="F13" s="224"/>
      <c r="G13" s="208"/>
      <c r="H13" s="208"/>
      <c r="I13" s="208"/>
      <c r="J13" s="226"/>
      <c r="K13" s="208"/>
      <c r="L13" s="208"/>
      <c r="N13" s="1566"/>
    </row>
    <row r="14" spans="1:14" ht="15.75">
      <c r="A14" s="614"/>
      <c r="B14" s="216" t="s">
        <v>736</v>
      </c>
      <c r="C14" s="753"/>
      <c r="D14" s="753"/>
      <c r="E14" s="208"/>
      <c r="F14" s="427">
        <f>I7</f>
        <v>16775</v>
      </c>
      <c r="G14" s="208"/>
      <c r="H14" s="208"/>
      <c r="I14" s="208"/>
      <c r="J14" s="226"/>
      <c r="K14" s="208"/>
      <c r="L14" s="208"/>
      <c r="N14" s="1566"/>
    </row>
    <row r="15" spans="1:14" ht="15.75">
      <c r="A15" s="614"/>
      <c r="B15" s="216" t="s">
        <v>415</v>
      </c>
      <c r="C15" s="434"/>
      <c r="D15" s="214"/>
      <c r="E15" s="208"/>
      <c r="F15" s="159"/>
      <c r="G15" s="208"/>
      <c r="H15" s="208"/>
      <c r="I15" s="212"/>
      <c r="J15" s="226"/>
      <c r="K15" s="208"/>
      <c r="L15" s="208"/>
      <c r="N15" s="1566"/>
    </row>
    <row r="16" spans="1:14" ht="15.75">
      <c r="A16" s="614"/>
      <c r="B16" s="564" t="s">
        <v>2406</v>
      </c>
      <c r="C16" s="432"/>
      <c r="D16" s="753"/>
      <c r="E16" s="208"/>
      <c r="F16" s="615">
        <f>MAXA(0,F14-F15)</f>
        <v>16775</v>
      </c>
      <c r="G16" s="1130" t="s">
        <v>1886</v>
      </c>
      <c r="H16" s="1149" t="s">
        <v>1056</v>
      </c>
      <c r="I16" s="427">
        <f>IF(QUAL!G13,F16,0)</f>
        <v>0</v>
      </c>
      <c r="J16" s="1367">
        <f>1+J12</f>
        <v>4</v>
      </c>
      <c r="K16" s="208"/>
      <c r="L16" s="208"/>
      <c r="N16" s="1566"/>
    </row>
    <row r="17" spans="1:14" ht="15.75">
      <c r="A17" s="614"/>
      <c r="B17" s="224"/>
      <c r="C17" s="224"/>
      <c r="D17" s="224"/>
      <c r="E17" s="224"/>
      <c r="F17" s="436"/>
      <c r="G17" s="565"/>
      <c r="H17" s="208"/>
      <c r="I17" s="208"/>
      <c r="J17" s="226"/>
      <c r="K17" s="208"/>
      <c r="L17" s="208"/>
      <c r="N17" s="1566"/>
    </row>
    <row r="18" spans="1:14" ht="15.75">
      <c r="A18" s="614"/>
      <c r="B18" s="211" t="s">
        <v>1619</v>
      </c>
      <c r="C18" s="211"/>
      <c r="D18" s="211"/>
      <c r="E18" s="211"/>
      <c r="F18" s="221" t="s">
        <v>1051</v>
      </c>
      <c r="G18" s="565"/>
      <c r="H18" s="1149" t="s">
        <v>1058</v>
      </c>
      <c r="I18" s="352">
        <f>IF(QUAL!G16,'AB WRK'!G26,0)</f>
        <v>0</v>
      </c>
      <c r="J18" s="1367">
        <v>5</v>
      </c>
      <c r="K18" s="208"/>
      <c r="L18" s="208"/>
      <c r="N18" s="1566"/>
    </row>
    <row r="19" spans="1:14" ht="15">
      <c r="A19" s="614"/>
      <c r="B19" s="208" t="s">
        <v>1545</v>
      </c>
      <c r="C19" s="208"/>
      <c r="D19" s="208"/>
      <c r="E19" s="208"/>
      <c r="F19" s="208"/>
      <c r="G19" s="208"/>
      <c r="H19" s="208"/>
      <c r="I19" s="208"/>
      <c r="J19" s="208"/>
      <c r="K19" s="208"/>
      <c r="L19" s="208"/>
      <c r="N19" s="1566"/>
    </row>
    <row r="20" spans="1:14" ht="15.75">
      <c r="A20" s="614"/>
      <c r="B20" s="216"/>
      <c r="C20" s="211"/>
      <c r="D20" s="211"/>
      <c r="E20" s="211"/>
      <c r="F20" s="221" t="s">
        <v>148</v>
      </c>
      <c r="G20" s="565"/>
      <c r="H20" s="1149" t="s">
        <v>124</v>
      </c>
      <c r="I20" s="352">
        <f>Sch1!K17</f>
        <v>0</v>
      </c>
      <c r="J20" s="560" t="str">
        <f>"● "&amp;TEXT(J18+1,"#")</f>
        <v>● 6</v>
      </c>
      <c r="K20" s="208"/>
      <c r="L20" s="208"/>
      <c r="N20" s="1566"/>
    </row>
    <row r="21" spans="1:14" ht="15.75">
      <c r="A21" s="614"/>
      <c r="B21" s="215"/>
      <c r="C21" s="214"/>
      <c r="D21" s="214"/>
      <c r="E21" s="214"/>
      <c r="F21" s="218" t="s">
        <v>523</v>
      </c>
      <c r="G21" s="565"/>
      <c r="H21" s="1149" t="s">
        <v>125</v>
      </c>
      <c r="I21" s="367">
        <f>Sch1!K18</f>
        <v>0</v>
      </c>
      <c r="J21" s="560" t="str">
        <f>"● "&amp;TEXT(J18+2,"#")</f>
        <v>● 7</v>
      </c>
      <c r="K21" s="208"/>
      <c r="L21" s="208"/>
      <c r="N21" s="1566"/>
    </row>
    <row r="22" spans="1:14" ht="15.75">
      <c r="A22" s="614"/>
      <c r="B22" s="214" t="s">
        <v>149</v>
      </c>
      <c r="C22" s="214"/>
      <c r="D22" s="214"/>
      <c r="E22" s="214"/>
      <c r="F22" s="218" t="s">
        <v>1015</v>
      </c>
      <c r="G22" s="565"/>
      <c r="H22" s="1149" t="s">
        <v>461</v>
      </c>
      <c r="I22" s="367">
        <f>Sch1!K19</f>
        <v>0</v>
      </c>
      <c r="J22" s="560" t="str">
        <f>"● "&amp;TEXT(J18+3,"#")</f>
        <v>● 8</v>
      </c>
      <c r="K22" s="208"/>
      <c r="L22" s="208"/>
      <c r="N22" s="1566"/>
    </row>
    <row r="23" spans="1:14" ht="15.75">
      <c r="A23" s="614"/>
      <c r="B23" s="214" t="s">
        <v>727</v>
      </c>
      <c r="C23" s="214"/>
      <c r="D23" s="214"/>
      <c r="E23" s="214"/>
      <c r="F23" s="218" t="s">
        <v>1480</v>
      </c>
      <c r="G23" s="565"/>
      <c r="H23" s="1149" t="s">
        <v>728</v>
      </c>
      <c r="I23" s="367">
        <f>Sch1!K26</f>
        <v>0</v>
      </c>
      <c r="J23" s="1367">
        <f>J18+4</f>
        <v>9</v>
      </c>
      <c r="K23" s="208"/>
      <c r="L23" s="208"/>
      <c r="N23" s="1566"/>
    </row>
    <row r="24" spans="1:14" ht="15.75">
      <c r="A24" s="614"/>
      <c r="B24" s="214" t="s">
        <v>2673</v>
      </c>
      <c r="C24" s="214"/>
      <c r="D24" s="214"/>
      <c r="E24" s="214"/>
      <c r="F24" s="218" t="s">
        <v>602</v>
      </c>
      <c r="G24" s="565"/>
      <c r="H24" s="1149" t="s">
        <v>462</v>
      </c>
      <c r="I24" s="367">
        <f>MIN(1292,Sch1!K27)</f>
        <v>0</v>
      </c>
      <c r="J24" s="1367">
        <f>J23+1</f>
        <v>10</v>
      </c>
      <c r="K24" s="208"/>
      <c r="L24" s="208"/>
      <c r="N24" s="1566"/>
    </row>
    <row r="25" spans="1:14" ht="15.75">
      <c r="A25" s="614"/>
      <c r="B25" s="214" t="s">
        <v>1410</v>
      </c>
      <c r="C25" s="214"/>
      <c r="D25" s="214"/>
      <c r="E25" s="214"/>
      <c r="F25" s="221" t="s">
        <v>1051</v>
      </c>
      <c r="G25" s="565"/>
      <c r="H25" s="1149" t="s">
        <v>463</v>
      </c>
      <c r="I25" s="367">
        <f>IF(QUAL!G19,'AB WRK'!G36,0)</f>
        <v>0</v>
      </c>
      <c r="J25" s="1367">
        <f>J24+1</f>
        <v>11</v>
      </c>
      <c r="K25" s="208"/>
      <c r="L25" s="208"/>
      <c r="N25" s="1566"/>
    </row>
    <row r="26" spans="1:14" ht="15.75">
      <c r="A26" s="614"/>
      <c r="B26" s="214" t="s">
        <v>591</v>
      </c>
      <c r="C26" s="214"/>
      <c r="D26" s="214"/>
      <c r="E26" s="214"/>
      <c r="F26" s="218" t="s">
        <v>603</v>
      </c>
      <c r="G26" s="565"/>
      <c r="H26" s="1149" t="s">
        <v>464</v>
      </c>
      <c r="I26" s="367">
        <f>IF(QUAL!G22,'AB WRK'!I45,0)</f>
        <v>0</v>
      </c>
      <c r="J26" s="1367">
        <f>J25+1</f>
        <v>12</v>
      </c>
      <c r="K26" s="208"/>
      <c r="L26" s="208"/>
      <c r="N26" s="1566"/>
    </row>
    <row r="27" spans="1:14" ht="15.75">
      <c r="A27" s="614"/>
      <c r="B27" s="438" t="s">
        <v>609</v>
      </c>
      <c r="C27" s="211"/>
      <c r="D27" s="211"/>
      <c r="E27" s="211"/>
      <c r="F27" s="221" t="s">
        <v>1051</v>
      </c>
      <c r="G27" s="565"/>
      <c r="H27" s="1149" t="s">
        <v>465</v>
      </c>
      <c r="I27" s="367">
        <f>IF(QUAL!G25,'AB WRK'!G61,0)</f>
        <v>0</v>
      </c>
      <c r="J27" s="1367">
        <f>1+J26</f>
        <v>13</v>
      </c>
      <c r="K27" s="208"/>
      <c r="L27" s="208"/>
      <c r="N27" s="1566"/>
    </row>
    <row r="28" spans="1:14" ht="15.75">
      <c r="A28" s="614"/>
      <c r="B28" s="214" t="s">
        <v>1548</v>
      </c>
      <c r="C28" s="214"/>
      <c r="D28" s="214"/>
      <c r="E28" s="214"/>
      <c r="F28" s="218" t="s">
        <v>1016</v>
      </c>
      <c r="G28" s="565"/>
      <c r="H28" s="1149" t="s">
        <v>466</v>
      </c>
      <c r="I28" s="367">
        <f>Sch1!K32</f>
        <v>0</v>
      </c>
      <c r="J28" s="1367">
        <f>J27+1</f>
        <v>14</v>
      </c>
      <c r="K28" s="208"/>
      <c r="L28" s="208"/>
      <c r="N28" s="1566"/>
    </row>
    <row r="29" spans="1:14" ht="15.75">
      <c r="A29" s="614"/>
      <c r="B29" s="214" t="s">
        <v>1481</v>
      </c>
      <c r="C29" s="214"/>
      <c r="D29" s="214"/>
      <c r="E29" s="214"/>
      <c r="F29" s="437" t="s">
        <v>1473</v>
      </c>
      <c r="G29" s="1147"/>
      <c r="H29" s="1149" t="s">
        <v>467</v>
      </c>
      <c r="I29" s="615">
        <f>'AB(S11)'!I32</f>
        <v>0</v>
      </c>
      <c r="J29" s="1367">
        <f>J28+1</f>
        <v>15</v>
      </c>
      <c r="K29" s="208"/>
      <c r="L29" s="208"/>
      <c r="N29" s="1566"/>
    </row>
    <row r="30" spans="1:14" ht="15.75">
      <c r="A30" s="614"/>
      <c r="B30" s="214" t="s">
        <v>1415</v>
      </c>
      <c r="C30" s="214"/>
      <c r="D30" s="214"/>
      <c r="E30" s="214"/>
      <c r="F30" s="214"/>
      <c r="G30" s="212"/>
      <c r="H30" s="1149" t="s">
        <v>468</v>
      </c>
      <c r="I30" s="160"/>
      <c r="J30" s="1367">
        <f>J29+1</f>
        <v>16</v>
      </c>
      <c r="K30" s="208"/>
      <c r="L30" s="208"/>
      <c r="N30" s="1566"/>
    </row>
    <row r="31" spans="1:14" ht="15.75">
      <c r="A31" s="614"/>
      <c r="B31" s="215" t="s">
        <v>1017</v>
      </c>
      <c r="C31" s="214"/>
      <c r="D31" s="214"/>
      <c r="E31" s="214"/>
      <c r="F31" s="437" t="s">
        <v>1474</v>
      </c>
      <c r="G31" s="1147"/>
      <c r="H31" s="1149" t="s">
        <v>469</v>
      </c>
      <c r="I31" s="427">
        <f>'AB(S2)'!J32</f>
        <v>0</v>
      </c>
      <c r="J31" s="1367">
        <f>J30+1</f>
        <v>17</v>
      </c>
      <c r="K31" s="208"/>
      <c r="L31" s="208"/>
      <c r="N31" s="1566"/>
    </row>
    <row r="32" spans="1:14" ht="15.75">
      <c r="A32" s="614"/>
      <c r="B32" s="439"/>
      <c r="C32" s="224"/>
      <c r="D32" s="224"/>
      <c r="E32" s="224"/>
      <c r="F32" s="224"/>
      <c r="G32" s="212"/>
      <c r="H32" s="208"/>
      <c r="I32" s="208"/>
      <c r="J32" s="226"/>
      <c r="K32" s="208"/>
      <c r="L32" s="208"/>
      <c r="N32" s="1566"/>
    </row>
    <row r="33" spans="1:14" ht="15.75" customHeight="1">
      <c r="A33" s="614"/>
      <c r="B33" s="211" t="s">
        <v>876</v>
      </c>
      <c r="C33" s="211"/>
      <c r="D33" s="211"/>
      <c r="E33" s="1149" t="s">
        <v>1711</v>
      </c>
      <c r="F33" s="427">
        <f>Sch1!I37</f>
        <v>0</v>
      </c>
      <c r="G33" s="1367">
        <f>1+J31</f>
        <v>18</v>
      </c>
      <c r="H33" s="226"/>
      <c r="I33" s="765"/>
      <c r="J33" s="227"/>
      <c r="K33" s="208"/>
      <c r="L33" s="208"/>
      <c r="N33" s="1566"/>
    </row>
    <row r="34" spans="1:14" ht="15.75" customHeight="1">
      <c r="A34" s="614"/>
      <c r="B34" s="224" t="s">
        <v>2670</v>
      </c>
      <c r="C34" s="224"/>
      <c r="D34" s="224"/>
      <c r="E34" s="208"/>
      <c r="F34" s="224"/>
      <c r="G34" s="1367"/>
      <c r="H34" s="226"/>
      <c r="I34" s="765"/>
      <c r="J34" s="227"/>
      <c r="K34" s="208"/>
      <c r="L34" s="208"/>
      <c r="N34" s="1566"/>
    </row>
    <row r="35" spans="1:14" ht="16.5" customHeight="1" thickBot="1">
      <c r="A35" s="614"/>
      <c r="B35" s="272" t="s">
        <v>2671</v>
      </c>
      <c r="C35" s="211"/>
      <c r="D35" s="211"/>
      <c r="E35" s="208"/>
      <c r="F35" s="692">
        <f>MINA(2168,0.03*'T1 GEN-2-3-4'!K90)</f>
        <v>0</v>
      </c>
      <c r="G35" s="1367">
        <f>G33+1</f>
        <v>19</v>
      </c>
      <c r="H35" s="226"/>
      <c r="I35" s="208"/>
      <c r="J35" s="227"/>
      <c r="K35" s="208"/>
      <c r="L35" s="208"/>
      <c r="N35" s="1566"/>
    </row>
    <row r="36" spans="1:14" ht="15.75">
      <c r="A36" s="614"/>
      <c r="B36" s="214" t="str">
        <f>" Line "&amp;TEXT(G33,"#")&amp;" minus line "&amp;TEXT(G35,"#")&amp;alphaifz</f>
        <v> Line 18 minus line 19 (if negative, enter "0")</v>
      </c>
      <c r="C36" s="214"/>
      <c r="D36" s="214"/>
      <c r="E36" s="208"/>
      <c r="F36" s="427">
        <f>MAXA(0,F33-F35)</f>
        <v>0</v>
      </c>
      <c r="G36" s="1367">
        <f>G35+1</f>
        <v>20</v>
      </c>
      <c r="H36" s="226"/>
      <c r="I36" s="208"/>
      <c r="J36" s="227"/>
      <c r="K36" s="208"/>
      <c r="L36" s="208"/>
      <c r="N36" s="1566"/>
    </row>
    <row r="37" spans="1:14" ht="15.75">
      <c r="A37" s="614"/>
      <c r="B37" s="224" t="s">
        <v>486</v>
      </c>
      <c r="C37" s="224"/>
      <c r="D37" s="224"/>
      <c r="E37" s="208"/>
      <c r="F37" s="224"/>
      <c r="G37" s="226"/>
      <c r="H37" s="226"/>
      <c r="I37" s="208"/>
      <c r="J37" s="227"/>
      <c r="K37" s="208"/>
      <c r="L37" s="208"/>
      <c r="N37" s="1566"/>
    </row>
    <row r="38" spans="1:14" ht="16.5" thickBot="1">
      <c r="A38" s="614"/>
      <c r="B38" s="211" t="s">
        <v>487</v>
      </c>
      <c r="C38" s="211"/>
      <c r="D38" s="221"/>
      <c r="E38" s="1149" t="s">
        <v>1831</v>
      </c>
      <c r="F38" s="692">
        <f>'AB WRK'!G72</f>
        <v>0</v>
      </c>
      <c r="G38" s="1367">
        <f>1+G36</f>
        <v>21</v>
      </c>
      <c r="H38" s="226"/>
      <c r="I38" s="227"/>
      <c r="J38" s="227"/>
      <c r="K38" s="208"/>
      <c r="L38" s="208"/>
      <c r="N38" s="1566"/>
    </row>
    <row r="39" spans="1:14" ht="16.5" thickBot="1">
      <c r="A39" s="614"/>
      <c r="B39" s="214" t="str">
        <f>" Add lines "&amp;TEXT(G36,"#")&amp;" and "&amp;TEXT(G38,"#")&amp;"."</f>
        <v> Add lines 20 and 21.</v>
      </c>
      <c r="C39" s="214"/>
      <c r="D39" s="214"/>
      <c r="E39" s="1149" t="s">
        <v>1832</v>
      </c>
      <c r="F39" s="427">
        <f>F36+F38</f>
        <v>0</v>
      </c>
      <c r="G39" s="1130" t="s">
        <v>1886</v>
      </c>
      <c r="H39" s="208"/>
      <c r="I39" s="692">
        <f>F39</f>
        <v>0</v>
      </c>
      <c r="J39" s="1367">
        <f>1+G38</f>
        <v>22</v>
      </c>
      <c r="K39" s="208"/>
      <c r="L39" s="208"/>
      <c r="N39" s="1566"/>
    </row>
    <row r="40" spans="1:14" ht="15.75">
      <c r="A40" s="614"/>
      <c r="B40" s="211" t="s">
        <v>2672</v>
      </c>
      <c r="C40" s="211"/>
      <c r="D40" s="211"/>
      <c r="E40" s="211"/>
      <c r="F40" s="211"/>
      <c r="G40" s="212"/>
      <c r="H40" s="1149" t="s">
        <v>2390</v>
      </c>
      <c r="I40" s="427">
        <f>SUM(I7:I39)</f>
        <v>16775</v>
      </c>
      <c r="J40" s="1130" t="s">
        <v>1886</v>
      </c>
      <c r="K40" s="427">
        <f>I40</f>
        <v>16775</v>
      </c>
      <c r="L40" s="1367">
        <f>J39+1</f>
        <v>23</v>
      </c>
      <c r="N40" s="1566"/>
    </row>
    <row r="41" spans="1:14" ht="16.5" thickBot="1">
      <c r="A41" s="614"/>
      <c r="B41" s="211" t="s">
        <v>1798</v>
      </c>
      <c r="C41" s="211"/>
      <c r="D41" s="211"/>
      <c r="E41" s="211"/>
      <c r="F41" s="211"/>
      <c r="G41" s="211"/>
      <c r="H41" s="211"/>
      <c r="I41" s="214"/>
      <c r="J41" s="227"/>
      <c r="K41" s="754">
        <v>0.1</v>
      </c>
      <c r="L41" s="1367">
        <f>L40+1</f>
        <v>24</v>
      </c>
      <c r="N41" s="1566"/>
    </row>
    <row r="42" spans="1:14" ht="15.75">
      <c r="A42" s="614"/>
      <c r="B42" s="214" t="s">
        <v>2527</v>
      </c>
      <c r="C42" s="214"/>
      <c r="D42" s="214"/>
      <c r="E42" s="214"/>
      <c r="F42" s="214"/>
      <c r="G42" s="212"/>
      <c r="H42" s="212"/>
      <c r="I42" s="208"/>
      <c r="J42" s="1149" t="s">
        <v>714</v>
      </c>
      <c r="K42" s="427">
        <f>K40*K41</f>
        <v>1677.5</v>
      </c>
      <c r="L42" s="1367">
        <f>L41+1</f>
        <v>25</v>
      </c>
      <c r="N42" s="1566"/>
    </row>
    <row r="43" spans="1:14" ht="15">
      <c r="A43" s="614"/>
      <c r="B43" s="208"/>
      <c r="C43" s="208"/>
      <c r="D43" s="208"/>
      <c r="E43" s="208"/>
      <c r="F43" s="208"/>
      <c r="G43" s="208"/>
      <c r="H43" s="208"/>
      <c r="I43" s="208"/>
      <c r="J43" s="227"/>
      <c r="K43" s="208"/>
      <c r="L43" s="208"/>
      <c r="N43" s="1566"/>
    </row>
    <row r="44" spans="1:14" ht="15.75">
      <c r="A44" s="614"/>
      <c r="B44" s="211" t="s">
        <v>2674</v>
      </c>
      <c r="C44" s="211"/>
      <c r="D44" s="211"/>
      <c r="E44" s="211"/>
      <c r="F44" s="211"/>
      <c r="G44" s="211"/>
      <c r="H44" s="211"/>
      <c r="I44" s="219" t="s">
        <v>1051</v>
      </c>
      <c r="J44" s="1149" t="s">
        <v>712</v>
      </c>
      <c r="K44" s="427">
        <f>'AB WRK'!I87</f>
        <v>0</v>
      </c>
      <c r="L44" s="1367">
        <f>1+L42</f>
        <v>26</v>
      </c>
      <c r="N44" s="1566"/>
    </row>
    <row r="45" spans="1:14" ht="15.75">
      <c r="A45" s="614"/>
      <c r="B45" s="212" t="s">
        <v>732</v>
      </c>
      <c r="C45" s="212"/>
      <c r="D45" s="212"/>
      <c r="E45" s="212"/>
      <c r="F45" s="212"/>
      <c r="G45" s="212"/>
      <c r="H45" s="212"/>
      <c r="I45" s="208"/>
      <c r="J45" s="226"/>
      <c r="K45" s="208"/>
      <c r="L45" s="208"/>
      <c r="N45" s="1566"/>
    </row>
    <row r="46" spans="1:14" ht="15.75">
      <c r="A46" s="614"/>
      <c r="B46" s="211" t="str">
        <f>"2003 to 2006 included on line 344 of your "&amp;yeartext&amp;" federal schedule 9."</f>
        <v>2003 to 2006 included on line 344 of your 2009 federal schedule 9.</v>
      </c>
      <c r="C46" s="211"/>
      <c r="D46" s="211"/>
      <c r="E46" s="211"/>
      <c r="F46" s="211"/>
      <c r="G46" s="1368"/>
      <c r="H46" s="1149" t="s">
        <v>731</v>
      </c>
      <c r="I46" s="159"/>
      <c r="J46" s="226"/>
      <c r="K46" s="208"/>
      <c r="L46" s="208"/>
      <c r="N46" s="1566"/>
    </row>
    <row r="47" spans="1:14" ht="15.75">
      <c r="A47" s="614"/>
      <c r="B47" s="208" t="s">
        <v>2675</v>
      </c>
      <c r="C47" s="208"/>
      <c r="D47" s="208"/>
      <c r="E47" s="208"/>
      <c r="F47" s="208"/>
      <c r="G47" s="1130"/>
      <c r="H47" s="208"/>
      <c r="I47" s="208"/>
      <c r="J47" s="226"/>
      <c r="K47" s="208"/>
      <c r="L47" s="226"/>
      <c r="N47" s="1566"/>
    </row>
    <row r="48" spans="1:14" ht="15.75">
      <c r="A48" s="614"/>
      <c r="B48" s="211" t="s">
        <v>2676</v>
      </c>
      <c r="C48" s="211"/>
      <c r="D48" s="211"/>
      <c r="E48" s="211"/>
      <c r="F48" s="223"/>
      <c r="G48" s="211"/>
      <c r="H48" s="211"/>
      <c r="I48" s="223" t="s">
        <v>1617</v>
      </c>
      <c r="J48" s="1149" t="s">
        <v>713</v>
      </c>
      <c r="K48" s="694">
        <f>K42+K44</f>
        <v>1677.5</v>
      </c>
      <c r="L48" s="1367">
        <f>1+L44</f>
        <v>27</v>
      </c>
      <c r="N48" s="1566"/>
    </row>
    <row r="49" spans="1:14" ht="20.25">
      <c r="A49" s="614"/>
      <c r="B49" s="209"/>
      <c r="C49" s="208"/>
      <c r="D49" s="208"/>
      <c r="E49" s="208"/>
      <c r="F49" s="208"/>
      <c r="G49" s="208"/>
      <c r="H49" s="208"/>
      <c r="I49" s="208"/>
      <c r="J49" s="226"/>
      <c r="K49" s="208"/>
      <c r="L49" s="226"/>
      <c r="N49" s="1566"/>
    </row>
    <row r="50" spans="1:14" ht="16.5" customHeight="1">
      <c r="A50" s="614"/>
      <c r="B50" s="208"/>
      <c r="C50" s="208"/>
      <c r="D50" s="208"/>
      <c r="E50" s="208"/>
      <c r="F50" s="208"/>
      <c r="G50" s="208"/>
      <c r="H50" s="208"/>
      <c r="I50" s="208"/>
      <c r="J50" s="227"/>
      <c r="K50" s="228" t="s">
        <v>730</v>
      </c>
      <c r="L50" s="210" t="s">
        <v>2046</v>
      </c>
      <c r="N50" s="1566"/>
    </row>
    <row r="51" spans="1:14" ht="50.25" customHeight="1">
      <c r="A51" s="614"/>
      <c r="B51" s="209"/>
      <c r="C51" s="208"/>
      <c r="D51" s="208"/>
      <c r="E51" s="208"/>
      <c r="F51" s="208"/>
      <c r="G51" s="208"/>
      <c r="H51" s="208"/>
      <c r="I51" s="208"/>
      <c r="J51" s="227"/>
      <c r="K51" s="208"/>
      <c r="L51" s="208"/>
      <c r="N51" s="1566"/>
    </row>
    <row r="52" spans="1:14" ht="20.25">
      <c r="A52" s="614"/>
      <c r="B52" s="429" t="s">
        <v>1438</v>
      </c>
      <c r="C52" s="208"/>
      <c r="D52" s="208"/>
      <c r="E52" s="208"/>
      <c r="F52" s="208"/>
      <c r="G52" s="208"/>
      <c r="H52" s="208"/>
      <c r="I52" s="208"/>
      <c r="J52" s="208"/>
      <c r="K52" s="208"/>
      <c r="L52" s="208"/>
      <c r="N52" s="1566"/>
    </row>
    <row r="53" spans="1:14" ht="15.75">
      <c r="A53" s="614"/>
      <c r="B53" s="211" t="s">
        <v>2234</v>
      </c>
      <c r="C53" s="211"/>
      <c r="D53" s="211"/>
      <c r="E53" s="211"/>
      <c r="F53" s="211"/>
      <c r="G53" s="211"/>
      <c r="H53" s="211"/>
      <c r="I53" s="211"/>
      <c r="J53" s="208"/>
      <c r="K53" s="352">
        <f>'T1 GEN-2-3-4'!K104</f>
        <v>0</v>
      </c>
      <c r="L53" s="1367">
        <f>1+L48</f>
        <v>28</v>
      </c>
      <c r="N53" s="1566"/>
    </row>
    <row r="54" spans="1:14" ht="16.5" thickBot="1">
      <c r="A54" s="614"/>
      <c r="B54" s="214" t="s">
        <v>1492</v>
      </c>
      <c r="C54" s="214"/>
      <c r="D54" s="214"/>
      <c r="E54" s="214"/>
      <c r="F54" s="214"/>
      <c r="G54" s="214"/>
      <c r="H54" s="214"/>
      <c r="I54" s="214"/>
      <c r="J54" s="208"/>
      <c r="K54" s="939">
        <v>0.1</v>
      </c>
      <c r="L54" s="1367">
        <f>1+L53</f>
        <v>29</v>
      </c>
      <c r="N54" s="1566"/>
    </row>
    <row r="55" spans="1:14" ht="15.75">
      <c r="A55" s="614"/>
      <c r="B55" s="214" t="s">
        <v>2677</v>
      </c>
      <c r="C55" s="214"/>
      <c r="D55" s="214"/>
      <c r="E55" s="214"/>
      <c r="F55" s="431"/>
      <c r="G55" s="431"/>
      <c r="H55" s="214"/>
      <c r="I55" s="252" t="s">
        <v>34</v>
      </c>
      <c r="J55" s="208"/>
      <c r="K55" s="352">
        <f>K53*K54</f>
        <v>0</v>
      </c>
      <c r="L55" s="1367">
        <f>1+L54</f>
        <v>30</v>
      </c>
      <c r="N55" s="1566"/>
    </row>
    <row r="56" spans="1:14" ht="16.5" thickBot="1">
      <c r="A56" s="614"/>
      <c r="B56" s="214" t="s">
        <v>669</v>
      </c>
      <c r="C56" s="214"/>
      <c r="D56" s="214"/>
      <c r="E56" s="214"/>
      <c r="F56" s="431"/>
      <c r="G56" s="431"/>
      <c r="H56" s="214"/>
      <c r="I56" s="431"/>
      <c r="J56" s="1148">
        <v>6151</v>
      </c>
      <c r="K56" s="706"/>
      <c r="L56" s="940" t="str">
        <f>"●"&amp;TEXT(1+L55,"#")</f>
        <v>●31</v>
      </c>
      <c r="N56" s="1566"/>
    </row>
    <row r="57" spans="1:14" ht="15.75">
      <c r="A57" s="614"/>
      <c r="B57" s="214" t="s">
        <v>2678</v>
      </c>
      <c r="C57" s="214"/>
      <c r="D57" s="214"/>
      <c r="E57" s="214"/>
      <c r="F57" s="431"/>
      <c r="G57" s="431"/>
      <c r="H57" s="214"/>
      <c r="I57" s="431"/>
      <c r="J57" s="208"/>
      <c r="K57" s="352">
        <f>K55+K56</f>
        <v>0</v>
      </c>
      <c r="L57" s="1367">
        <f>2+L55</f>
        <v>32</v>
      </c>
      <c r="N57" s="1566"/>
    </row>
    <row r="58" spans="1:14" ht="20.25">
      <c r="A58" s="614"/>
      <c r="B58" s="209"/>
      <c r="C58" s="208"/>
      <c r="D58" s="208"/>
      <c r="E58" s="208"/>
      <c r="F58" s="208"/>
      <c r="G58" s="208"/>
      <c r="H58" s="208"/>
      <c r="I58" s="208"/>
      <c r="J58" s="227"/>
      <c r="K58" s="208"/>
      <c r="L58" s="208"/>
      <c r="N58" s="1566"/>
    </row>
    <row r="59" spans="1:14" ht="15.75">
      <c r="A59" s="614"/>
      <c r="B59" s="211" t="s">
        <v>2679</v>
      </c>
      <c r="C59" s="211"/>
      <c r="D59" s="211"/>
      <c r="E59" s="211"/>
      <c r="F59" s="211"/>
      <c r="G59" s="211"/>
      <c r="H59" s="211"/>
      <c r="I59" s="427">
        <f>K48</f>
        <v>1677.5</v>
      </c>
      <c r="J59" s="1367">
        <f>1+L57</f>
        <v>33</v>
      </c>
      <c r="K59" s="208"/>
      <c r="L59" s="226"/>
      <c r="N59" s="1566"/>
    </row>
    <row r="60" spans="1:14" ht="15">
      <c r="A60" s="614"/>
      <c r="B60" s="208"/>
      <c r="C60" s="208"/>
      <c r="D60" s="208"/>
      <c r="E60" s="208"/>
      <c r="F60" s="208"/>
      <c r="G60" s="208"/>
      <c r="H60" s="208"/>
      <c r="I60" s="208"/>
      <c r="J60" s="227"/>
      <c r="K60" s="208"/>
      <c r="L60" s="208"/>
      <c r="N60" s="1566"/>
    </row>
    <row r="61" spans="1:14" ht="15">
      <c r="A61" s="614"/>
      <c r="B61" s="208" t="s">
        <v>883</v>
      </c>
      <c r="C61" s="208"/>
      <c r="D61" s="208"/>
      <c r="E61" s="208"/>
      <c r="F61" s="208"/>
      <c r="G61" s="208"/>
      <c r="H61" s="208"/>
      <c r="I61" s="208"/>
      <c r="J61" s="227"/>
      <c r="K61" s="208"/>
      <c r="L61" s="208"/>
      <c r="N61" s="1566"/>
    </row>
    <row r="62" spans="1:14" ht="15.75">
      <c r="A62" s="614"/>
      <c r="B62" s="211" t="s">
        <v>1482</v>
      </c>
      <c r="C62" s="211"/>
      <c r="D62" s="211"/>
      <c r="E62" s="211"/>
      <c r="F62" s="211"/>
      <c r="G62" s="211"/>
      <c r="H62" s="1149" t="s">
        <v>791</v>
      </c>
      <c r="I62" s="427">
        <f>MAX('AB WRK'!I93,'AB WRK'!I101)</f>
        <v>0</v>
      </c>
      <c r="J62" s="940" t="str">
        <f>"●"&amp;TEXT(1+J59,"#")</f>
        <v>●34</v>
      </c>
      <c r="K62" s="208"/>
      <c r="L62" s="208"/>
      <c r="N62" s="1566"/>
    </row>
    <row r="63" spans="1:14" ht="15">
      <c r="A63" s="614"/>
      <c r="B63" s="208" t="s">
        <v>63</v>
      </c>
      <c r="C63" s="208"/>
      <c r="D63" s="208"/>
      <c r="E63" s="208"/>
      <c r="F63" s="208"/>
      <c r="G63" s="208"/>
      <c r="H63" s="208"/>
      <c r="I63" s="208"/>
      <c r="J63" s="227"/>
      <c r="K63" s="208"/>
      <c r="L63" s="208"/>
      <c r="N63" s="1566"/>
    </row>
    <row r="64" spans="1:14" ht="15.75">
      <c r="A64" s="614"/>
      <c r="B64" s="211" t="s">
        <v>800</v>
      </c>
      <c r="C64" s="211"/>
      <c r="D64" s="427">
        <f>Sch1!I71</f>
        <v>0</v>
      </c>
      <c r="E64" s="211"/>
      <c r="F64" s="211" t="s">
        <v>64</v>
      </c>
      <c r="G64" s="211"/>
      <c r="H64" s="1149" t="s">
        <v>792</v>
      </c>
      <c r="I64" s="427">
        <f>0.35*D64</f>
        <v>0</v>
      </c>
      <c r="J64" s="940" t="str">
        <f>"●"&amp;TEXT(2+J59,"#")</f>
        <v>●35</v>
      </c>
      <c r="K64" s="208"/>
      <c r="L64" s="208"/>
      <c r="N64" s="1566"/>
    </row>
    <row r="65" spans="1:14" ht="15.75">
      <c r="A65" s="614"/>
      <c r="B65" s="212" t="s">
        <v>884</v>
      </c>
      <c r="C65" s="212"/>
      <c r="D65" s="212"/>
      <c r="E65" s="212"/>
      <c r="F65" s="212"/>
      <c r="G65" s="212"/>
      <c r="H65" s="208"/>
      <c r="I65" s="224"/>
      <c r="J65" s="226"/>
      <c r="K65" s="208"/>
      <c r="L65" s="208"/>
      <c r="N65" s="1566"/>
    </row>
    <row r="66" spans="1:14" ht="16.5" thickBot="1">
      <c r="A66" s="614"/>
      <c r="B66" s="211" t="s">
        <v>1597</v>
      </c>
      <c r="C66" s="211"/>
      <c r="D66" s="427">
        <f>Sch1!I72</f>
        <v>0</v>
      </c>
      <c r="E66" s="211"/>
      <c r="F66" s="208" t="s">
        <v>64</v>
      </c>
      <c r="G66" s="211"/>
      <c r="H66" s="1149" t="s">
        <v>793</v>
      </c>
      <c r="I66" s="692">
        <f>0.35*D66</f>
        <v>0</v>
      </c>
      <c r="J66" s="940" t="str">
        <f>"●"&amp;TEXT(3+J59,"#")</f>
        <v>●36</v>
      </c>
      <c r="K66" s="208"/>
      <c r="L66" s="208"/>
      <c r="N66" s="1566"/>
    </row>
    <row r="67" spans="1:14" ht="16.5" thickBot="1">
      <c r="A67" s="614"/>
      <c r="B67" s="214" t="s">
        <v>2680</v>
      </c>
      <c r="C67" s="214"/>
      <c r="D67" s="214"/>
      <c r="E67" s="214"/>
      <c r="F67" s="214"/>
      <c r="G67" s="211"/>
      <c r="H67" s="208"/>
      <c r="I67" s="427">
        <f>SUM(I59:I66)</f>
        <v>1677.5</v>
      </c>
      <c r="J67" s="1130" t="s">
        <v>1886</v>
      </c>
      <c r="K67" s="692">
        <f>I67</f>
        <v>1677.5</v>
      </c>
      <c r="L67" s="1367">
        <f>4+J59</f>
        <v>37</v>
      </c>
      <c r="N67" s="1566"/>
    </row>
    <row r="68" spans="1:14" ht="15.75" customHeight="1">
      <c r="A68" s="614"/>
      <c r="B68" s="211" t="s">
        <v>737</v>
      </c>
      <c r="C68" s="211"/>
      <c r="D68" s="211"/>
      <c r="E68" s="211"/>
      <c r="F68" s="211"/>
      <c r="G68" s="211"/>
      <c r="H68" s="211"/>
      <c r="I68" s="211"/>
      <c r="J68" s="227"/>
      <c r="K68" s="427">
        <f>MAXA(0,K57-K67)</f>
        <v>0</v>
      </c>
      <c r="L68" s="1367">
        <f>1+L67</f>
        <v>38</v>
      </c>
      <c r="N68" s="1566"/>
    </row>
    <row r="69" spans="1:14" ht="31.5" customHeight="1" thickBot="1">
      <c r="A69" s="614"/>
      <c r="B69" s="1676" t="s">
        <v>2686</v>
      </c>
      <c r="C69" s="1656"/>
      <c r="D69" s="160"/>
      <c r="E69" s="211"/>
      <c r="F69" s="214" t="s">
        <v>64</v>
      </c>
      <c r="G69" s="211"/>
      <c r="H69" s="211"/>
      <c r="I69" s="211"/>
      <c r="J69" s="227"/>
      <c r="K69" s="705">
        <f>D69*0.35</f>
        <v>0</v>
      </c>
      <c r="L69" s="1367">
        <f>1+L68</f>
        <v>39</v>
      </c>
      <c r="N69" s="1566"/>
    </row>
    <row r="70" spans="1:14" ht="15.75">
      <c r="A70" s="614"/>
      <c r="B70" s="211" t="s">
        <v>2528</v>
      </c>
      <c r="C70" s="211"/>
      <c r="D70" s="211"/>
      <c r="E70" s="211"/>
      <c r="F70" s="211"/>
      <c r="G70" s="211"/>
      <c r="H70" s="211"/>
      <c r="I70" s="211"/>
      <c r="J70" s="227"/>
      <c r="K70" s="427">
        <f>K68+K69</f>
        <v>0</v>
      </c>
      <c r="L70" s="1367">
        <f>1+L69</f>
        <v>40</v>
      </c>
      <c r="N70" s="1566"/>
    </row>
    <row r="71" spans="1:14" ht="16.5" thickBot="1">
      <c r="A71" s="614"/>
      <c r="B71" s="214" t="s">
        <v>2681</v>
      </c>
      <c r="C71" s="214"/>
      <c r="D71" s="214"/>
      <c r="E71" s="214"/>
      <c r="F71" s="214"/>
      <c r="G71" s="214"/>
      <c r="H71" s="214"/>
      <c r="I71" s="214"/>
      <c r="J71" s="227"/>
      <c r="K71" s="706"/>
      <c r="L71" s="1367">
        <f>1+L70</f>
        <v>41</v>
      </c>
      <c r="N71" s="1566"/>
    </row>
    <row r="72" spans="1:14" ht="15.75">
      <c r="A72" s="614"/>
      <c r="B72" s="214" t="s">
        <v>738</v>
      </c>
      <c r="C72" s="214"/>
      <c r="D72" s="214"/>
      <c r="E72" s="214"/>
      <c r="F72" s="214"/>
      <c r="G72" s="214"/>
      <c r="H72" s="214"/>
      <c r="I72" s="214"/>
      <c r="J72" s="227"/>
      <c r="K72" s="427">
        <f>K70-K71</f>
        <v>0</v>
      </c>
      <c r="L72" s="1367">
        <f>1+L71</f>
        <v>42</v>
      </c>
      <c r="N72" s="1566"/>
    </row>
    <row r="73" spans="1:14" ht="33.75" customHeight="1">
      <c r="A73" s="614"/>
      <c r="B73" s="557" t="s">
        <v>1598</v>
      </c>
      <c r="C73" s="212"/>
      <c r="D73" s="212"/>
      <c r="E73" s="212"/>
      <c r="F73" s="212"/>
      <c r="G73" s="212"/>
      <c r="H73" s="212"/>
      <c r="I73" s="212"/>
      <c r="J73" s="227"/>
      <c r="K73" s="208"/>
      <c r="L73" s="226"/>
      <c r="N73" s="1566"/>
    </row>
    <row r="74" spans="1:14" ht="15.75">
      <c r="A74" s="614"/>
      <c r="B74" s="212" t="str">
        <f>"Enter Alberta political contributions made in "&amp;yeartext</f>
        <v>Enter Alberta political contributions made in 2009</v>
      </c>
      <c r="C74" s="212"/>
      <c r="D74" s="212"/>
      <c r="E74" s="212"/>
      <c r="F74" s="212"/>
      <c r="G74" s="212"/>
      <c r="H74" s="212"/>
      <c r="I74" s="212"/>
      <c r="J74" s="226"/>
      <c r="K74" s="208"/>
      <c r="L74" s="226"/>
      <c r="N74" s="1566"/>
    </row>
    <row r="75" spans="1:14" ht="15.75">
      <c r="A75" s="614"/>
      <c r="B75" s="211" t="s">
        <v>2682</v>
      </c>
      <c r="C75" s="211"/>
      <c r="D75" s="211"/>
      <c r="E75" s="1149">
        <v>6003</v>
      </c>
      <c r="F75" s="427">
        <f>'AB WRK'!I106</f>
        <v>0</v>
      </c>
      <c r="G75" s="1367">
        <f>1+L72</f>
        <v>43</v>
      </c>
      <c r="H75" s="226"/>
      <c r="I75" s="212"/>
      <c r="J75" s="226"/>
      <c r="K75" s="208"/>
      <c r="L75" s="226"/>
      <c r="N75" s="1566"/>
    </row>
    <row r="76" spans="1:14" ht="15.75">
      <c r="A76" s="614"/>
      <c r="B76" s="278" t="s">
        <v>739</v>
      </c>
      <c r="C76" s="224"/>
      <c r="D76" s="224"/>
      <c r="E76" s="224"/>
      <c r="F76" s="224"/>
      <c r="G76" s="212"/>
      <c r="H76" s="212"/>
      <c r="I76" s="212"/>
      <c r="J76" s="226"/>
      <c r="K76" s="208"/>
      <c r="L76" s="226"/>
      <c r="N76" s="1566"/>
    </row>
    <row r="77" spans="1:14" ht="15.75">
      <c r="A77" s="614"/>
      <c r="B77" s="272" t="s">
        <v>2384</v>
      </c>
      <c r="C77" s="211"/>
      <c r="D77" s="211"/>
      <c r="E77" s="211"/>
      <c r="F77" s="219" t="s">
        <v>1792</v>
      </c>
      <c r="G77" s="212"/>
      <c r="H77" s="211"/>
      <c r="I77" s="427">
        <f>'AB WRK'!I108</f>
        <v>0</v>
      </c>
      <c r="J77" s="1367">
        <f>1+G75</f>
        <v>44</v>
      </c>
      <c r="K77" s="208"/>
      <c r="L77" s="226"/>
      <c r="N77" s="1566"/>
    </row>
    <row r="78" spans="1:14" ht="15.75">
      <c r="A78" s="614"/>
      <c r="B78" s="286" t="s">
        <v>2385</v>
      </c>
      <c r="C78" s="212"/>
      <c r="D78" s="212"/>
      <c r="E78" s="212"/>
      <c r="F78" s="237"/>
      <c r="G78" s="212"/>
      <c r="H78" s="212"/>
      <c r="I78" s="212"/>
      <c r="J78" s="226"/>
      <c r="K78" s="208"/>
      <c r="L78" s="226"/>
      <c r="N78" s="1566"/>
    </row>
    <row r="79" spans="1:14" ht="15.75">
      <c r="A79" s="614"/>
      <c r="B79" s="286" t="str">
        <f>"made in "&amp;yeartext&amp;" from your official receipt called"</f>
        <v>made in 2009 from your official receipt called</v>
      </c>
      <c r="C79" s="212"/>
      <c r="D79" s="212"/>
      <c r="E79" s="212"/>
      <c r="F79" s="237"/>
      <c r="G79" s="212"/>
      <c r="H79" s="212"/>
      <c r="I79" s="212"/>
      <c r="J79" s="226"/>
      <c r="K79" s="208"/>
      <c r="L79" s="226"/>
      <c r="N79" s="1566"/>
    </row>
    <row r="80" spans="1:14" ht="15.75">
      <c r="A80" s="614"/>
      <c r="B80" s="447" t="s">
        <v>2683</v>
      </c>
      <c r="C80" s="211"/>
      <c r="D80" s="211"/>
      <c r="E80" s="1149">
        <v>6004</v>
      </c>
      <c r="F80" s="427">
        <f>'AB WRK'!I112</f>
        <v>0</v>
      </c>
      <c r="G80" s="1367">
        <f>1+J77</f>
        <v>45</v>
      </c>
      <c r="H80" s="226"/>
      <c r="I80" s="212"/>
      <c r="J80" s="226"/>
      <c r="K80" s="208"/>
      <c r="L80" s="226"/>
      <c r="N80" s="1566"/>
    </row>
    <row r="81" spans="1:14" ht="15.75">
      <c r="A81" s="614"/>
      <c r="B81" s="286" t="s">
        <v>740</v>
      </c>
      <c r="C81" s="212"/>
      <c r="D81" s="212"/>
      <c r="E81" s="212"/>
      <c r="F81" s="237"/>
      <c r="G81" s="237"/>
      <c r="H81" s="212"/>
      <c r="I81" s="212"/>
      <c r="J81" s="226"/>
      <c r="K81" s="208"/>
      <c r="L81" s="226"/>
      <c r="N81" s="1566"/>
    </row>
    <row r="82" spans="1:14" ht="15.75">
      <c r="A82" s="614"/>
      <c r="B82" s="272" t="s">
        <v>2386</v>
      </c>
      <c r="C82" s="211"/>
      <c r="D82" s="211"/>
      <c r="E82" s="211"/>
      <c r="F82" s="219" t="s">
        <v>1792</v>
      </c>
      <c r="G82" s="237"/>
      <c r="H82" s="212"/>
      <c r="I82" s="427">
        <f>'AB WRK'!I114</f>
        <v>0</v>
      </c>
      <c r="J82" s="1367">
        <f>1+G80</f>
        <v>46</v>
      </c>
      <c r="K82" s="208"/>
      <c r="L82" s="226"/>
      <c r="N82" s="1566"/>
    </row>
    <row r="83" spans="1:14" ht="15.75">
      <c r="A83" s="614"/>
      <c r="B83" s="272" t="s">
        <v>2684</v>
      </c>
      <c r="C83" s="211"/>
      <c r="D83" s="211"/>
      <c r="E83" s="211"/>
      <c r="F83" s="223" t="s">
        <v>1598</v>
      </c>
      <c r="G83" s="240"/>
      <c r="H83" s="212"/>
      <c r="I83" s="427">
        <f>I77+I82</f>
        <v>0</v>
      </c>
      <c r="J83" s="1130" t="s">
        <v>1886</v>
      </c>
      <c r="K83" s="427">
        <f>I83</f>
        <v>0</v>
      </c>
      <c r="L83" s="1367">
        <f>1+J82</f>
        <v>47</v>
      </c>
      <c r="N83" s="1566"/>
    </row>
    <row r="84" spans="1:14" ht="15.75">
      <c r="A84" s="614"/>
      <c r="B84" s="211" t="s">
        <v>741</v>
      </c>
      <c r="C84" s="211"/>
      <c r="D84" s="211"/>
      <c r="E84" s="211"/>
      <c r="F84" s="211"/>
      <c r="G84" s="211"/>
      <c r="H84" s="211"/>
      <c r="I84" s="211"/>
      <c r="J84" s="227"/>
      <c r="K84" s="427">
        <f>MAXA(0,K72-K83)</f>
        <v>0</v>
      </c>
      <c r="L84" s="1367">
        <f>1+L83</f>
        <v>48</v>
      </c>
      <c r="N84" s="1566"/>
    </row>
    <row r="85" spans="1:14" ht="42" customHeight="1">
      <c r="A85" s="614"/>
      <c r="B85" s="844" t="s">
        <v>733</v>
      </c>
      <c r="C85" s="224"/>
      <c r="D85" s="224"/>
      <c r="E85" s="224"/>
      <c r="F85" s="224"/>
      <c r="G85" s="224"/>
      <c r="H85" s="224"/>
      <c r="I85" s="556"/>
      <c r="J85" s="227"/>
      <c r="K85" s="208"/>
      <c r="L85" s="226"/>
      <c r="N85" s="1566"/>
    </row>
    <row r="86" spans="1:14" ht="27.75" customHeight="1">
      <c r="A86" s="614"/>
      <c r="B86" s="212" t="s">
        <v>734</v>
      </c>
      <c r="C86" s="212"/>
      <c r="D86" s="212"/>
      <c r="E86" s="212"/>
      <c r="F86" s="212"/>
      <c r="G86" s="212"/>
      <c r="H86" s="212"/>
      <c r="I86" s="240"/>
      <c r="J86" s="227"/>
      <c r="K86" s="208"/>
      <c r="L86" s="226"/>
      <c r="N86" s="1566"/>
    </row>
    <row r="87" spans="1:14" ht="15.75">
      <c r="A87" s="614"/>
      <c r="B87" s="212" t="str">
        <f>"from your "&amp;lastyeartext&amp;" notice of assessment"</f>
        <v>from your 2008 notice of assessment</v>
      </c>
      <c r="C87" s="212"/>
      <c r="D87" s="212"/>
      <c r="E87" s="212"/>
      <c r="F87" s="212"/>
      <c r="G87" s="212"/>
      <c r="H87" s="212"/>
      <c r="I87" s="240"/>
      <c r="J87" s="227"/>
      <c r="K87" s="208"/>
      <c r="L87" s="226"/>
      <c r="N87" s="1566"/>
    </row>
    <row r="88" spans="1:14" ht="15.75">
      <c r="A88" s="614"/>
      <c r="B88" s="211" t="s">
        <v>2687</v>
      </c>
      <c r="C88" s="211"/>
      <c r="D88" s="211"/>
      <c r="E88" s="211"/>
      <c r="F88" s="159"/>
      <c r="G88" s="211"/>
      <c r="H88" s="1369" t="s">
        <v>735</v>
      </c>
      <c r="I88" s="211"/>
      <c r="J88" s="1149">
        <v>6006</v>
      </c>
      <c r="K88" s="159">
        <f>F88*0.1</f>
        <v>0</v>
      </c>
      <c r="L88" s="940" t="str">
        <f>"●"&amp;TEXT(1+L84,"#")</f>
        <v>●49</v>
      </c>
      <c r="N88" s="1566"/>
    </row>
    <row r="89" spans="1:14" ht="15.75">
      <c r="A89" s="614"/>
      <c r="B89" s="212" t="s">
        <v>2685</v>
      </c>
      <c r="C89" s="212"/>
      <c r="D89" s="212"/>
      <c r="E89" s="212"/>
      <c r="F89" s="212"/>
      <c r="G89" s="212"/>
      <c r="H89" s="212"/>
      <c r="I89" s="212"/>
      <c r="J89" s="227"/>
      <c r="K89" s="212"/>
      <c r="L89" s="226"/>
      <c r="N89" s="1566"/>
    </row>
    <row r="90" spans="1:14" ht="15.75">
      <c r="A90" s="614"/>
      <c r="B90" s="211" t="s">
        <v>49</v>
      </c>
      <c r="C90" s="211"/>
      <c r="D90" s="211"/>
      <c r="E90" s="211"/>
      <c r="F90" s="211"/>
      <c r="G90" s="211"/>
      <c r="H90" s="211"/>
      <c r="I90" s="223" t="s">
        <v>1438</v>
      </c>
      <c r="J90" s="227"/>
      <c r="K90" s="694">
        <f>MAXA(0,K84-K88)</f>
        <v>0</v>
      </c>
      <c r="L90" s="1367">
        <f>2+L84</f>
        <v>50</v>
      </c>
      <c r="N90" s="1566"/>
    </row>
    <row r="91" spans="1:14" ht="15.75">
      <c r="A91" s="614"/>
      <c r="B91" s="212"/>
      <c r="C91" s="212"/>
      <c r="D91" s="212"/>
      <c r="E91" s="212"/>
      <c r="F91" s="212"/>
      <c r="G91" s="212"/>
      <c r="H91" s="212"/>
      <c r="I91" s="240"/>
      <c r="J91" s="227"/>
      <c r="K91" s="208"/>
      <c r="L91" s="226"/>
      <c r="N91" s="1566"/>
    </row>
    <row r="92" spans="1:14" ht="15.75">
      <c r="A92" s="614"/>
      <c r="B92" s="212"/>
      <c r="C92" s="212"/>
      <c r="D92" s="212"/>
      <c r="E92" s="212"/>
      <c r="F92" s="212"/>
      <c r="G92" s="212"/>
      <c r="H92" s="212"/>
      <c r="I92" s="240"/>
      <c r="J92" s="227"/>
      <c r="K92" s="208"/>
      <c r="L92" s="226"/>
      <c r="N92" s="1566"/>
    </row>
    <row r="93" spans="1:14" ht="15.75">
      <c r="A93" s="614"/>
      <c r="B93" s="212"/>
      <c r="C93" s="212"/>
      <c r="D93" s="212"/>
      <c r="E93" s="212"/>
      <c r="F93" s="212"/>
      <c r="G93" s="212"/>
      <c r="H93" s="212"/>
      <c r="I93" s="240"/>
      <c r="J93" s="227"/>
      <c r="K93" s="208"/>
      <c r="L93" s="226"/>
      <c r="N93" s="1566"/>
    </row>
    <row r="94" spans="1:14" ht="15.75">
      <c r="A94" s="614"/>
      <c r="B94" s="212"/>
      <c r="C94" s="212"/>
      <c r="D94" s="212"/>
      <c r="E94" s="212"/>
      <c r="F94" s="212"/>
      <c r="G94" s="212"/>
      <c r="H94" s="212"/>
      <c r="I94" s="240"/>
      <c r="J94" s="227"/>
      <c r="K94" s="208"/>
      <c r="L94" s="226"/>
      <c r="N94" s="1566"/>
    </row>
    <row r="95" spans="1:14" ht="15.75">
      <c r="A95" s="614"/>
      <c r="B95" s="440"/>
      <c r="C95" s="212"/>
      <c r="D95" s="212"/>
      <c r="E95" s="212"/>
      <c r="F95" s="212"/>
      <c r="G95" s="212"/>
      <c r="H95" s="212"/>
      <c r="I95" s="240"/>
      <c r="J95" s="227"/>
      <c r="K95" s="208"/>
      <c r="L95" s="226"/>
      <c r="N95" s="1566"/>
    </row>
    <row r="96" spans="1:14" ht="17.25" customHeight="1">
      <c r="A96" s="614"/>
      <c r="B96" s="212"/>
      <c r="C96" s="212"/>
      <c r="D96" s="212"/>
      <c r="E96" s="212"/>
      <c r="F96" s="212"/>
      <c r="G96" s="212"/>
      <c r="H96" s="212"/>
      <c r="I96" s="240"/>
      <c r="J96" s="227"/>
      <c r="K96" s="208"/>
      <c r="L96" s="226"/>
      <c r="N96" s="1566"/>
    </row>
  </sheetData>
  <sheetProtection password="EC35" sheet="1" objects="1" scenarios="1"/>
  <mergeCells count="3">
    <mergeCell ref="B69:C69"/>
    <mergeCell ref="N1:N96"/>
    <mergeCell ref="D2:F3"/>
  </mergeCells>
  <printOptions horizontalCentered="1"/>
  <pageMargins left="0.118110236220472" right="0.118110236220472" top="0.261811024" bottom="0.196850393700787" header="0.511811023622047" footer="0.118110236220472"/>
  <pageSetup fitToHeight="0" fitToWidth="1" horizontalDpi="600" verticalDpi="600" orientation="portrait" scale="75" r:id="rId4"/>
  <headerFooter alignWithMargins="0">
    <oddFooter>&amp;L5009-C
</oddFooter>
  </headerFooter>
  <rowBreaks count="1" manualBreakCount="1">
    <brk id="50" max="10" man="1"/>
  </rowBreaks>
  <drawing r:id="rId3"/>
  <legacyDrawing r:id="rId2"/>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L15"/>
  <sheetViews>
    <sheetView zoomScalePageLayoutView="0" workbookViewId="0" topLeftCell="A1">
      <selection activeCell="A1" sqref="A1"/>
    </sheetView>
  </sheetViews>
  <sheetFormatPr defaultColWidth="9.77734375" defaultRowHeight="15"/>
  <cols>
    <col min="1" max="1" width="2.5546875" style="579" customWidth="1"/>
    <col min="2" max="2" width="30.77734375" style="579" customWidth="1"/>
    <col min="3" max="3" width="6.77734375" style="579" customWidth="1"/>
    <col min="4" max="4" width="12.77734375" style="579" customWidth="1"/>
    <col min="5" max="5" width="16.6640625" style="579" customWidth="1"/>
    <col min="6" max="6" width="5.77734375" style="579" customWidth="1"/>
    <col min="7" max="7" width="13.77734375" style="579" customWidth="1"/>
    <col min="8" max="8" width="5.99609375" style="579" customWidth="1"/>
    <col min="9" max="9" width="11.77734375" style="579" customWidth="1"/>
    <col min="10" max="10" width="5.77734375" style="579" customWidth="1"/>
    <col min="11" max="11" width="2.3359375" style="579" customWidth="1"/>
    <col min="12" max="16384" width="9.77734375" style="579" customWidth="1"/>
  </cols>
  <sheetData>
    <row r="1" spans="1:12" ht="19.5" customHeight="1">
      <c r="A1" s="616"/>
      <c r="B1" s="208"/>
      <c r="C1" s="208"/>
      <c r="D1" s="441"/>
      <c r="E1" s="441"/>
      <c r="F1" s="441"/>
      <c r="G1" s="208"/>
      <c r="H1" s="208"/>
      <c r="I1" s="208"/>
      <c r="J1" s="232" t="s">
        <v>27</v>
      </c>
      <c r="K1" s="1"/>
      <c r="L1" s="1566" t="s">
        <v>35</v>
      </c>
    </row>
    <row r="2" spans="1:12" ht="21" customHeight="1">
      <c r="A2" s="616"/>
      <c r="B2" s="208"/>
      <c r="C2" s="233"/>
      <c r="D2" s="441"/>
      <c r="E2" s="442" t="s">
        <v>860</v>
      </c>
      <c r="F2" s="441"/>
      <c r="G2" s="208"/>
      <c r="H2" s="208"/>
      <c r="I2" s="208"/>
      <c r="J2" s="234" t="str">
        <f>"T1 General -"&amp;yeartext</f>
        <v>T1 General -2009</v>
      </c>
      <c r="K2" s="1"/>
      <c r="L2" s="1566"/>
    </row>
    <row r="3" spans="1:12" ht="16.5" customHeight="1">
      <c r="A3" s="616"/>
      <c r="B3" s="208"/>
      <c r="C3" s="233"/>
      <c r="D3" s="428"/>
      <c r="E3" s="428"/>
      <c r="F3" s="428"/>
      <c r="G3" s="208"/>
      <c r="H3" s="208"/>
      <c r="I3" s="208"/>
      <c r="J3" s="234"/>
      <c r="K3" s="1"/>
      <c r="L3" s="1566"/>
    </row>
    <row r="4" spans="1:12" ht="16.5" customHeight="1">
      <c r="A4" s="616"/>
      <c r="B4" s="208"/>
      <c r="C4" s="233"/>
      <c r="D4" s="428"/>
      <c r="E4" s="428"/>
      <c r="F4" s="428"/>
      <c r="G4" s="208"/>
      <c r="H4" s="208"/>
      <c r="I4" s="208"/>
      <c r="J4" s="234"/>
      <c r="K4" s="1"/>
      <c r="L4" s="1566"/>
    </row>
    <row r="5" spans="1:12" ht="23.25">
      <c r="A5" s="616"/>
      <c r="B5" s="208" t="s">
        <v>62</v>
      </c>
      <c r="C5" s="233"/>
      <c r="D5" s="428"/>
      <c r="E5" s="428"/>
      <c r="F5" s="428"/>
      <c r="G5" s="208"/>
      <c r="H5" s="208"/>
      <c r="I5" s="208"/>
      <c r="J5" s="234"/>
      <c r="K5" s="1"/>
      <c r="L5" s="1566"/>
    </row>
    <row r="6" spans="1:12" ht="23.25">
      <c r="A6" s="616"/>
      <c r="B6" s="208" t="s">
        <v>1817</v>
      </c>
      <c r="C6" s="233"/>
      <c r="D6" s="428"/>
      <c r="E6" s="428"/>
      <c r="F6" s="428"/>
      <c r="G6" s="208"/>
      <c r="H6" s="208"/>
      <c r="I6" s="208"/>
      <c r="J6" s="234"/>
      <c r="K6" s="1"/>
      <c r="L6" s="1566"/>
    </row>
    <row r="7" spans="1:12" ht="16.5" customHeight="1">
      <c r="A7" s="616"/>
      <c r="B7" s="208"/>
      <c r="C7" s="233"/>
      <c r="D7" s="428"/>
      <c r="E7" s="428"/>
      <c r="F7" s="428"/>
      <c r="G7" s="208"/>
      <c r="H7" s="208"/>
      <c r="I7" s="208"/>
      <c r="J7" s="234"/>
      <c r="K7" s="1"/>
      <c r="L7" s="1566"/>
    </row>
    <row r="8" spans="1:12" ht="23.25">
      <c r="A8" s="616"/>
      <c r="B8" s="209"/>
      <c r="C8" s="233"/>
      <c r="D8" s="428"/>
      <c r="E8" s="428"/>
      <c r="F8" s="428"/>
      <c r="G8" s="208"/>
      <c r="H8" s="208"/>
      <c r="I8" s="208"/>
      <c r="J8" s="234"/>
      <c r="K8" s="1"/>
      <c r="L8" s="1566"/>
    </row>
    <row r="9" spans="1:12" ht="16.5" customHeight="1">
      <c r="A9" s="616"/>
      <c r="B9" s="208"/>
      <c r="C9" s="233"/>
      <c r="D9" s="428"/>
      <c r="E9" s="428"/>
      <c r="F9" s="428"/>
      <c r="G9" s="208"/>
      <c r="H9" s="208"/>
      <c r="I9" s="208"/>
      <c r="J9" s="234"/>
      <c r="K9" s="1"/>
      <c r="L9" s="1566"/>
    </row>
    <row r="10" spans="1:12" ht="16.5" customHeight="1">
      <c r="A10" s="616"/>
      <c r="B10" s="208"/>
      <c r="C10" s="233"/>
      <c r="D10" s="428"/>
      <c r="E10" s="428"/>
      <c r="F10" s="428"/>
      <c r="G10" s="208"/>
      <c r="H10" s="208"/>
      <c r="I10" s="208"/>
      <c r="J10" s="234"/>
      <c r="K10" s="1"/>
      <c r="L10" s="1566"/>
    </row>
    <row r="11" spans="1:12" ht="16.5" customHeight="1">
      <c r="A11" s="616"/>
      <c r="B11" s="208"/>
      <c r="C11" s="233"/>
      <c r="D11" s="428"/>
      <c r="E11" s="428"/>
      <c r="F11" s="428"/>
      <c r="G11" s="208"/>
      <c r="H11" s="208"/>
      <c r="I11" s="208"/>
      <c r="J11" s="234"/>
      <c r="K11" s="1"/>
      <c r="L11" s="1566"/>
    </row>
    <row r="12" spans="1:12" ht="16.5" customHeight="1">
      <c r="A12" s="616"/>
      <c r="B12" s="208"/>
      <c r="C12" s="233"/>
      <c r="D12" s="428"/>
      <c r="E12" s="428"/>
      <c r="F12" s="428"/>
      <c r="G12" s="208"/>
      <c r="H12" s="208"/>
      <c r="I12" s="208"/>
      <c r="J12" s="234"/>
      <c r="K12" s="1"/>
      <c r="L12" s="1566"/>
    </row>
    <row r="13" spans="1:12" ht="16.5" customHeight="1">
      <c r="A13" s="616"/>
      <c r="B13" s="208"/>
      <c r="C13" s="233"/>
      <c r="D13" s="428"/>
      <c r="E13" s="428"/>
      <c r="F13" s="428"/>
      <c r="G13" s="208"/>
      <c r="H13" s="208"/>
      <c r="I13" s="208"/>
      <c r="J13" s="234"/>
      <c r="K13" s="1"/>
      <c r="L13" s="1566"/>
    </row>
    <row r="14" spans="1:12" ht="16.5" customHeight="1">
      <c r="A14" s="616"/>
      <c r="B14" s="208"/>
      <c r="C14" s="233"/>
      <c r="D14" s="428"/>
      <c r="E14" s="428"/>
      <c r="F14" s="428"/>
      <c r="G14" s="208"/>
      <c r="H14" s="208"/>
      <c r="I14" s="208"/>
      <c r="J14" s="234"/>
      <c r="K14" s="1"/>
      <c r="L14" s="1566"/>
    </row>
    <row r="15" spans="1:12" ht="16.5" customHeight="1">
      <c r="A15" s="616"/>
      <c r="B15" s="208"/>
      <c r="C15" s="208"/>
      <c r="D15" s="208"/>
      <c r="E15" s="208"/>
      <c r="F15" s="208"/>
      <c r="G15" s="208"/>
      <c r="H15" s="208"/>
      <c r="I15" s="208"/>
      <c r="J15" s="208"/>
      <c r="K15" s="1"/>
      <c r="L15" s="1566"/>
    </row>
  </sheetData>
  <sheetProtection password="EC35" sheet="1" objects="1" scenarios="1"/>
  <mergeCells count="1">
    <mergeCell ref="L1:L15"/>
  </mergeCells>
  <printOptions horizontalCentered="1"/>
  <pageMargins left="0.511811023622047" right="0.511811023622047" top="0.511811023622047" bottom="0.511811024" header="0.511811023622047" footer="0.261811024"/>
  <pageSetup fitToHeight="0" fitToWidth="1" horizontalDpi="600" verticalDpi="600" orientation="portrait" scale="70" r:id="rId2"/>
  <headerFooter alignWithMargins="0">
    <oddFooter>&amp;L5010-TC BC479</oddFooter>
  </headerFooter>
  <drawing r:id="rId1"/>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M34"/>
  <sheetViews>
    <sheetView zoomScalePageLayoutView="0" workbookViewId="0" topLeftCell="A1">
      <selection activeCell="A1" sqref="A1"/>
    </sheetView>
  </sheetViews>
  <sheetFormatPr defaultColWidth="9.77734375" defaultRowHeight="15"/>
  <cols>
    <col min="1" max="1" width="1.5625" style="0" customWidth="1"/>
    <col min="2" max="2" width="11.5546875" style="0" customWidth="1"/>
    <col min="3" max="3" width="25.21484375" style="0" customWidth="1"/>
    <col min="4" max="4" width="12.3359375" style="0" customWidth="1"/>
    <col min="5" max="5" width="4.77734375" style="0" customWidth="1"/>
    <col min="6" max="6" width="13.77734375" style="0" customWidth="1"/>
    <col min="7" max="7" width="5.77734375" style="0" customWidth="1"/>
    <col min="8" max="8" width="13.77734375" style="0" customWidth="1"/>
    <col min="9" max="9" width="4.77734375" style="0" customWidth="1"/>
    <col min="10" max="10" width="13.77734375" style="0" customWidth="1"/>
    <col min="11" max="11" width="4.77734375" style="0" customWidth="1"/>
    <col min="12" max="12" width="2.77734375" style="0" customWidth="1"/>
  </cols>
  <sheetData>
    <row r="1" spans="1:13" ht="15">
      <c r="A1" s="177"/>
      <c r="B1" s="177"/>
      <c r="C1" s="177"/>
      <c r="D1" s="177"/>
      <c r="E1" s="177"/>
      <c r="F1" s="177"/>
      <c r="G1" s="177"/>
      <c r="H1" s="177"/>
      <c r="I1" s="177"/>
      <c r="J1" s="177"/>
      <c r="M1" s="1566" t="s">
        <v>35</v>
      </c>
    </row>
    <row r="2" spans="1:13" ht="21.75">
      <c r="A2" s="207"/>
      <c r="B2" s="558"/>
      <c r="C2" s="224"/>
      <c r="D2" s="1434"/>
      <c r="E2" s="1435"/>
      <c r="F2" s="1435" t="s">
        <v>31</v>
      </c>
      <c r="G2" s="224"/>
      <c r="H2" s="224"/>
      <c r="I2" s="224"/>
      <c r="J2" s="1436"/>
      <c r="K2" s="1437" t="s">
        <v>199</v>
      </c>
      <c r="M2" s="1566"/>
    </row>
    <row r="3" spans="1:13" ht="27" customHeight="1">
      <c r="A3" s="207"/>
      <c r="B3" s="443"/>
      <c r="C3" s="211"/>
      <c r="D3" s="211"/>
      <c r="E3" s="1470"/>
      <c r="F3" s="1470" t="s">
        <v>32</v>
      </c>
      <c r="G3" s="211"/>
      <c r="H3" s="211"/>
      <c r="I3" s="211"/>
      <c r="J3" s="219"/>
      <c r="K3" s="444" t="str">
        <f>"T1 General - "&amp;yeartext</f>
        <v>T1 General - 2009</v>
      </c>
      <c r="M3" s="1566"/>
    </row>
    <row r="4" spans="1:13" ht="20.25" customHeight="1">
      <c r="A4" s="207"/>
      <c r="B4" s="208"/>
      <c r="C4" s="208"/>
      <c r="D4" s="208"/>
      <c r="E4" s="208"/>
      <c r="F4" s="208"/>
      <c r="G4" s="208"/>
      <c r="H4" s="208"/>
      <c r="I4" s="208"/>
      <c r="J4" s="208"/>
      <c r="K4" s="208"/>
      <c r="M4" s="1566"/>
    </row>
    <row r="5" spans="1:13" ht="15.75">
      <c r="A5" s="207"/>
      <c r="B5" s="208" t="s">
        <v>416</v>
      </c>
      <c r="C5" s="208"/>
      <c r="D5" s="208"/>
      <c r="E5" s="208"/>
      <c r="F5" s="208"/>
      <c r="G5" s="208"/>
      <c r="H5" s="208"/>
      <c r="I5" s="208"/>
      <c r="J5" s="208"/>
      <c r="K5" s="208"/>
      <c r="M5" s="1566"/>
    </row>
    <row r="6" spans="1:13" ht="15.75">
      <c r="A6" s="207"/>
      <c r="B6" s="207" t="s">
        <v>810</v>
      </c>
      <c r="C6" s="208"/>
      <c r="D6" s="208"/>
      <c r="E6" s="208"/>
      <c r="F6" s="208"/>
      <c r="G6" s="208"/>
      <c r="H6" s="208"/>
      <c r="I6" s="208"/>
      <c r="J6" s="208"/>
      <c r="K6" s="208"/>
      <c r="M6" s="1566"/>
    </row>
    <row r="7" spans="1:13" ht="15">
      <c r="A7" s="207"/>
      <c r="B7" s="207"/>
      <c r="C7" s="208"/>
      <c r="D7" s="208"/>
      <c r="E7" s="208"/>
      <c r="F7" s="208"/>
      <c r="G7" s="208"/>
      <c r="H7" s="208"/>
      <c r="I7" s="208"/>
      <c r="J7" s="208"/>
      <c r="K7" s="208"/>
      <c r="M7" s="1566"/>
    </row>
    <row r="8" spans="1:13" ht="15.75">
      <c r="A8" s="207"/>
      <c r="B8" s="246" t="str">
        <f>"If your spouse or common-law partner is not filing a "&amp;yeartext&amp;" return, use the amounts that he or she would use on Form AB428 if"</f>
        <v>If your spouse or common-law partner is not filing a 2009 return, use the amounts that he or she would use on Form AB428 if</v>
      </c>
      <c r="C8" s="208"/>
      <c r="D8" s="208"/>
      <c r="E8" s="208"/>
      <c r="F8" s="208"/>
      <c r="G8" s="208"/>
      <c r="H8" s="208"/>
      <c r="I8" s="208"/>
      <c r="J8" s="208"/>
      <c r="K8" s="208"/>
      <c r="M8" s="1566"/>
    </row>
    <row r="9" spans="1:13" ht="15.75">
      <c r="A9" s="207"/>
      <c r="B9" s="246" t="s">
        <v>1391</v>
      </c>
      <c r="C9" s="208"/>
      <c r="D9" s="208"/>
      <c r="E9" s="208"/>
      <c r="F9" s="208"/>
      <c r="G9" s="208"/>
      <c r="H9" s="208"/>
      <c r="I9" s="208"/>
      <c r="J9" s="208"/>
      <c r="K9" s="208"/>
      <c r="M9" s="1566"/>
    </row>
    <row r="10" spans="1:13" ht="15.75">
      <c r="A10" s="207"/>
      <c r="B10" s="246"/>
      <c r="C10" s="208"/>
      <c r="D10" s="208"/>
      <c r="E10" s="208"/>
      <c r="F10" s="208"/>
      <c r="G10" s="208"/>
      <c r="H10" s="208"/>
      <c r="I10" s="208"/>
      <c r="J10" s="208"/>
      <c r="K10" s="208"/>
      <c r="M10" s="1566"/>
    </row>
    <row r="11" spans="1:13" ht="15">
      <c r="A11" s="207"/>
      <c r="B11" s="247" t="s">
        <v>1833</v>
      </c>
      <c r="C11" s="208"/>
      <c r="D11" s="208"/>
      <c r="E11" s="208"/>
      <c r="F11" s="208"/>
      <c r="G11" s="208"/>
      <c r="H11" s="208"/>
      <c r="I11" s="208"/>
      <c r="J11" s="208"/>
      <c r="K11" s="208"/>
      <c r="M11" s="1566"/>
    </row>
    <row r="12" spans="1:13" ht="15">
      <c r="A12" s="207"/>
      <c r="B12" s="247" t="s">
        <v>417</v>
      </c>
      <c r="C12" s="208"/>
      <c r="D12" s="208"/>
      <c r="E12" s="208"/>
      <c r="F12" s="208"/>
      <c r="G12" s="208"/>
      <c r="H12" s="208"/>
      <c r="I12" s="208"/>
      <c r="J12" s="208"/>
      <c r="K12" s="208"/>
      <c r="M12" s="1566"/>
    </row>
    <row r="13" spans="1:13" ht="15">
      <c r="A13" s="207"/>
      <c r="B13" s="247"/>
      <c r="C13" s="208"/>
      <c r="D13" s="208"/>
      <c r="E13" s="208"/>
      <c r="F13" s="208"/>
      <c r="G13" s="208"/>
      <c r="H13" s="208"/>
      <c r="I13" s="208"/>
      <c r="J13" s="208"/>
      <c r="K13" s="208"/>
      <c r="M13" s="1566"/>
    </row>
    <row r="14" spans="1:13" ht="15.75">
      <c r="A14" s="207"/>
      <c r="B14" s="246" t="s">
        <v>1284</v>
      </c>
      <c r="C14" s="247" t="str">
        <f>"(if he or she was age 65 or older in "&amp;yeartext&amp;"):"</f>
        <v>(if he or she was age 65 or older in 2009):</v>
      </c>
      <c r="D14" s="208"/>
      <c r="E14" s="208"/>
      <c r="F14" s="208"/>
      <c r="G14" s="208"/>
      <c r="H14" s="208"/>
      <c r="I14" s="208"/>
      <c r="J14" s="208"/>
      <c r="K14" s="208"/>
      <c r="M14" s="1566"/>
    </row>
    <row r="15" spans="1:13" ht="15">
      <c r="A15" s="207"/>
      <c r="B15" s="207" t="s">
        <v>2634</v>
      </c>
      <c r="C15" s="208"/>
      <c r="D15" s="208"/>
      <c r="E15" s="208"/>
      <c r="F15" s="208"/>
      <c r="G15" s="208"/>
      <c r="H15" s="208"/>
      <c r="I15" s="208"/>
      <c r="J15" s="208"/>
      <c r="K15" s="208"/>
      <c r="M15" s="1566"/>
    </row>
    <row r="16" spans="1:13" ht="15.75">
      <c r="A16" s="207"/>
      <c r="B16" s="561" t="s">
        <v>2635</v>
      </c>
      <c r="C16" s="211"/>
      <c r="D16" s="211"/>
      <c r="E16" s="211"/>
      <c r="F16" s="211"/>
      <c r="G16" s="211"/>
      <c r="H16" s="219"/>
      <c r="I16" s="72" t="s">
        <v>1153</v>
      </c>
      <c r="J16" s="159"/>
      <c r="K16" s="226" t="s">
        <v>1281</v>
      </c>
      <c r="M16" s="1566"/>
    </row>
    <row r="17" spans="1:13" ht="15.75">
      <c r="A17" s="207"/>
      <c r="B17" s="246" t="s">
        <v>891</v>
      </c>
      <c r="C17" s="208"/>
      <c r="D17" s="208"/>
      <c r="E17" s="208"/>
      <c r="F17" s="208"/>
      <c r="G17" s="208"/>
      <c r="H17" s="208"/>
      <c r="I17" s="208"/>
      <c r="J17" s="208"/>
      <c r="K17" s="208"/>
      <c r="M17" s="1566"/>
    </row>
    <row r="18" spans="1:13" ht="15.75">
      <c r="A18" s="207"/>
      <c r="B18" s="561" t="s">
        <v>2636</v>
      </c>
      <c r="C18" s="211"/>
      <c r="D18" s="211"/>
      <c r="E18" s="211"/>
      <c r="F18" s="211"/>
      <c r="G18" s="211"/>
      <c r="H18" s="223" t="s">
        <v>2641</v>
      </c>
      <c r="I18" s="72" t="s">
        <v>904</v>
      </c>
      <c r="J18" s="159"/>
      <c r="K18" s="226" t="s">
        <v>1314</v>
      </c>
      <c r="M18" s="1566"/>
    </row>
    <row r="19" spans="1:13" ht="15.75">
      <c r="A19" s="207"/>
      <c r="B19" s="246" t="s">
        <v>892</v>
      </c>
      <c r="C19" s="208"/>
      <c r="D19" s="208"/>
      <c r="E19" s="208"/>
      <c r="F19" s="208"/>
      <c r="G19" s="208"/>
      <c r="H19" s="208"/>
      <c r="I19" s="208"/>
      <c r="J19" s="208"/>
      <c r="K19" s="208"/>
      <c r="M19" s="1566"/>
    </row>
    <row r="20" spans="1:13" ht="15.75">
      <c r="A20" s="207"/>
      <c r="B20" s="561" t="s">
        <v>2637</v>
      </c>
      <c r="C20" s="211"/>
      <c r="D20" s="211"/>
      <c r="E20" s="211"/>
      <c r="F20" s="211"/>
      <c r="G20" s="211"/>
      <c r="H20" s="211"/>
      <c r="I20" s="72" t="s">
        <v>905</v>
      </c>
      <c r="J20" s="159"/>
      <c r="K20" s="226" t="s">
        <v>1315</v>
      </c>
      <c r="M20" s="1566"/>
    </row>
    <row r="21" spans="1:13" ht="15.75">
      <c r="A21" s="207"/>
      <c r="B21" s="246" t="s">
        <v>2414</v>
      </c>
      <c r="C21" s="212"/>
      <c r="D21" s="212"/>
      <c r="E21" s="212"/>
      <c r="F21" s="212"/>
      <c r="G21" s="212"/>
      <c r="H21" s="212"/>
      <c r="I21" s="72"/>
      <c r="J21" s="1374"/>
      <c r="K21" s="226"/>
      <c r="M21" s="1566"/>
    </row>
    <row r="22" spans="1:13" ht="15">
      <c r="A22" s="207"/>
      <c r="B22" s="1560" t="s">
        <v>2638</v>
      </c>
      <c r="C22" s="208"/>
      <c r="D22" s="208"/>
      <c r="E22" s="208"/>
      <c r="F22" s="208"/>
      <c r="G22" s="208"/>
      <c r="H22" s="208"/>
      <c r="I22" s="208"/>
      <c r="J22" s="208"/>
      <c r="K22" s="208"/>
      <c r="M22" s="1566"/>
    </row>
    <row r="23" spans="1:13" ht="16.5" thickBot="1">
      <c r="A23" s="207"/>
      <c r="B23" s="1471" t="s">
        <v>2639</v>
      </c>
      <c r="C23" s="211"/>
      <c r="D23" s="211"/>
      <c r="E23" s="211"/>
      <c r="F23" s="211"/>
      <c r="G23" s="211"/>
      <c r="H23" s="211"/>
      <c r="I23" s="72" t="s">
        <v>906</v>
      </c>
      <c r="J23" s="707"/>
      <c r="K23" s="226" t="s">
        <v>1316</v>
      </c>
      <c r="M23" s="1566"/>
    </row>
    <row r="24" spans="1:13" ht="28.5" customHeight="1">
      <c r="A24" s="207"/>
      <c r="B24" s="249" t="s">
        <v>893</v>
      </c>
      <c r="C24" s="214"/>
      <c r="D24" s="214"/>
      <c r="E24" s="214"/>
      <c r="F24" s="214"/>
      <c r="G24" s="214"/>
      <c r="H24" s="214"/>
      <c r="I24" s="208"/>
      <c r="J24" s="352">
        <f>SUM(J16:J23)</f>
        <v>0</v>
      </c>
      <c r="K24" s="226" t="s">
        <v>1317</v>
      </c>
      <c r="M24" s="1566"/>
    </row>
    <row r="25" spans="1:13" ht="15">
      <c r="A25" s="207"/>
      <c r="B25" s="207" t="s">
        <v>247</v>
      </c>
      <c r="C25" s="208"/>
      <c r="D25" s="208"/>
      <c r="E25" s="208"/>
      <c r="F25" s="208"/>
      <c r="G25" s="208"/>
      <c r="H25" s="208"/>
      <c r="I25" s="208"/>
      <c r="J25" s="208"/>
      <c r="K25" s="208"/>
      <c r="M25" s="1566"/>
    </row>
    <row r="26" spans="1:13" ht="15.75">
      <c r="A26" s="207"/>
      <c r="B26" s="561" t="s">
        <v>2524</v>
      </c>
      <c r="C26" s="211"/>
      <c r="D26" s="211"/>
      <c r="E26" s="211"/>
      <c r="F26" s="211"/>
      <c r="G26" s="208"/>
      <c r="H26" s="159"/>
      <c r="I26" s="226" t="s">
        <v>1318</v>
      </c>
      <c r="J26" s="208"/>
      <c r="K26" s="208"/>
      <c r="M26" s="1566"/>
    </row>
    <row r="27" spans="1:13" ht="15">
      <c r="A27" s="207"/>
      <c r="B27" s="247" t="s">
        <v>1791</v>
      </c>
      <c r="C27" s="208"/>
      <c r="D27" s="208"/>
      <c r="E27" s="208"/>
      <c r="F27" s="208"/>
      <c r="G27" s="208"/>
      <c r="H27" s="208"/>
      <c r="I27" s="208"/>
      <c r="J27" s="208"/>
      <c r="K27" s="208"/>
      <c r="M27" s="1566"/>
    </row>
    <row r="28" spans="1:13" ht="16.5" thickBot="1">
      <c r="A28" s="207"/>
      <c r="B28" s="561" t="s">
        <v>2640</v>
      </c>
      <c r="C28" s="211"/>
      <c r="D28" s="211"/>
      <c r="E28" s="211"/>
      <c r="F28" s="211"/>
      <c r="G28" s="208"/>
      <c r="H28" s="707"/>
      <c r="I28" s="226" t="s">
        <v>1527</v>
      </c>
      <c r="J28" s="208"/>
      <c r="K28" s="208"/>
      <c r="M28" s="1566"/>
    </row>
    <row r="29" spans="1:13" ht="15">
      <c r="A29" s="207"/>
      <c r="B29" s="207" t="s">
        <v>2233</v>
      </c>
      <c r="C29" s="208"/>
      <c r="D29" s="208"/>
      <c r="E29" s="208"/>
      <c r="F29" s="208"/>
      <c r="G29" s="208"/>
      <c r="H29" s="208"/>
      <c r="I29" s="208"/>
      <c r="J29" s="208"/>
      <c r="K29" s="208"/>
      <c r="M29" s="1566"/>
    </row>
    <row r="30" spans="1:13" ht="15.75">
      <c r="A30" s="207"/>
      <c r="B30" s="248" t="s">
        <v>1313</v>
      </c>
      <c r="C30" s="211"/>
      <c r="D30" s="211"/>
      <c r="E30" s="211"/>
      <c r="F30" s="211"/>
      <c r="G30" s="72" t="s">
        <v>228</v>
      </c>
      <c r="H30" s="352">
        <f>MAXA(0,H26-H28)</f>
        <v>0</v>
      </c>
      <c r="I30" s="1130" t="s">
        <v>1886</v>
      </c>
      <c r="J30" s="352">
        <f>H30</f>
        <v>0</v>
      </c>
      <c r="K30" s="226" t="s">
        <v>1319</v>
      </c>
      <c r="M30" s="1566"/>
    </row>
    <row r="31" spans="1:13" ht="15.75">
      <c r="A31" s="207"/>
      <c r="B31" s="247" t="s">
        <v>894</v>
      </c>
      <c r="C31" s="208"/>
      <c r="D31" s="208"/>
      <c r="E31" s="208"/>
      <c r="F31" s="208"/>
      <c r="G31" s="208"/>
      <c r="H31" s="217" t="s">
        <v>229</v>
      </c>
      <c r="I31" s="208"/>
      <c r="J31" s="208"/>
      <c r="K31" s="208"/>
      <c r="M31" s="1566"/>
    </row>
    <row r="32" spans="1:13" ht="15.75">
      <c r="A32" s="207"/>
      <c r="B32" s="248" t="s">
        <v>2372</v>
      </c>
      <c r="C32" s="211"/>
      <c r="D32" s="211"/>
      <c r="E32" s="211"/>
      <c r="F32" s="211"/>
      <c r="G32" s="211"/>
      <c r="H32" s="223" t="s">
        <v>2102</v>
      </c>
      <c r="I32" s="208"/>
      <c r="J32" s="619">
        <f>MAXA(0,J24-J30)</f>
        <v>0</v>
      </c>
      <c r="K32" s="226" t="s">
        <v>195</v>
      </c>
      <c r="M32" s="1566"/>
    </row>
    <row r="33" spans="1:13" ht="15">
      <c r="A33" s="207"/>
      <c r="B33" s="247"/>
      <c r="C33" s="208"/>
      <c r="D33" s="208"/>
      <c r="E33" s="208"/>
      <c r="F33" s="208"/>
      <c r="G33" s="208"/>
      <c r="H33" s="208"/>
      <c r="I33" s="208"/>
      <c r="J33" s="208"/>
      <c r="K33" s="208"/>
      <c r="M33" s="1566"/>
    </row>
    <row r="34" spans="1:13" ht="15">
      <c r="A34" s="245"/>
      <c r="B34" s="177"/>
      <c r="C34" s="177"/>
      <c r="D34" s="177"/>
      <c r="E34" s="177"/>
      <c r="F34" s="177"/>
      <c r="G34" s="177"/>
      <c r="H34" s="177"/>
      <c r="I34" s="177"/>
      <c r="J34" s="177"/>
      <c r="M34" s="1566"/>
    </row>
  </sheetData>
  <sheetProtection password="EC35" sheet="1" objects="1" scenarios="1"/>
  <mergeCells count="1">
    <mergeCell ref="M1:M34"/>
  </mergeCells>
  <printOptions horizontalCentered="1"/>
  <pageMargins left="0.25" right="0.25" top="0.5" bottom="0.25" header="0.511811023622047" footer="0.15"/>
  <pageSetup fitToHeight="0" fitToWidth="1" horizontalDpi="600" verticalDpi="600" orientation="portrait" scale="76" r:id="rId2"/>
  <headerFooter alignWithMargins="0">
    <oddFooter>&amp;L5009-S2</oddFooter>
  </headerFooter>
  <drawing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L56"/>
  <sheetViews>
    <sheetView zoomScalePageLayoutView="0" workbookViewId="0" topLeftCell="A1">
      <selection activeCell="A1" sqref="A1"/>
    </sheetView>
  </sheetViews>
  <sheetFormatPr defaultColWidth="9.77734375" defaultRowHeight="15"/>
  <cols>
    <col min="1" max="1" width="40.88671875" style="0" customWidth="1"/>
    <col min="2" max="2" width="4.77734375" style="0" customWidth="1"/>
    <col min="3" max="3" width="12.77734375" style="0" customWidth="1"/>
    <col min="4" max="4" width="4.77734375" style="0" customWidth="1"/>
    <col min="5" max="5" width="9.6640625" style="0" customWidth="1"/>
    <col min="6" max="6" width="4.77734375" style="0" customWidth="1"/>
    <col min="7" max="7" width="12.77734375" style="0" customWidth="1"/>
    <col min="8" max="8" width="4.77734375" style="0" customWidth="1"/>
    <col min="9" max="9" width="12.77734375" style="0" customWidth="1"/>
    <col min="10" max="10" width="4.77734375" style="0" customWidth="1"/>
    <col min="11" max="11" width="2.6640625" style="0" customWidth="1"/>
  </cols>
  <sheetData>
    <row r="1" spans="1:12" ht="11.25" customHeight="1">
      <c r="A1" s="177"/>
      <c r="B1" s="177"/>
      <c r="C1" s="177"/>
      <c r="D1" s="177"/>
      <c r="E1" s="177"/>
      <c r="F1" s="177"/>
      <c r="G1" s="177"/>
      <c r="H1" s="177"/>
      <c r="I1" s="177"/>
      <c r="J1" s="177"/>
      <c r="L1" s="1566" t="s">
        <v>35</v>
      </c>
    </row>
    <row r="2" spans="1:12" ht="21.75" customHeight="1">
      <c r="A2" s="1481"/>
      <c r="B2" s="566"/>
      <c r="C2" s="566"/>
      <c r="D2" s="566"/>
      <c r="E2" s="566"/>
      <c r="F2" s="566"/>
      <c r="G2" s="566"/>
      <c r="H2" s="566"/>
      <c r="I2" s="1482"/>
      <c r="J2" s="1437" t="s">
        <v>2373</v>
      </c>
      <c r="L2" s="1566"/>
    </row>
    <row r="3" spans="1:12" ht="32.25" customHeight="1">
      <c r="A3" s="1483"/>
      <c r="B3" s="1484"/>
      <c r="C3" s="1485"/>
      <c r="D3" s="281" t="s">
        <v>1632</v>
      </c>
      <c r="E3" s="1486"/>
      <c r="F3" s="1487"/>
      <c r="G3" s="1487"/>
      <c r="H3" s="1487"/>
      <c r="I3" s="1487"/>
      <c r="J3" s="1438" t="str">
        <f>"T1 General - "&amp;yeartext</f>
        <v>T1 General - 2009</v>
      </c>
      <c r="L3" s="1566"/>
    </row>
    <row r="4" spans="1:12" ht="15">
      <c r="A4" s="208"/>
      <c r="B4" s="225"/>
      <c r="C4" s="208"/>
      <c r="D4" s="208"/>
      <c r="E4" s="208"/>
      <c r="F4" s="208"/>
      <c r="G4" s="208"/>
      <c r="H4" s="208"/>
      <c r="I4" s="208"/>
      <c r="J4" s="234"/>
      <c r="L4" s="1566"/>
    </row>
    <row r="5" spans="1:12" ht="15.75">
      <c r="A5" s="213" t="s">
        <v>1392</v>
      </c>
      <c r="B5" s="208"/>
      <c r="C5" s="208"/>
      <c r="D5" s="208"/>
      <c r="E5" s="208"/>
      <c r="F5" s="208"/>
      <c r="G5" s="208"/>
      <c r="H5" s="208"/>
      <c r="I5" s="208"/>
      <c r="J5" s="208"/>
      <c r="L5" s="1566"/>
    </row>
    <row r="6" spans="1:12" ht="15">
      <c r="A6" s="208" t="s">
        <v>721</v>
      </c>
      <c r="B6" s="208"/>
      <c r="C6" s="208"/>
      <c r="D6" s="208"/>
      <c r="E6" s="208"/>
      <c r="F6" s="208"/>
      <c r="G6" s="208"/>
      <c r="H6" s="208"/>
      <c r="I6" s="208"/>
      <c r="J6" s="208"/>
      <c r="L6" s="1566"/>
    </row>
    <row r="7" spans="1:12" ht="15">
      <c r="A7" s="922" t="s">
        <v>1887</v>
      </c>
      <c r="B7" s="208"/>
      <c r="C7" s="208"/>
      <c r="D7" s="208"/>
      <c r="E7" s="208"/>
      <c r="F7" s="208"/>
      <c r="G7" s="208"/>
      <c r="H7" s="208"/>
      <c r="I7" s="208"/>
      <c r="J7" s="208"/>
      <c r="L7" s="1566"/>
    </row>
    <row r="8" spans="1:12" ht="15">
      <c r="A8" s="922" t="s">
        <v>722</v>
      </c>
      <c r="B8" s="208"/>
      <c r="C8" s="208"/>
      <c r="D8" s="208"/>
      <c r="E8" s="208"/>
      <c r="F8" s="208"/>
      <c r="G8" s="208"/>
      <c r="H8" s="208"/>
      <c r="I8" s="208"/>
      <c r="J8" s="208"/>
      <c r="L8" s="1566"/>
    </row>
    <row r="9" spans="1:12" s="937" customFormat="1" ht="28.5" customHeight="1">
      <c r="A9" s="279" t="s">
        <v>2651</v>
      </c>
      <c r="B9" s="276"/>
      <c r="C9" s="276"/>
      <c r="D9" s="276"/>
      <c r="E9" s="276"/>
      <c r="F9" s="276"/>
      <c r="G9" s="276"/>
      <c r="H9" s="276"/>
      <c r="I9" s="276"/>
      <c r="J9" s="276"/>
      <c r="L9" s="1566"/>
    </row>
    <row r="10" spans="1:12" ht="20.25">
      <c r="A10" s="209" t="str">
        <f>"Alberta tuition and education amounts claimed by the student for "&amp;yeartext</f>
        <v>Alberta tuition and education amounts claimed by the student for 2009</v>
      </c>
      <c r="B10" s="208"/>
      <c r="C10" s="208"/>
      <c r="D10" s="208"/>
      <c r="E10" s="208"/>
      <c r="F10" s="208"/>
      <c r="G10" s="208"/>
      <c r="H10" s="208"/>
      <c r="I10" s="208"/>
      <c r="J10" s="208"/>
      <c r="L10" s="1566"/>
    </row>
    <row r="11" spans="1:12" ht="21.75" customHeight="1">
      <c r="A11" s="208" t="s">
        <v>582</v>
      </c>
      <c r="B11" s="208"/>
      <c r="C11" s="208"/>
      <c r="D11" s="208"/>
      <c r="E11" s="208"/>
      <c r="F11" s="208"/>
      <c r="G11" s="208"/>
      <c r="H11" s="208"/>
      <c r="I11" s="208"/>
      <c r="J11" s="208"/>
      <c r="L11" s="1566"/>
    </row>
    <row r="12" spans="1:12" ht="15.75">
      <c r="A12" s="235" t="str">
        <f>"your "&amp;lastyeartext&amp;" notice of assessment or notice of reassessment*"</f>
        <v>your 2008 notice of assessment or notice of reassessment*</v>
      </c>
      <c r="B12" s="235"/>
      <c r="C12" s="235"/>
      <c r="D12" s="235"/>
      <c r="E12" s="235"/>
      <c r="F12" s="235"/>
      <c r="G12" s="235"/>
      <c r="H12" s="208"/>
      <c r="I12" s="1363"/>
      <c r="J12" s="244">
        <v>1</v>
      </c>
      <c r="L12" s="1566"/>
    </row>
    <row r="13" spans="1:12" ht="15.75">
      <c r="A13" s="208"/>
      <c r="B13" s="208"/>
      <c r="C13" s="208"/>
      <c r="D13" s="208"/>
      <c r="E13" s="208"/>
      <c r="F13" s="208"/>
      <c r="G13" s="208"/>
      <c r="H13" s="208"/>
      <c r="I13" s="208"/>
      <c r="J13" s="560"/>
      <c r="L13" s="1566"/>
    </row>
    <row r="14" spans="1:12" ht="15.75">
      <c r="A14" s="235" t="str">
        <f>"Eligible tuition fees paid for "&amp;yeartext</f>
        <v>Eligible tuition fees paid for 2009</v>
      </c>
      <c r="B14" s="235"/>
      <c r="C14" s="235"/>
      <c r="D14" s="235"/>
      <c r="E14" s="235"/>
      <c r="F14" s="73" t="s">
        <v>1888</v>
      </c>
      <c r="G14" s="352">
        <f>Sch11!I10</f>
        <v>0</v>
      </c>
      <c r="H14" s="244">
        <v>2</v>
      </c>
      <c r="I14" s="208"/>
      <c r="J14" s="225"/>
      <c r="L14" s="1566"/>
    </row>
    <row r="15" spans="1:12" ht="15">
      <c r="A15" s="208" t="str">
        <f>"Education amount for "&amp;yeartext&amp;": Use columns B and C of Forms T2202, T2202A,TL11A,"</f>
        <v>Education amount for 2009: Use columns B and C of Forms T2202, T2202A,TL11A,</v>
      </c>
      <c r="B15" s="208"/>
      <c r="C15" s="208"/>
      <c r="D15" s="208"/>
      <c r="E15" s="208"/>
      <c r="F15" s="208"/>
      <c r="G15" s="208"/>
      <c r="H15" s="225"/>
      <c r="I15" s="208"/>
      <c r="J15" s="225"/>
      <c r="L15" s="1566"/>
    </row>
    <row r="16" spans="1:12" ht="15.75">
      <c r="A16" s="208" t="s">
        <v>2642</v>
      </c>
      <c r="B16" s="208"/>
      <c r="C16" s="208"/>
      <c r="D16" s="208"/>
      <c r="E16" s="208"/>
      <c r="F16" s="208"/>
      <c r="G16" s="208"/>
      <c r="H16" s="225"/>
      <c r="I16" s="208"/>
      <c r="J16" s="225"/>
      <c r="L16" s="1566"/>
    </row>
    <row r="17" spans="1:12" ht="15.75">
      <c r="A17" s="212" t="s">
        <v>458</v>
      </c>
      <c r="B17" s="208"/>
      <c r="C17" s="208"/>
      <c r="D17" s="208"/>
      <c r="E17" s="208"/>
      <c r="F17" s="208"/>
      <c r="G17" s="208"/>
      <c r="H17" s="225"/>
      <c r="I17" s="208"/>
      <c r="J17" s="225"/>
      <c r="L17" s="1566"/>
    </row>
    <row r="18" spans="1:12" ht="15.75">
      <c r="A18" s="235" t="s">
        <v>2643</v>
      </c>
      <c r="B18" s="235"/>
      <c r="C18" s="235"/>
      <c r="D18" s="926">
        <f>Sch11!C16</f>
        <v>0</v>
      </c>
      <c r="E18" s="749" t="s">
        <v>2645</v>
      </c>
      <c r="F18" s="73" t="s">
        <v>1949</v>
      </c>
      <c r="G18" s="352">
        <f>196*MINA(D18+0,12)</f>
        <v>0</v>
      </c>
      <c r="H18" s="244">
        <v>3</v>
      </c>
      <c r="I18" s="208"/>
      <c r="J18" s="225"/>
      <c r="L18" s="1566"/>
    </row>
    <row r="19" spans="1:12" ht="16.5" thickBot="1">
      <c r="A19" s="1366" t="s">
        <v>2644</v>
      </c>
      <c r="B19" s="235"/>
      <c r="C19" s="235"/>
      <c r="D19" s="926">
        <f>Sch11!C24</f>
        <v>0</v>
      </c>
      <c r="E19" s="749" t="s">
        <v>2646</v>
      </c>
      <c r="F19" s="73" t="s">
        <v>1950</v>
      </c>
      <c r="G19" s="688">
        <f>652*MINA(D19+0,12)</f>
        <v>0</v>
      </c>
      <c r="H19" s="244">
        <v>4</v>
      </c>
      <c r="I19" s="208"/>
      <c r="J19" s="225"/>
      <c r="L19" s="1566"/>
    </row>
    <row r="20" spans="1:12" ht="16.5" thickBot="1">
      <c r="A20" s="250" t="s">
        <v>2647</v>
      </c>
      <c r="B20" s="250" t="str">
        <f>"Total "&amp;yeartext&amp;" tuition and education amounts"</f>
        <v>Total 2009 tuition and education amounts</v>
      </c>
      <c r="C20" s="235"/>
      <c r="D20" s="235"/>
      <c r="E20" s="752"/>
      <c r="F20" s="208"/>
      <c r="G20" s="352">
        <f>G14+G18+G19</f>
        <v>0</v>
      </c>
      <c r="H20" s="1130" t="s">
        <v>1886</v>
      </c>
      <c r="I20" s="691">
        <f>G20</f>
        <v>0</v>
      </c>
      <c r="J20" s="244">
        <v>5</v>
      </c>
      <c r="L20" s="1566"/>
    </row>
    <row r="21" spans="1:12" ht="15.75">
      <c r="A21" s="250" t="s">
        <v>2525</v>
      </c>
      <c r="B21" s="235"/>
      <c r="C21" s="235"/>
      <c r="D21" s="235"/>
      <c r="E21" s="235"/>
      <c r="F21" s="235"/>
      <c r="G21" s="238" t="s">
        <v>1010</v>
      </c>
      <c r="H21" s="225"/>
      <c r="I21" s="352">
        <f>I12+I20</f>
        <v>0</v>
      </c>
      <c r="J21" s="244">
        <v>6</v>
      </c>
      <c r="L21" s="1566"/>
    </row>
    <row r="22" spans="1:12" ht="15">
      <c r="A22" s="208"/>
      <c r="B22" s="208"/>
      <c r="C22" s="208"/>
      <c r="D22" s="208"/>
      <c r="E22" s="208"/>
      <c r="F22" s="208"/>
      <c r="G22" s="208"/>
      <c r="H22" s="225"/>
      <c r="I22" s="208"/>
      <c r="J22" s="225"/>
      <c r="L22" s="1566"/>
    </row>
    <row r="23" spans="1:12" ht="15.75">
      <c r="A23" s="235" t="s">
        <v>459</v>
      </c>
      <c r="B23" s="235"/>
      <c r="C23" s="235"/>
      <c r="D23" s="235"/>
      <c r="E23" s="235"/>
      <c r="F23" s="208"/>
      <c r="G23" s="352">
        <f>'AB428'!K53</f>
        <v>0</v>
      </c>
      <c r="H23" s="244">
        <v>7</v>
      </c>
      <c r="I23" s="208"/>
      <c r="J23" s="225"/>
      <c r="L23" s="1566"/>
    </row>
    <row r="24" spans="1:12" ht="16.5" thickBot="1">
      <c r="A24" s="235" t="s">
        <v>2374</v>
      </c>
      <c r="B24" s="235"/>
      <c r="C24" s="235"/>
      <c r="D24" s="235"/>
      <c r="E24" s="235"/>
      <c r="F24" s="208"/>
      <c r="G24" s="688">
        <f>SUM('AB428'!I7:I27)</f>
        <v>16775</v>
      </c>
      <c r="H24" s="244">
        <v>8</v>
      </c>
      <c r="I24" s="208"/>
      <c r="J24" s="225"/>
      <c r="L24" s="1566"/>
    </row>
    <row r="25" spans="1:12" ht="15.75">
      <c r="A25" s="250" t="s">
        <v>1018</v>
      </c>
      <c r="B25" s="235"/>
      <c r="C25" s="235"/>
      <c r="D25" s="235"/>
      <c r="E25" s="235"/>
      <c r="F25" s="208"/>
      <c r="G25" s="352">
        <f>MAXA(0,G23-G24)</f>
        <v>0</v>
      </c>
      <c r="H25" s="244">
        <v>9</v>
      </c>
      <c r="I25" s="208"/>
      <c r="J25" s="225"/>
      <c r="L25" s="1566"/>
    </row>
    <row r="26" spans="1:12" ht="15">
      <c r="A26" s="208" t="str">
        <f>"Unused Alberta tuition and education amounts claimed for "&amp;yeartext&amp;"."</f>
        <v>Unused Alberta tuition and education amounts claimed for 2009.</v>
      </c>
      <c r="B26" s="208"/>
      <c r="C26" s="208"/>
      <c r="D26" s="208"/>
      <c r="E26" s="208"/>
      <c r="F26" s="208"/>
      <c r="G26" s="208"/>
      <c r="H26" s="225"/>
      <c r="I26" s="208"/>
      <c r="J26" s="225"/>
      <c r="L26" s="1566"/>
    </row>
    <row r="27" spans="1:12" ht="16.5" thickBot="1">
      <c r="A27" s="235" t="s">
        <v>2648</v>
      </c>
      <c r="B27" s="235"/>
      <c r="C27" s="235"/>
      <c r="D27" s="235"/>
      <c r="E27" s="235"/>
      <c r="F27" s="208"/>
      <c r="G27" s="691">
        <f>MINA(I12+0,G25)</f>
        <v>0</v>
      </c>
      <c r="H27" s="1130" t="s">
        <v>1886</v>
      </c>
      <c r="I27" s="352">
        <f>G27</f>
        <v>0</v>
      </c>
      <c r="J27" s="244">
        <v>10</v>
      </c>
      <c r="L27" s="1566"/>
    </row>
    <row r="28" spans="1:12" ht="15.75">
      <c r="A28" s="250" t="s">
        <v>460</v>
      </c>
      <c r="B28" s="235"/>
      <c r="C28" s="235"/>
      <c r="D28" s="235"/>
      <c r="E28" s="235"/>
      <c r="F28" s="208"/>
      <c r="G28" s="352">
        <f>G25-I27</f>
        <v>0</v>
      </c>
      <c r="H28" s="244">
        <v>11</v>
      </c>
      <c r="I28" s="208"/>
      <c r="J28" s="225"/>
      <c r="L28" s="1566"/>
    </row>
    <row r="29" spans="1:12" ht="15">
      <c r="A29" s="251" t="str">
        <f>yeartext&amp;" tuition and education amounts claimed for "&amp;yeartext&amp;"."</f>
        <v>2009 tuition and education amounts claimed for 2009.</v>
      </c>
      <c r="B29" s="208"/>
      <c r="C29" s="208"/>
      <c r="D29" s="208"/>
      <c r="E29" s="208"/>
      <c r="F29" s="208"/>
      <c r="G29" s="208"/>
      <c r="H29" s="225"/>
      <c r="I29" s="208"/>
      <c r="J29" s="225"/>
      <c r="L29" s="1566"/>
    </row>
    <row r="30" spans="1:12" ht="15.75">
      <c r="A30" s="235" t="s">
        <v>2629</v>
      </c>
      <c r="B30" s="235"/>
      <c r="C30" s="235"/>
      <c r="D30" s="235"/>
      <c r="E30" s="235"/>
      <c r="F30" s="235"/>
      <c r="G30" s="208"/>
      <c r="H30" s="225"/>
      <c r="I30" s="352">
        <f>MINA(I20,G28)</f>
        <v>0</v>
      </c>
      <c r="J30" s="244">
        <v>12</v>
      </c>
      <c r="L30" s="1566"/>
    </row>
    <row r="31" spans="1:12" ht="15.75">
      <c r="A31" s="208" t="s">
        <v>1754</v>
      </c>
      <c r="B31" s="208"/>
      <c r="C31" s="208"/>
      <c r="D31" s="208"/>
      <c r="E31" s="217"/>
      <c r="F31" s="208"/>
      <c r="G31" s="239" t="s">
        <v>724</v>
      </c>
      <c r="H31" s="560"/>
      <c r="I31" s="208"/>
      <c r="J31" s="225"/>
      <c r="L31" s="1566"/>
    </row>
    <row r="32" spans="1:12" ht="15.75">
      <c r="A32" s="235" t="s">
        <v>723</v>
      </c>
      <c r="B32" s="235"/>
      <c r="C32" s="235"/>
      <c r="D32" s="235"/>
      <c r="E32" s="235"/>
      <c r="F32" s="235"/>
      <c r="G32" s="241" t="str">
        <f>"claimed by the student for "&amp;yeartext</f>
        <v>claimed by the student for 2009</v>
      </c>
      <c r="H32" s="560"/>
      <c r="I32" s="619">
        <f>I27+I30</f>
        <v>0</v>
      </c>
      <c r="J32" s="244">
        <v>13</v>
      </c>
      <c r="L32" s="1566"/>
    </row>
    <row r="33" spans="1:12" ht="16.5" thickBot="1">
      <c r="A33" s="212"/>
      <c r="B33" s="212"/>
      <c r="C33" s="212"/>
      <c r="D33" s="212"/>
      <c r="E33" s="212"/>
      <c r="F33" s="212"/>
      <c r="G33" s="240"/>
      <c r="H33" s="560"/>
      <c r="I33" s="208"/>
      <c r="J33" s="244"/>
      <c r="L33" s="1566"/>
    </row>
    <row r="34" spans="1:12" ht="33.75" customHeight="1">
      <c r="A34" s="849" t="s">
        <v>1564</v>
      </c>
      <c r="B34" s="751"/>
      <c r="C34" s="751"/>
      <c r="D34" s="751"/>
      <c r="E34" s="751"/>
      <c r="F34" s="751"/>
      <c r="G34" s="850"/>
      <c r="H34" s="851"/>
      <c r="I34" s="751"/>
      <c r="J34" s="852"/>
      <c r="L34" s="1566"/>
    </row>
    <row r="35" spans="1:12" ht="15.75">
      <c r="A35" s="853" t="s">
        <v>2026</v>
      </c>
      <c r="B35" s="211"/>
      <c r="C35" s="211"/>
      <c r="D35" s="211"/>
      <c r="E35" s="211"/>
      <c r="F35" s="211"/>
      <c r="G35" s="223"/>
      <c r="H35" s="562"/>
      <c r="I35" s="427">
        <f>I21</f>
        <v>0</v>
      </c>
      <c r="J35" s="854">
        <v>14</v>
      </c>
      <c r="L35" s="1566"/>
    </row>
    <row r="36" spans="1:12" ht="16.5" thickBot="1">
      <c r="A36" s="855" t="s">
        <v>2027</v>
      </c>
      <c r="B36" s="214"/>
      <c r="C36" s="214"/>
      <c r="D36" s="214"/>
      <c r="E36" s="214"/>
      <c r="F36" s="214"/>
      <c r="G36" s="252"/>
      <c r="H36" s="562"/>
      <c r="I36" s="705">
        <f>I32</f>
        <v>0</v>
      </c>
      <c r="J36" s="854">
        <v>15</v>
      </c>
      <c r="L36" s="1566"/>
    </row>
    <row r="37" spans="1:12" ht="15.75">
      <c r="A37" s="855" t="s">
        <v>411</v>
      </c>
      <c r="B37" s="214"/>
      <c r="C37" s="214"/>
      <c r="D37" s="214"/>
      <c r="E37" s="214"/>
      <c r="F37" s="214"/>
      <c r="G37" s="252" t="s">
        <v>1565</v>
      </c>
      <c r="H37" s="562"/>
      <c r="I37" s="427">
        <f>MAXA(0,I35-I36)</f>
        <v>0</v>
      </c>
      <c r="J37" s="854">
        <v>16</v>
      </c>
      <c r="L37" s="1566"/>
    </row>
    <row r="38" spans="1:12" ht="27.75" customHeight="1">
      <c r="A38" s="856" t="s">
        <v>657</v>
      </c>
      <c r="B38" s="212"/>
      <c r="C38" s="212"/>
      <c r="D38" s="212"/>
      <c r="E38" s="212"/>
      <c r="F38" s="212"/>
      <c r="G38" s="240"/>
      <c r="H38" s="562"/>
      <c r="I38" s="212"/>
      <c r="J38" s="854"/>
      <c r="L38" s="1566"/>
    </row>
    <row r="39" spans="1:12" ht="15.75">
      <c r="A39" s="857" t="s">
        <v>725</v>
      </c>
      <c r="B39" s="212"/>
      <c r="C39" s="212"/>
      <c r="D39" s="212"/>
      <c r="E39" s="212"/>
      <c r="F39" s="212"/>
      <c r="G39" s="240"/>
      <c r="H39" s="562"/>
      <c r="I39" s="212"/>
      <c r="J39" s="854"/>
      <c r="L39" s="1566"/>
    </row>
    <row r="40" spans="1:12" ht="15.75">
      <c r="A40" s="856"/>
      <c r="B40" s="212"/>
      <c r="C40" s="212"/>
      <c r="D40" s="212"/>
      <c r="E40" s="212"/>
      <c r="F40" s="212"/>
      <c r="G40" s="240"/>
      <c r="H40" s="562"/>
      <c r="I40" s="212"/>
      <c r="J40" s="854"/>
      <c r="L40" s="1566"/>
    </row>
    <row r="41" spans="1:12" ht="15.75">
      <c r="A41" s="853" t="s">
        <v>2649</v>
      </c>
      <c r="B41" s="211"/>
      <c r="C41" s="211"/>
      <c r="D41" s="211"/>
      <c r="E41" s="211"/>
      <c r="F41" s="212"/>
      <c r="G41" s="352">
        <f>MINA(I20+0,5000)</f>
        <v>0</v>
      </c>
      <c r="H41" s="847">
        <v>17</v>
      </c>
      <c r="I41" s="212"/>
      <c r="J41" s="854"/>
      <c r="L41" s="1566"/>
    </row>
    <row r="42" spans="1:12" ht="16.5" thickBot="1">
      <c r="A42" s="855" t="s">
        <v>457</v>
      </c>
      <c r="B42" s="214"/>
      <c r="C42" s="214"/>
      <c r="D42" s="214"/>
      <c r="E42" s="214"/>
      <c r="F42" s="212"/>
      <c r="G42" s="691">
        <f>I30</f>
        <v>0</v>
      </c>
      <c r="H42" s="847">
        <v>18</v>
      </c>
      <c r="I42" s="212"/>
      <c r="J42" s="854"/>
      <c r="L42" s="1566"/>
    </row>
    <row r="43" spans="1:12" ht="15.75">
      <c r="A43" s="855" t="s">
        <v>2028</v>
      </c>
      <c r="B43" s="214"/>
      <c r="C43" s="214"/>
      <c r="D43" s="214"/>
      <c r="E43" s="252" t="s">
        <v>1542</v>
      </c>
      <c r="F43" s="212"/>
      <c r="G43" s="750">
        <f>MAX(0,(G41-G42))</f>
        <v>0</v>
      </c>
      <c r="H43" s="847">
        <v>19</v>
      </c>
      <c r="I43" s="212"/>
      <c r="J43" s="854"/>
      <c r="L43" s="1566"/>
    </row>
    <row r="44" spans="1:12" ht="15.75">
      <c r="A44" s="856"/>
      <c r="B44" s="212"/>
      <c r="C44" s="212"/>
      <c r="D44" s="212"/>
      <c r="E44" s="212"/>
      <c r="F44" s="212"/>
      <c r="G44" s="240"/>
      <c r="H44" s="236"/>
      <c r="I44" s="212"/>
      <c r="J44" s="854"/>
      <c r="L44" s="1566"/>
    </row>
    <row r="45" spans="1:12" ht="15.75">
      <c r="A45" s="856" t="s">
        <v>621</v>
      </c>
      <c r="B45" s="212"/>
      <c r="C45" s="212"/>
      <c r="D45" s="212"/>
      <c r="E45" s="212"/>
      <c r="F45" s="212"/>
      <c r="G45" s="240"/>
      <c r="H45" s="236"/>
      <c r="I45" s="212"/>
      <c r="J45" s="854"/>
      <c r="L45" s="1566"/>
    </row>
    <row r="46" spans="1:12" ht="15.75">
      <c r="A46" s="856" t="s">
        <v>1913</v>
      </c>
      <c r="B46" s="212"/>
      <c r="C46" s="212"/>
      <c r="D46" s="212"/>
      <c r="E46" s="212"/>
      <c r="F46" s="212"/>
      <c r="G46" s="240"/>
      <c r="H46" s="236"/>
      <c r="I46" s="212"/>
      <c r="J46" s="854"/>
      <c r="L46" s="1566"/>
    </row>
    <row r="47" spans="1:12" ht="15.75">
      <c r="A47" s="857" t="s">
        <v>242</v>
      </c>
      <c r="B47" s="212"/>
      <c r="C47" s="212"/>
      <c r="D47" s="212"/>
      <c r="E47" s="212"/>
      <c r="F47" s="212"/>
      <c r="G47" s="240"/>
      <c r="H47" s="236"/>
      <c r="I47" s="212"/>
      <c r="J47" s="854"/>
      <c r="L47" s="1566"/>
    </row>
    <row r="48" spans="1:12" ht="15.75">
      <c r="A48" s="856" t="s">
        <v>243</v>
      </c>
      <c r="B48" s="212"/>
      <c r="C48" s="212"/>
      <c r="D48" s="212"/>
      <c r="E48" s="212"/>
      <c r="F48" s="212"/>
      <c r="G48" s="240"/>
      <c r="H48" s="236"/>
      <c r="I48" s="212"/>
      <c r="J48" s="854"/>
      <c r="L48" s="1566"/>
    </row>
    <row r="49" spans="1:12" ht="26.25" customHeight="1" thickBot="1">
      <c r="A49" s="938" t="s">
        <v>2650</v>
      </c>
      <c r="B49" s="212"/>
      <c r="C49" s="212"/>
      <c r="D49" s="212"/>
      <c r="E49" s="212"/>
      <c r="F49" s="212"/>
      <c r="G49" s="240"/>
      <c r="H49" s="236"/>
      <c r="I49" s="212"/>
      <c r="J49" s="854"/>
      <c r="L49" s="1566"/>
    </row>
    <row r="50" spans="1:12" ht="30.75" customHeight="1" thickBot="1">
      <c r="A50" s="853" t="s">
        <v>2630</v>
      </c>
      <c r="B50" s="211"/>
      <c r="C50" s="211"/>
      <c r="D50" s="211"/>
      <c r="E50" s="211"/>
      <c r="F50" s="211"/>
      <c r="G50" s="223" t="s">
        <v>726</v>
      </c>
      <c r="H50" s="848" t="s">
        <v>1469</v>
      </c>
      <c r="I50" s="1364">
        <f>G43</f>
        <v>0</v>
      </c>
      <c r="J50" s="854">
        <v>20</v>
      </c>
      <c r="L50" s="1566"/>
    </row>
    <row r="51" spans="1:12" ht="15.75">
      <c r="A51" s="856"/>
      <c r="B51" s="212"/>
      <c r="C51" s="212"/>
      <c r="D51" s="212"/>
      <c r="E51" s="212"/>
      <c r="F51" s="212"/>
      <c r="G51" s="240"/>
      <c r="H51" s="236"/>
      <c r="I51" s="751"/>
      <c r="J51" s="858"/>
      <c r="L51" s="1566"/>
    </row>
    <row r="52" spans="1:12" ht="15.75">
      <c r="A52" s="853" t="s">
        <v>227</v>
      </c>
      <c r="B52" s="211"/>
      <c r="C52" s="211"/>
      <c r="D52" s="211"/>
      <c r="E52" s="211"/>
      <c r="F52" s="211"/>
      <c r="G52" s="223"/>
      <c r="H52" s="236"/>
      <c r="I52" s="352">
        <f>I37-I50</f>
        <v>0</v>
      </c>
      <c r="J52" s="854">
        <v>21</v>
      </c>
      <c r="L52" s="1566"/>
    </row>
    <row r="53" spans="1:12" ht="24" customHeight="1" thickBot="1">
      <c r="A53" s="859"/>
      <c r="B53" s="860"/>
      <c r="C53" s="861"/>
      <c r="D53" s="860"/>
      <c r="E53" s="860"/>
      <c r="F53" s="860"/>
      <c r="G53" s="862"/>
      <c r="H53" s="1365" t="s">
        <v>1285</v>
      </c>
      <c r="I53" s="860"/>
      <c r="J53" s="863"/>
      <c r="L53" s="1566"/>
    </row>
    <row r="54" spans="1:12" ht="20.25" customHeight="1">
      <c r="A54" s="208" t="str">
        <f>"*   If you resided in another province or territory on December 31, "&amp;lastyeartext&amp;", enter on line 1 the unused federal tuition, education,"</f>
        <v>*   If you resided in another province or territory on December 31, 2008, enter on line 1 the unused federal tuition, education,</v>
      </c>
      <c r="B54" s="207"/>
      <c r="C54" s="207"/>
      <c r="D54" s="207"/>
      <c r="E54" s="207"/>
      <c r="F54" s="207"/>
      <c r="G54" s="614"/>
      <c r="H54" s="614"/>
      <c r="I54" s="614"/>
      <c r="J54" s="614"/>
      <c r="L54" s="1566"/>
    </row>
    <row r="55" spans="1:12" ht="20.25" customHeight="1">
      <c r="A55" s="207" t="str">
        <f>"     and textbook amounts from your "&amp;lastyeartext&amp;" notice of assessment or notice of reassessment."</f>
        <v>     and textbook amounts from your 2008 notice of assessment or notice of reassessment.</v>
      </c>
      <c r="B55" s="207"/>
      <c r="C55" s="207"/>
      <c r="D55" s="207"/>
      <c r="E55" s="207"/>
      <c r="F55" s="207"/>
      <c r="G55" s="207"/>
      <c r="H55" s="207"/>
      <c r="I55" s="207"/>
      <c r="J55" s="207"/>
      <c r="L55" s="1566"/>
    </row>
    <row r="56" ht="15">
      <c r="L56" s="1566"/>
    </row>
  </sheetData>
  <sheetProtection password="EC35" sheet="1" objects="1" scenarios="1"/>
  <mergeCells count="1">
    <mergeCell ref="L1:L56"/>
  </mergeCells>
  <printOptions horizontalCentered="1"/>
  <pageMargins left="0.25" right="0.25" top="0.261811024" bottom="0.261811024" header="0.511811023622047" footer="0.511811023622047"/>
  <pageSetup fitToHeight="0" fitToWidth="1" horizontalDpi="600" verticalDpi="600" orientation="portrait" scale="75" r:id="rId4"/>
  <headerFooter alignWithMargins="0">
    <oddFooter>&amp;L5009-S11</oddFooter>
  </headerFooter>
  <drawing r:id="rId3"/>
  <legacyDrawing r:id="rId2"/>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M93"/>
  <sheetViews>
    <sheetView zoomScalePageLayoutView="0" workbookViewId="0" topLeftCell="A1">
      <selection activeCell="A1" sqref="A1"/>
    </sheetView>
  </sheetViews>
  <sheetFormatPr defaultColWidth="9.77734375" defaultRowHeight="15"/>
  <cols>
    <col min="1" max="1" width="2.99609375" style="579" customWidth="1"/>
    <col min="2" max="2" width="33.77734375" style="579" customWidth="1"/>
    <col min="3" max="3" width="11.77734375" style="579" customWidth="1"/>
    <col min="4" max="4" width="4.77734375" style="579" customWidth="1"/>
    <col min="5" max="5" width="11.77734375" style="579" customWidth="1"/>
    <col min="6" max="6" width="4.77734375" style="579" customWidth="1"/>
    <col min="7" max="7" width="11.77734375" style="579" customWidth="1"/>
    <col min="8" max="8" width="4.77734375" style="579" customWidth="1"/>
    <col min="9" max="9" width="11.77734375" style="579" customWidth="1"/>
    <col min="10" max="10" width="5.3359375" style="579" customWidth="1"/>
    <col min="11" max="11" width="11.77734375" style="579" customWidth="1"/>
    <col min="12" max="12" width="3.77734375" style="579" customWidth="1"/>
    <col min="13" max="16384" width="9.77734375" style="579" customWidth="1"/>
  </cols>
  <sheetData>
    <row r="1" spans="1:13" ht="24.75" customHeight="1">
      <c r="A1" s="616"/>
      <c r="B1" s="135" t="str">
        <f>"T1-"&amp;yeartext</f>
        <v>T1-2009</v>
      </c>
      <c r="C1" s="135"/>
      <c r="D1" s="166"/>
      <c r="E1" s="1185" t="s">
        <v>1020</v>
      </c>
      <c r="F1" s="114"/>
      <c r="G1" s="108"/>
      <c r="H1" s="114"/>
      <c r="I1" s="78"/>
      <c r="J1" s="114"/>
      <c r="K1" s="1185" t="s">
        <v>513</v>
      </c>
      <c r="L1" s="114"/>
      <c r="M1" s="1566" t="s">
        <v>35</v>
      </c>
    </row>
    <row r="2" spans="1:13" ht="45.75" customHeight="1">
      <c r="A2" s="616"/>
      <c r="B2" s="114" t="s">
        <v>1102</v>
      </c>
      <c r="C2" s="78"/>
      <c r="D2" s="114"/>
      <c r="E2" s="108"/>
      <c r="F2" s="114"/>
      <c r="G2" s="108"/>
      <c r="H2" s="114"/>
      <c r="I2" s="78"/>
      <c r="J2" s="114"/>
      <c r="K2" s="108"/>
      <c r="L2" s="114"/>
      <c r="M2" s="1566"/>
    </row>
    <row r="3" spans="1:13" ht="15.75" customHeight="1">
      <c r="A3" s="616"/>
      <c r="B3" s="114" t="s">
        <v>1103</v>
      </c>
      <c r="C3" s="78"/>
      <c r="D3" s="78"/>
      <c r="E3" s="114"/>
      <c r="F3" s="78"/>
      <c r="G3" s="78"/>
      <c r="H3" s="78"/>
      <c r="I3" s="78"/>
      <c r="J3" s="78"/>
      <c r="K3" s="78"/>
      <c r="L3" s="78"/>
      <c r="M3" s="1566"/>
    </row>
    <row r="4" spans="1:13" s="778" customFormat="1" ht="27.75" customHeight="1">
      <c r="A4" s="1234"/>
      <c r="B4" s="1235" t="s">
        <v>1340</v>
      </c>
      <c r="C4" s="1235"/>
      <c r="D4" s="1236"/>
      <c r="E4" s="1237"/>
      <c r="F4" s="1236"/>
      <c r="G4" s="1236"/>
      <c r="H4" s="1236"/>
      <c r="I4" s="1236"/>
      <c r="J4" s="1236"/>
      <c r="K4" s="1236"/>
      <c r="L4" s="1236"/>
      <c r="M4" s="1566"/>
    </row>
    <row r="5" spans="1:13" s="778" customFormat="1" ht="27.75" customHeight="1">
      <c r="A5" s="1234"/>
      <c r="B5" s="1238" t="s">
        <v>276</v>
      </c>
      <c r="C5" s="1238"/>
      <c r="D5" s="1236"/>
      <c r="E5" s="1237"/>
      <c r="F5" s="1236"/>
      <c r="G5" s="1236"/>
      <c r="H5" s="1236"/>
      <c r="I5" s="1236"/>
      <c r="J5" s="1236"/>
      <c r="K5" s="1236"/>
      <c r="L5" s="1236"/>
      <c r="M5" s="1566"/>
    </row>
    <row r="6" spans="1:13" ht="7.5" customHeight="1">
      <c r="A6" s="616"/>
      <c r="B6" s="78"/>
      <c r="C6" s="78"/>
      <c r="D6" s="78"/>
      <c r="E6" s="78"/>
      <c r="F6" s="78"/>
      <c r="G6" s="78"/>
      <c r="H6" s="95"/>
      <c r="I6" s="78"/>
      <c r="J6" s="95"/>
      <c r="K6" s="115"/>
      <c r="L6" s="95"/>
      <c r="M6" s="1566"/>
    </row>
    <row r="7" spans="1:13" ht="15.75">
      <c r="A7" s="616"/>
      <c r="B7" s="75" t="s">
        <v>1957</v>
      </c>
      <c r="C7" s="75"/>
      <c r="D7" s="75"/>
      <c r="E7" s="75"/>
      <c r="F7" s="75"/>
      <c r="G7" s="75"/>
      <c r="H7" s="96"/>
      <c r="I7" s="1375" t="s">
        <v>317</v>
      </c>
      <c r="J7" s="3">
        <v>300</v>
      </c>
      <c r="K7" s="427">
        <f>10320*fract</f>
        <v>10320</v>
      </c>
      <c r="L7" s="106">
        <v>1</v>
      </c>
      <c r="M7" s="1566"/>
    </row>
    <row r="8" spans="1:13" ht="27.75" customHeight="1">
      <c r="A8" s="616"/>
      <c r="B8" s="76" t="str">
        <f>"Age amount (if you were born in "&amp;year65text&amp;" or earlier) (use federal worksheet)"</f>
        <v>Age amount (if you were born in 1944 or earlier) (use federal worksheet)</v>
      </c>
      <c r="C8" s="75"/>
      <c r="D8" s="75"/>
      <c r="E8" s="75"/>
      <c r="F8" s="75"/>
      <c r="G8" s="76"/>
      <c r="H8" s="94"/>
      <c r="I8" s="161" t="s">
        <v>277</v>
      </c>
      <c r="J8" s="3">
        <v>301</v>
      </c>
      <c r="K8" s="367">
        <f>IF(age&gt;64,'FED WRK'!I53,0)</f>
        <v>0</v>
      </c>
      <c r="L8" s="106">
        <v>2</v>
      </c>
      <c r="M8" s="1566"/>
    </row>
    <row r="9" spans="1:13" ht="18">
      <c r="A9" s="616"/>
      <c r="B9" s="82" t="s">
        <v>1105</v>
      </c>
      <c r="C9" s="82"/>
      <c r="D9" s="82"/>
      <c r="E9" s="78"/>
      <c r="F9" s="78"/>
      <c r="G9" s="78"/>
      <c r="H9" s="99"/>
      <c r="I9" s="97"/>
      <c r="J9" s="86"/>
      <c r="K9" s="115"/>
      <c r="L9" s="86"/>
      <c r="M9" s="1566"/>
    </row>
    <row r="10" spans="1:13" ht="15.75">
      <c r="A10" s="616"/>
      <c r="B10" s="1376" t="s">
        <v>278</v>
      </c>
      <c r="C10" s="352">
        <f>'T1 GEN-1'!U30</f>
        <v>0</v>
      </c>
      <c r="D10" s="75"/>
      <c r="E10" s="165" t="s">
        <v>1106</v>
      </c>
      <c r="F10" s="90"/>
      <c r="G10" s="791"/>
      <c r="H10" s="90"/>
      <c r="I10" s="90"/>
      <c r="J10" s="3">
        <v>303</v>
      </c>
      <c r="K10" s="352">
        <f>IF(QUAL!G10,MAX(0,fract*10320-C10),0)</f>
        <v>0</v>
      </c>
      <c r="L10" s="106">
        <v>3</v>
      </c>
      <c r="M10" s="1566"/>
    </row>
    <row r="11" spans="1:13" ht="18">
      <c r="A11" s="616"/>
      <c r="B11" s="82" t="s">
        <v>1459</v>
      </c>
      <c r="C11" s="121"/>
      <c r="D11" s="121"/>
      <c r="E11" s="121"/>
      <c r="F11" s="101"/>
      <c r="G11" s="1183"/>
      <c r="H11" s="101"/>
      <c r="I11" s="101"/>
      <c r="J11" s="106"/>
      <c r="K11" s="86"/>
      <c r="L11" s="86"/>
      <c r="M11" s="1566"/>
    </row>
    <row r="12" spans="1:13" ht="15.75">
      <c r="A12" s="616"/>
      <c r="B12" s="75"/>
      <c r="C12" s="75"/>
      <c r="D12" s="75"/>
      <c r="E12" s="75"/>
      <c r="F12" s="1377" t="s">
        <v>279</v>
      </c>
      <c r="G12" s="352">
        <f>Sch5!E16</f>
        <v>0</v>
      </c>
      <c r="H12" s="101"/>
      <c r="I12" s="1184" t="s">
        <v>1460</v>
      </c>
      <c r="J12" s="3">
        <v>305</v>
      </c>
      <c r="K12" s="367">
        <f>IF(QUAL!G13,MAX(0,(fract*10320-G12)),0)</f>
        <v>0</v>
      </c>
      <c r="L12" s="106">
        <v>4</v>
      </c>
      <c r="M12" s="1566"/>
    </row>
    <row r="13" spans="1:13" ht="15.75">
      <c r="A13" s="616"/>
      <c r="B13" s="75" t="str">
        <f>"Amount for children born in "&amp;year17text&amp;" or later"</f>
        <v>Amount for children born in 1992 or later</v>
      </c>
      <c r="C13" s="75"/>
      <c r="D13" s="75"/>
      <c r="E13" s="90" t="s">
        <v>1011</v>
      </c>
      <c r="F13" s="3">
        <v>366</v>
      </c>
      <c r="G13" s="1338">
        <f>numchildren17andless</f>
        <v>0</v>
      </c>
      <c r="H13" s="90"/>
      <c r="I13" s="1245" t="s">
        <v>280</v>
      </c>
      <c r="J13" s="3">
        <v>367</v>
      </c>
      <c r="K13" s="352">
        <f>2089*G13</f>
        <v>0</v>
      </c>
      <c r="L13" s="106">
        <v>5</v>
      </c>
      <c r="M13" s="1566"/>
    </row>
    <row r="14" spans="1:13" ht="18">
      <c r="A14" s="616"/>
      <c r="B14" s="121"/>
      <c r="C14" s="121"/>
      <c r="D14" s="121"/>
      <c r="E14" s="121"/>
      <c r="F14" s="1246"/>
      <c r="G14" s="1183"/>
      <c r="H14" s="101"/>
      <c r="I14" s="1184"/>
      <c r="J14" s="86"/>
      <c r="K14" s="1244"/>
      <c r="L14" s="106"/>
      <c r="M14" s="1566"/>
    </row>
    <row r="15" spans="1:13" ht="18">
      <c r="A15" s="616"/>
      <c r="B15" s="75" t="s">
        <v>1107</v>
      </c>
      <c r="C15" s="75"/>
      <c r="D15" s="75"/>
      <c r="E15" s="75"/>
      <c r="F15" s="75"/>
      <c r="G15" s="75"/>
      <c r="H15" s="96"/>
      <c r="I15" s="86"/>
      <c r="J15" s="3">
        <v>306</v>
      </c>
      <c r="K15" s="367">
        <f>IF(QUAL!G16,'FED WRK'!I65,0)</f>
        <v>0</v>
      </c>
      <c r="L15" s="106">
        <v>6</v>
      </c>
      <c r="M15" s="1566"/>
    </row>
    <row r="16" spans="1:13" ht="18">
      <c r="A16" s="616"/>
      <c r="B16" s="82" t="s">
        <v>1620</v>
      </c>
      <c r="C16" s="121"/>
      <c r="D16" s="78"/>
      <c r="E16" s="78"/>
      <c r="F16" s="78"/>
      <c r="G16" s="82"/>
      <c r="H16" s="106"/>
      <c r="I16" s="119"/>
      <c r="J16" s="86"/>
      <c r="K16" s="86"/>
      <c r="L16" s="86"/>
      <c r="M16" s="1566"/>
    </row>
    <row r="17" spans="1:13" ht="15.75">
      <c r="A17" s="616"/>
      <c r="B17" s="75" t="s">
        <v>1048</v>
      </c>
      <c r="C17" s="75"/>
      <c r="D17" s="75"/>
      <c r="E17" s="75"/>
      <c r="F17" s="75"/>
      <c r="G17" s="791"/>
      <c r="H17" s="791"/>
      <c r="I17" s="791" t="s">
        <v>281</v>
      </c>
      <c r="J17" s="3">
        <v>308</v>
      </c>
      <c r="K17" s="625">
        <f>'T2204'!N29</f>
        <v>0</v>
      </c>
      <c r="L17" s="1089" t="s">
        <v>1108</v>
      </c>
      <c r="M17" s="1566"/>
    </row>
    <row r="18" spans="1:13" ht="15.75">
      <c r="A18" s="616"/>
      <c r="B18" s="76" t="s">
        <v>2101</v>
      </c>
      <c r="C18" s="76"/>
      <c r="D18" s="76"/>
      <c r="E18" s="76"/>
      <c r="F18" s="76"/>
      <c r="G18" s="790"/>
      <c r="H18" s="790"/>
      <c r="I18" s="78"/>
      <c r="J18" s="3">
        <v>310</v>
      </c>
      <c r="K18" s="367">
        <f>Sch8!I28</f>
        <v>0</v>
      </c>
      <c r="L18" s="1089" t="s">
        <v>1109</v>
      </c>
      <c r="M18" s="1566"/>
    </row>
    <row r="19" spans="1:13" ht="15.75">
      <c r="A19" s="616"/>
      <c r="B19" s="76" t="s">
        <v>548</v>
      </c>
      <c r="C19" s="75"/>
      <c r="D19" s="75"/>
      <c r="E19" s="75"/>
      <c r="F19" s="75"/>
      <c r="G19" s="790"/>
      <c r="H19" s="790"/>
      <c r="I19" s="790" t="s">
        <v>282</v>
      </c>
      <c r="J19" s="3">
        <v>312</v>
      </c>
      <c r="K19" s="367">
        <f>MIN(731.79,MISC!L56)</f>
        <v>0</v>
      </c>
      <c r="L19" s="1089" t="s">
        <v>1110</v>
      </c>
      <c r="M19" s="1566"/>
    </row>
    <row r="20" spans="1:13" ht="15.75">
      <c r="A20" s="616"/>
      <c r="B20" s="82" t="s">
        <v>1120</v>
      </c>
      <c r="C20" s="82"/>
      <c r="D20" s="82"/>
      <c r="E20" s="82"/>
      <c r="F20" s="82"/>
      <c r="G20" s="1247"/>
      <c r="H20" s="1247"/>
      <c r="I20" s="1247"/>
      <c r="J20" s="3"/>
      <c r="K20" s="1378"/>
      <c r="L20" s="1089"/>
      <c r="M20" s="1566"/>
    </row>
    <row r="21" spans="1:13" ht="15.75">
      <c r="A21" s="616"/>
      <c r="B21" s="75" t="s">
        <v>1967</v>
      </c>
      <c r="C21" s="75"/>
      <c r="D21" s="75"/>
      <c r="E21" s="75"/>
      <c r="F21" s="75"/>
      <c r="G21" s="791"/>
      <c r="H21" s="791"/>
      <c r="I21" s="791" t="s">
        <v>283</v>
      </c>
      <c r="J21" s="3">
        <v>363</v>
      </c>
      <c r="K21" s="352">
        <f>MIN(1044,'T1 GEN-2-3-4'!I13+'T1 GEN-2-3-4'!I15)</f>
        <v>0</v>
      </c>
      <c r="L21" s="106">
        <v>10</v>
      </c>
      <c r="M21" s="1566"/>
    </row>
    <row r="22" spans="1:13" ht="15.75">
      <c r="A22" s="616"/>
      <c r="B22" s="76" t="s">
        <v>1121</v>
      </c>
      <c r="C22" s="75"/>
      <c r="D22" s="75"/>
      <c r="E22" s="75"/>
      <c r="F22" s="75"/>
      <c r="G22" s="790"/>
      <c r="H22" s="790"/>
      <c r="I22" s="790"/>
      <c r="J22" s="3">
        <v>364</v>
      </c>
      <c r="K22" s="367">
        <f>MISC!L58</f>
        <v>0</v>
      </c>
      <c r="L22" s="106">
        <v>11</v>
      </c>
      <c r="M22" s="1566"/>
    </row>
    <row r="23" spans="1:13" ht="15.75">
      <c r="A23" s="616"/>
      <c r="B23" s="76" t="s">
        <v>1111</v>
      </c>
      <c r="C23" s="75"/>
      <c r="D23" s="75"/>
      <c r="E23" s="75"/>
      <c r="F23" s="75"/>
      <c r="G23" s="790"/>
      <c r="H23" s="790"/>
      <c r="I23" s="790"/>
      <c r="J23" s="3">
        <v>365</v>
      </c>
      <c r="K23" s="93"/>
      <c r="L23" s="106">
        <v>12</v>
      </c>
      <c r="M23" s="1566"/>
    </row>
    <row r="24" spans="1:13" ht="15.75">
      <c r="A24" s="616"/>
      <c r="B24" s="76" t="s">
        <v>305</v>
      </c>
      <c r="C24" s="75"/>
      <c r="D24" s="75"/>
      <c r="E24" s="75"/>
      <c r="F24" s="75"/>
      <c r="G24" s="790"/>
      <c r="H24" s="790"/>
      <c r="I24" s="790"/>
      <c r="J24" s="3">
        <v>368</v>
      </c>
      <c r="K24" s="367">
        <f>Sch12!H38</f>
        <v>0</v>
      </c>
      <c r="L24" s="106">
        <v>13</v>
      </c>
      <c r="M24" s="1566"/>
    </row>
    <row r="25" spans="1:13" ht="15.75">
      <c r="A25" s="616"/>
      <c r="B25" s="76" t="s">
        <v>306</v>
      </c>
      <c r="C25" s="75"/>
      <c r="D25" s="75"/>
      <c r="E25" s="75"/>
      <c r="F25" s="75"/>
      <c r="G25" s="790"/>
      <c r="H25" s="790"/>
      <c r="I25" s="790"/>
      <c r="J25" s="3">
        <v>369</v>
      </c>
      <c r="K25" s="93"/>
      <c r="L25" s="106">
        <v>14</v>
      </c>
      <c r="M25" s="1566"/>
    </row>
    <row r="26" spans="1:13" ht="15.75">
      <c r="A26" s="616"/>
      <c r="B26" s="76" t="s">
        <v>1490</v>
      </c>
      <c r="C26" s="75"/>
      <c r="D26" s="75"/>
      <c r="E26" s="75"/>
      <c r="F26" s="75"/>
      <c r="G26" s="790"/>
      <c r="H26" s="790"/>
      <c r="I26" s="424"/>
      <c r="J26" s="3">
        <v>313</v>
      </c>
      <c r="K26" s="93"/>
      <c r="L26" s="106">
        <v>15</v>
      </c>
      <c r="M26" s="1566"/>
    </row>
    <row r="27" spans="1:13" ht="15.75">
      <c r="A27" s="616"/>
      <c r="B27" s="76" t="s">
        <v>1116</v>
      </c>
      <c r="C27" s="75"/>
      <c r="D27" s="75"/>
      <c r="E27" s="75"/>
      <c r="F27" s="75"/>
      <c r="G27" s="790"/>
      <c r="H27" s="790"/>
      <c r="I27" s="424" t="s">
        <v>1882</v>
      </c>
      <c r="J27" s="3">
        <v>314</v>
      </c>
      <c r="K27" s="1355">
        <f>MAX('T1032E'!N138,MIN(2000,'T1032E'!N69))</f>
        <v>0</v>
      </c>
      <c r="L27" s="106">
        <v>16</v>
      </c>
      <c r="M27" s="1566"/>
    </row>
    <row r="28" spans="1:13" ht="15.75">
      <c r="A28" s="616"/>
      <c r="B28" s="76" t="s">
        <v>1119</v>
      </c>
      <c r="C28" s="75"/>
      <c r="D28" s="75"/>
      <c r="E28" s="75"/>
      <c r="F28" s="75"/>
      <c r="G28" s="790"/>
      <c r="H28" s="790"/>
      <c r="I28" s="76"/>
      <c r="J28" s="3">
        <v>315</v>
      </c>
      <c r="K28" s="367">
        <f>IF(QUAL!G19,'FED WRK'!I97,0)</f>
        <v>0</v>
      </c>
      <c r="L28" s="106">
        <v>17</v>
      </c>
      <c r="M28" s="1566"/>
    </row>
    <row r="29" spans="1:13" ht="15.75">
      <c r="A29" s="616"/>
      <c r="B29" s="76" t="s">
        <v>302</v>
      </c>
      <c r="C29" s="75"/>
      <c r="D29" s="75"/>
      <c r="E29" s="75"/>
      <c r="F29" s="75"/>
      <c r="G29" s="790"/>
      <c r="H29" s="790"/>
      <c r="I29" s="76"/>
      <c r="J29" s="66">
        <v>316</v>
      </c>
      <c r="K29" s="367">
        <f>IF(QUAL!G22,'FED WRK'!I111,0)</f>
        <v>0</v>
      </c>
      <c r="L29" s="106">
        <v>18</v>
      </c>
      <c r="M29" s="1566"/>
    </row>
    <row r="30" spans="1:13" ht="18">
      <c r="A30" s="616"/>
      <c r="B30" s="82"/>
      <c r="C30" s="121"/>
      <c r="D30" s="121"/>
      <c r="E30" s="121"/>
      <c r="F30" s="121"/>
      <c r="G30" s="1247"/>
      <c r="H30" s="1247"/>
      <c r="I30" s="82"/>
      <c r="J30" s="86"/>
      <c r="K30" s="82"/>
      <c r="L30" s="106"/>
      <c r="M30" s="1566"/>
    </row>
    <row r="31" spans="1:13" ht="15.75">
      <c r="A31" s="616"/>
      <c r="B31" s="75" t="s">
        <v>1115</v>
      </c>
      <c r="C31" s="75"/>
      <c r="D31" s="75"/>
      <c r="E31" s="75"/>
      <c r="F31" s="75"/>
      <c r="G31" s="791"/>
      <c r="H31" s="791"/>
      <c r="I31" s="75"/>
      <c r="J31" s="3">
        <v>318</v>
      </c>
      <c r="K31" s="352">
        <f>IF(QUAL!G25,'FED WRK'!I128,0)</f>
        <v>0</v>
      </c>
      <c r="L31" s="106">
        <v>19</v>
      </c>
      <c r="M31" s="1566"/>
    </row>
    <row r="32" spans="1:13" ht="15.75">
      <c r="A32" s="616"/>
      <c r="B32" s="76" t="s">
        <v>1548</v>
      </c>
      <c r="C32" s="75"/>
      <c r="D32" s="75"/>
      <c r="E32" s="75"/>
      <c r="F32" s="75"/>
      <c r="G32" s="790"/>
      <c r="H32" s="790"/>
      <c r="I32" s="76"/>
      <c r="J32" s="3">
        <v>319</v>
      </c>
      <c r="K32" s="93"/>
      <c r="L32" s="106">
        <v>20</v>
      </c>
      <c r="M32" s="1566"/>
    </row>
    <row r="33" spans="1:13" ht="15.75">
      <c r="A33" s="616"/>
      <c r="B33" s="76" t="s">
        <v>1118</v>
      </c>
      <c r="C33" s="75"/>
      <c r="D33" s="75"/>
      <c r="E33" s="75"/>
      <c r="F33" s="75"/>
      <c r="G33" s="790"/>
      <c r="H33" s="790"/>
      <c r="I33" s="76"/>
      <c r="J33" s="3">
        <v>323</v>
      </c>
      <c r="K33" s="367">
        <f>Sch11!K39</f>
        <v>0</v>
      </c>
      <c r="L33" s="106">
        <v>21</v>
      </c>
      <c r="M33" s="1566"/>
    </row>
    <row r="34" spans="1:13" ht="15.75">
      <c r="A34" s="616"/>
      <c r="B34" s="76" t="s">
        <v>1117</v>
      </c>
      <c r="C34" s="75"/>
      <c r="D34" s="75"/>
      <c r="E34" s="75"/>
      <c r="F34" s="75"/>
      <c r="G34" s="790"/>
      <c r="H34" s="790"/>
      <c r="I34" s="76"/>
      <c r="J34" s="3">
        <v>324</v>
      </c>
      <c r="K34" s="93"/>
      <c r="L34" s="106">
        <v>22</v>
      </c>
      <c r="M34" s="1566"/>
    </row>
    <row r="35" spans="1:13" ht="15.75">
      <c r="A35" s="616"/>
      <c r="B35" s="1680" t="s">
        <v>2088</v>
      </c>
      <c r="C35" s="1680"/>
      <c r="D35" s="1681"/>
      <c r="E35" s="1681"/>
      <c r="F35" s="1681"/>
      <c r="G35" s="1681"/>
      <c r="H35" s="790"/>
      <c r="I35" s="76"/>
      <c r="J35" s="66">
        <v>326</v>
      </c>
      <c r="K35" s="367">
        <f>Sch2!J30</f>
        <v>0</v>
      </c>
      <c r="L35" s="106">
        <v>23</v>
      </c>
      <c r="M35" s="1566"/>
    </row>
    <row r="36" spans="1:13" ht="18">
      <c r="A36" s="616"/>
      <c r="B36" s="82" t="s">
        <v>653</v>
      </c>
      <c r="C36" s="121"/>
      <c r="D36" s="78"/>
      <c r="E36" s="78"/>
      <c r="F36" s="78"/>
      <c r="G36" s="78"/>
      <c r="H36" s="106"/>
      <c r="I36" s="86"/>
      <c r="J36" s="86"/>
      <c r="K36" s="86"/>
      <c r="L36" s="86"/>
      <c r="M36" s="1566"/>
    </row>
    <row r="37" spans="1:13" ht="18">
      <c r="A37" s="616"/>
      <c r="B37" s="96" t="str">
        <f>"dependent children born in "&amp;year17text&amp;" or later"</f>
        <v>dependent children born in 1992 or later</v>
      </c>
      <c r="C37" s="75"/>
      <c r="D37" s="75"/>
      <c r="E37" s="75"/>
      <c r="F37" s="75"/>
      <c r="G37" s="107"/>
      <c r="H37" s="3">
        <v>330</v>
      </c>
      <c r="I37" s="352">
        <f>MISC!L57</f>
        <v>0</v>
      </c>
      <c r="J37" s="106"/>
      <c r="K37" s="86"/>
      <c r="L37" s="86"/>
      <c r="M37" s="1566"/>
    </row>
    <row r="38" spans="1:13" ht="18.75" thickBot="1">
      <c r="A38" s="616"/>
      <c r="B38" s="76" t="s">
        <v>303</v>
      </c>
      <c r="C38" s="75"/>
      <c r="D38" s="75"/>
      <c r="E38" s="75"/>
      <c r="F38" s="75"/>
      <c r="G38" s="107"/>
      <c r="H38" s="78"/>
      <c r="I38" s="688">
        <f>MINA(0.03*'T1 GEN-2-3-4'!K90,2011)</f>
        <v>0</v>
      </c>
      <c r="J38" s="106"/>
      <c r="K38" s="86"/>
      <c r="L38" s="86"/>
      <c r="M38" s="1566"/>
    </row>
    <row r="39" spans="1:13" ht="18">
      <c r="A39" s="616"/>
      <c r="B39" s="76"/>
      <c r="C39" s="75"/>
      <c r="D39" s="75"/>
      <c r="E39" s="75"/>
      <c r="F39" s="75"/>
      <c r="G39" s="90" t="s">
        <v>874</v>
      </c>
      <c r="H39" s="78"/>
      <c r="I39" s="352">
        <f>MAX(0,I37-I38)</f>
        <v>0</v>
      </c>
      <c r="J39" s="156" t="s">
        <v>2089</v>
      </c>
      <c r="K39" s="86"/>
      <c r="L39" s="86"/>
      <c r="M39" s="1566"/>
    </row>
    <row r="40" spans="1:13" ht="30" customHeight="1" thickBot="1">
      <c r="A40" s="616"/>
      <c r="B40" s="1673" t="s">
        <v>1381</v>
      </c>
      <c r="C40" s="1673"/>
      <c r="D40" s="1682"/>
      <c r="E40" s="1682"/>
      <c r="F40" s="75"/>
      <c r="G40" s="107"/>
      <c r="H40" s="3">
        <v>331</v>
      </c>
      <c r="I40" s="690"/>
      <c r="J40" s="156" t="s">
        <v>2090</v>
      </c>
      <c r="K40" s="86"/>
      <c r="L40" s="86"/>
      <c r="M40" s="1566"/>
    </row>
    <row r="41" spans="1:13" ht="16.5" thickBot="1">
      <c r="A41" s="616"/>
      <c r="B41" s="76"/>
      <c r="C41" s="75"/>
      <c r="D41" s="75"/>
      <c r="E41" s="75"/>
      <c r="F41" s="75"/>
      <c r="G41" s="90" t="s">
        <v>2099</v>
      </c>
      <c r="H41" s="78"/>
      <c r="I41" s="352">
        <f>I39+I40</f>
        <v>0</v>
      </c>
      <c r="J41" s="3">
        <v>332</v>
      </c>
      <c r="K41" s="691">
        <f>I41</f>
        <v>0</v>
      </c>
      <c r="L41" s="106">
        <v>24</v>
      </c>
      <c r="M41" s="1566"/>
    </row>
    <row r="42" spans="1:13" ht="18" customHeight="1">
      <c r="A42" s="616"/>
      <c r="B42" s="76"/>
      <c r="C42" s="75"/>
      <c r="D42" s="75"/>
      <c r="E42" s="75"/>
      <c r="F42" s="75"/>
      <c r="G42" s="107"/>
      <c r="H42" s="75"/>
      <c r="I42" s="90" t="s">
        <v>293</v>
      </c>
      <c r="J42" s="66">
        <v>335</v>
      </c>
      <c r="K42" s="352">
        <f>SUM(K7:K41)</f>
        <v>10320</v>
      </c>
      <c r="L42" s="106">
        <v>25</v>
      </c>
      <c r="M42" s="1566"/>
    </row>
    <row r="43" spans="1:13" ht="24.75" customHeight="1">
      <c r="A43" s="616"/>
      <c r="B43" s="82"/>
      <c r="C43" s="121"/>
      <c r="D43" s="121"/>
      <c r="E43" s="121"/>
      <c r="F43" s="121"/>
      <c r="G43" s="101"/>
      <c r="H43" s="86"/>
      <c r="I43" s="86"/>
      <c r="J43" s="106"/>
      <c r="K43" s="86"/>
      <c r="L43" s="86"/>
      <c r="M43" s="1566"/>
    </row>
    <row r="44" spans="1:13" ht="18" customHeight="1">
      <c r="A44" s="616"/>
      <c r="B44" s="75"/>
      <c r="C44" s="75"/>
      <c r="D44" s="75"/>
      <c r="E44" s="75"/>
      <c r="F44" s="75"/>
      <c r="G44" s="107"/>
      <c r="H44" s="100"/>
      <c r="I44" s="1379" t="s">
        <v>304</v>
      </c>
      <c r="J44" s="3">
        <v>338</v>
      </c>
      <c r="K44" s="352">
        <f>0.15*K42</f>
        <v>1548</v>
      </c>
      <c r="L44" s="106">
        <v>26</v>
      </c>
      <c r="M44" s="1566"/>
    </row>
    <row r="45" spans="1:13" ht="18">
      <c r="A45" s="616"/>
      <c r="B45" s="76" t="s">
        <v>2100</v>
      </c>
      <c r="C45" s="75"/>
      <c r="D45" s="75"/>
      <c r="E45" s="75"/>
      <c r="F45" s="75"/>
      <c r="G45" s="107"/>
      <c r="H45" s="172"/>
      <c r="I45" s="89"/>
      <c r="J45" s="3">
        <v>349</v>
      </c>
      <c r="K45" s="367">
        <f>Sch9!I28</f>
        <v>0</v>
      </c>
      <c r="L45" s="155">
        <v>27</v>
      </c>
      <c r="M45" s="1566"/>
    </row>
    <row r="46" spans="1:13" ht="26.25" customHeight="1">
      <c r="A46" s="616"/>
      <c r="B46" s="76"/>
      <c r="C46" s="76"/>
      <c r="D46" s="76"/>
      <c r="E46" s="76"/>
      <c r="F46" s="76"/>
      <c r="G46" s="76"/>
      <c r="H46" s="172"/>
      <c r="I46" s="163" t="s">
        <v>294</v>
      </c>
      <c r="J46" s="3">
        <v>350</v>
      </c>
      <c r="K46" s="619">
        <f>K44+K45</f>
        <v>1548</v>
      </c>
      <c r="L46" s="155">
        <v>28</v>
      </c>
      <c r="M46" s="1566"/>
    </row>
    <row r="47" spans="1:13" ht="24" customHeight="1">
      <c r="A47" s="616"/>
      <c r="B47" s="78"/>
      <c r="C47" s="78"/>
      <c r="D47" s="78"/>
      <c r="E47" s="78"/>
      <c r="F47" s="78"/>
      <c r="G47" s="78"/>
      <c r="H47" s="86"/>
      <c r="I47" s="86"/>
      <c r="J47" s="86"/>
      <c r="K47" s="88" t="s">
        <v>1968</v>
      </c>
      <c r="L47" s="106"/>
      <c r="M47" s="1566"/>
    </row>
    <row r="48" spans="1:13" ht="18">
      <c r="A48" s="616"/>
      <c r="B48" s="78"/>
      <c r="C48" s="78"/>
      <c r="D48" s="78"/>
      <c r="E48" s="78"/>
      <c r="F48" s="78"/>
      <c r="G48" s="78"/>
      <c r="H48" s="86"/>
      <c r="I48" s="86"/>
      <c r="J48" s="86"/>
      <c r="K48" s="86"/>
      <c r="L48" s="115"/>
      <c r="M48" s="1566"/>
    </row>
    <row r="49" spans="1:13" ht="20.25">
      <c r="A49" s="616"/>
      <c r="B49" s="1159" t="s">
        <v>1104</v>
      </c>
      <c r="C49" s="1159"/>
      <c r="D49" s="78"/>
      <c r="E49" s="78"/>
      <c r="F49" s="78"/>
      <c r="G49" s="78"/>
      <c r="H49" s="95"/>
      <c r="I49" s="78"/>
      <c r="J49" s="95"/>
      <c r="K49" s="115"/>
      <c r="L49" s="95"/>
      <c r="M49" s="1566"/>
    </row>
    <row r="50" spans="1:13" ht="20.25">
      <c r="A50" s="616"/>
      <c r="B50" s="1159"/>
      <c r="C50" s="1159"/>
      <c r="D50" s="78"/>
      <c r="E50" s="78"/>
      <c r="F50" s="78"/>
      <c r="G50" s="78"/>
      <c r="H50" s="95"/>
      <c r="I50" s="78"/>
      <c r="J50" s="95"/>
      <c r="K50" s="115"/>
      <c r="L50" s="95"/>
      <c r="M50" s="1566"/>
    </row>
    <row r="51" spans="1:13" ht="15.75">
      <c r="A51" s="616"/>
      <c r="B51" s="164" t="s">
        <v>1518</v>
      </c>
      <c r="C51" s="164"/>
      <c r="D51" s="164"/>
      <c r="E51" s="164"/>
      <c r="F51" s="164"/>
      <c r="G51" s="164"/>
      <c r="H51" s="78"/>
      <c r="I51" s="352">
        <f>'T1 GEN-2-3-4'!K104</f>
        <v>0</v>
      </c>
      <c r="J51" s="155">
        <v>29</v>
      </c>
      <c r="K51" s="78"/>
      <c r="L51" s="95"/>
      <c r="M51" s="1566"/>
    </row>
    <row r="52" spans="1:13" ht="25.5" customHeight="1">
      <c r="A52" s="616"/>
      <c r="B52" s="121"/>
      <c r="C52" s="121"/>
      <c r="D52" s="121"/>
      <c r="E52" s="121"/>
      <c r="F52" s="121"/>
      <c r="G52" s="1249" t="s">
        <v>308</v>
      </c>
      <c r="H52" s="99"/>
      <c r="I52" s="1249" t="s">
        <v>308</v>
      </c>
      <c r="J52" s="99"/>
      <c r="K52" s="121"/>
      <c r="L52" s="95"/>
      <c r="M52" s="1566"/>
    </row>
    <row r="53" spans="1:13" ht="15.75">
      <c r="A53" s="616"/>
      <c r="B53" s="121" t="s">
        <v>287</v>
      </c>
      <c r="C53" s="99"/>
      <c r="D53" s="121"/>
      <c r="E53" s="167"/>
      <c r="F53" s="167"/>
      <c r="G53" s="1249" t="s">
        <v>311</v>
      </c>
      <c r="H53" s="171"/>
      <c r="I53" s="1249" t="s">
        <v>313</v>
      </c>
      <c r="J53" s="171"/>
      <c r="K53" s="167"/>
      <c r="L53" s="95"/>
      <c r="M53" s="1566"/>
    </row>
    <row r="54" spans="1:13" ht="15.75">
      <c r="A54" s="616"/>
      <c r="B54" s="121" t="s">
        <v>678</v>
      </c>
      <c r="C54" s="121"/>
      <c r="D54" s="121"/>
      <c r="E54" s="1249" t="s">
        <v>307</v>
      </c>
      <c r="F54" s="121"/>
      <c r="G54" s="1249" t="s">
        <v>677</v>
      </c>
      <c r="H54" s="171"/>
      <c r="I54" s="1249" t="s">
        <v>677</v>
      </c>
      <c r="J54" s="171"/>
      <c r="K54" s="1249" t="s">
        <v>308</v>
      </c>
      <c r="L54" s="95"/>
      <c r="M54" s="1566"/>
    </row>
    <row r="55" spans="1:13" ht="15">
      <c r="A55" s="616"/>
      <c r="B55" s="121" t="s">
        <v>679</v>
      </c>
      <c r="C55" s="121"/>
      <c r="D55" s="121"/>
      <c r="E55" s="1251" t="s">
        <v>310</v>
      </c>
      <c r="F55" s="121"/>
      <c r="G55" s="1250" t="s">
        <v>312</v>
      </c>
      <c r="H55" s="121"/>
      <c r="I55" s="1250" t="s">
        <v>314</v>
      </c>
      <c r="J55" s="121"/>
      <c r="K55" s="1250" t="s">
        <v>315</v>
      </c>
      <c r="L55" s="1252"/>
      <c r="M55" s="1566"/>
    </row>
    <row r="56" spans="1:13" ht="15">
      <c r="A56" s="616"/>
      <c r="B56" s="589" t="s">
        <v>288</v>
      </c>
      <c r="C56" s="589"/>
      <c r="D56" s="121"/>
      <c r="E56" s="352">
        <f>IF(NOT(I51&gt;G57),I51,0)</f>
        <v>0</v>
      </c>
      <c r="F56" s="168"/>
      <c r="G56" s="352">
        <f>IF($I$51&gt;G57,IF(NOT($I$51&gt;I57),$I$51,0),0)</f>
        <v>0</v>
      </c>
      <c r="H56" s="168"/>
      <c r="I56" s="352">
        <f>IF($I$51&gt;I57,IF(NOT($I$51&gt;K57),$I$51,0),0)</f>
        <v>0</v>
      </c>
      <c r="J56" s="168"/>
      <c r="K56" s="352">
        <f>IF(I51&gt;K57,I51,0)</f>
        <v>0</v>
      </c>
      <c r="L56" s="1252" t="s">
        <v>716</v>
      </c>
      <c r="M56" s="1566"/>
    </row>
    <row r="57" spans="1:13" ht="15.75" thickBot="1">
      <c r="A57" s="616"/>
      <c r="B57" s="586" t="s">
        <v>1523</v>
      </c>
      <c r="C57" s="589"/>
      <c r="D57" s="121"/>
      <c r="E57" s="688">
        <v>0</v>
      </c>
      <c r="F57" s="622"/>
      <c r="G57" s="688">
        <v>40726</v>
      </c>
      <c r="H57" s="622"/>
      <c r="I57" s="688">
        <v>81452</v>
      </c>
      <c r="J57" s="622"/>
      <c r="K57" s="688">
        <v>126264</v>
      </c>
      <c r="L57" s="1252" t="s">
        <v>717</v>
      </c>
      <c r="M57" s="1566"/>
    </row>
    <row r="58" spans="1:13" ht="15">
      <c r="A58" s="616"/>
      <c r="B58" s="606" t="s">
        <v>289</v>
      </c>
      <c r="C58" s="1248"/>
      <c r="D58" s="121"/>
      <c r="E58" s="352">
        <f>MAXA(0,E56-E57)</f>
        <v>0</v>
      </c>
      <c r="F58" s="168"/>
      <c r="G58" s="367">
        <f>MAXA(0,G56-G57)</f>
        <v>0</v>
      </c>
      <c r="H58" s="168"/>
      <c r="I58" s="367">
        <f>MAXA(0,I56-I57)</f>
        <v>0</v>
      </c>
      <c r="J58" s="168"/>
      <c r="K58" s="367">
        <f>MAXA(0,K56-K57)</f>
        <v>0</v>
      </c>
      <c r="L58" s="1252" t="s">
        <v>718</v>
      </c>
      <c r="M58" s="1566"/>
    </row>
    <row r="59" spans="1:13" ht="15.75" thickBot="1">
      <c r="A59" s="616"/>
      <c r="B59" s="586" t="s">
        <v>1809</v>
      </c>
      <c r="C59" s="589"/>
      <c r="D59" s="121"/>
      <c r="E59" s="1380">
        <v>0.15</v>
      </c>
      <c r="F59" s="168"/>
      <c r="G59" s="689">
        <v>0.22</v>
      </c>
      <c r="H59" s="168"/>
      <c r="I59" s="689">
        <v>0.26</v>
      </c>
      <c r="J59" s="168"/>
      <c r="K59" s="689">
        <v>0.29</v>
      </c>
      <c r="L59" s="1252" t="s">
        <v>2010</v>
      </c>
      <c r="M59" s="1566"/>
    </row>
    <row r="60" spans="1:13" ht="15">
      <c r="A60" s="616"/>
      <c r="B60" s="623" t="s">
        <v>290</v>
      </c>
      <c r="C60" s="1248"/>
      <c r="D60" s="121"/>
      <c r="E60" s="352">
        <f>E58*E59</f>
        <v>0</v>
      </c>
      <c r="F60" s="168"/>
      <c r="G60" s="367">
        <f>G58*G59</f>
        <v>0</v>
      </c>
      <c r="H60" s="168"/>
      <c r="I60" s="367">
        <f>I58*I59</f>
        <v>0</v>
      </c>
      <c r="J60" s="168"/>
      <c r="K60" s="367">
        <f>K58*K59</f>
        <v>0</v>
      </c>
      <c r="L60" s="1252" t="s">
        <v>2011</v>
      </c>
      <c r="M60" s="1566"/>
    </row>
    <row r="61" spans="1:13" ht="15.75" thickBot="1">
      <c r="A61" s="616"/>
      <c r="B61" s="586" t="s">
        <v>1376</v>
      </c>
      <c r="C61" s="589"/>
      <c r="D61" s="121"/>
      <c r="E61" s="688">
        <v>0</v>
      </c>
      <c r="F61" s="168"/>
      <c r="G61" s="1381">
        <v>6109</v>
      </c>
      <c r="H61" s="168"/>
      <c r="I61" s="1381">
        <v>15069</v>
      </c>
      <c r="J61" s="168"/>
      <c r="K61" s="1381">
        <v>26720</v>
      </c>
      <c r="L61" s="1252" t="s">
        <v>711</v>
      </c>
      <c r="M61" s="1566"/>
    </row>
    <row r="62" spans="1:13" ht="29.25" customHeight="1">
      <c r="A62" s="616"/>
      <c r="B62" s="624"/>
      <c r="C62" s="624" t="s">
        <v>309</v>
      </c>
      <c r="D62" s="101"/>
      <c r="E62" s="352">
        <f>IF(OR(I51&lt;G57,I51=G57),(E60+E61),0)</f>
        <v>0</v>
      </c>
      <c r="F62" s="168"/>
      <c r="G62" s="367" t="b">
        <f>IF($I$51&gt;G57,IF(NOT($I$51&gt;I57),(G60+G61),0))</f>
        <v>0</v>
      </c>
      <c r="H62" s="168"/>
      <c r="I62" s="367" t="b">
        <f>IF($I$51&gt;I57,IF(NOT($I$51&gt;K57),(I60+I61),0))</f>
        <v>0</v>
      </c>
      <c r="J62" s="168"/>
      <c r="K62" s="367">
        <f>IF(I51&gt;K57,K60+K61,0)</f>
        <v>0</v>
      </c>
      <c r="L62" s="1252" t="s">
        <v>715</v>
      </c>
      <c r="M62" s="1566"/>
    </row>
    <row r="63" spans="1:13" ht="15.75">
      <c r="A63" s="616"/>
      <c r="B63" s="121"/>
      <c r="C63" s="121"/>
      <c r="D63" s="121"/>
      <c r="E63" s="121"/>
      <c r="F63" s="121"/>
      <c r="G63" s="121"/>
      <c r="H63" s="99"/>
      <c r="I63" s="101"/>
      <c r="J63" s="99"/>
      <c r="K63" s="621"/>
      <c r="L63" s="174"/>
      <c r="M63" s="1566"/>
    </row>
    <row r="64" spans="1:13" ht="20.25">
      <c r="A64" s="616"/>
      <c r="B64" s="1159" t="s">
        <v>1112</v>
      </c>
      <c r="C64" s="1045"/>
      <c r="D64" s="78"/>
      <c r="E64" s="78"/>
      <c r="F64" s="78"/>
      <c r="G64" s="78"/>
      <c r="H64" s="95"/>
      <c r="I64" s="78"/>
      <c r="J64" s="95"/>
      <c r="K64" s="78"/>
      <c r="L64" s="95"/>
      <c r="M64" s="1566"/>
    </row>
    <row r="65" spans="1:13" ht="15.75">
      <c r="A65" s="616"/>
      <c r="B65" s="78"/>
      <c r="C65" s="78"/>
      <c r="D65" s="78"/>
      <c r="E65" s="78"/>
      <c r="F65" s="78"/>
      <c r="G65" s="78"/>
      <c r="H65" s="95"/>
      <c r="I65" s="78"/>
      <c r="J65" s="95"/>
      <c r="K65" s="78"/>
      <c r="L65" s="95"/>
      <c r="M65" s="1566"/>
    </row>
    <row r="66" spans="1:13" ht="15.75">
      <c r="A66" s="616"/>
      <c r="B66" s="75" t="s">
        <v>291</v>
      </c>
      <c r="C66" s="75"/>
      <c r="D66" s="75"/>
      <c r="E66" s="75"/>
      <c r="F66" s="75"/>
      <c r="G66" s="75"/>
      <c r="H66" s="95"/>
      <c r="I66" s="352">
        <f>MAXA(E62,G62,I62,K62)</f>
        <v>0</v>
      </c>
      <c r="J66" s="106">
        <v>37</v>
      </c>
      <c r="K66" s="78"/>
      <c r="L66" s="95"/>
      <c r="M66" s="1566"/>
    </row>
    <row r="67" spans="1:13" ht="16.5" thickBot="1">
      <c r="A67" s="616"/>
      <c r="B67" s="76" t="s">
        <v>1552</v>
      </c>
      <c r="C67" s="1382"/>
      <c r="D67" s="84"/>
      <c r="E67" s="75"/>
      <c r="F67" s="75"/>
      <c r="G67" s="75"/>
      <c r="H67" s="3">
        <v>424</v>
      </c>
      <c r="I67" s="690"/>
      <c r="J67" s="1383" t="s">
        <v>284</v>
      </c>
      <c r="K67" s="78"/>
      <c r="L67" s="95"/>
      <c r="M67" s="1566"/>
    </row>
    <row r="68" spans="1:13" ht="15.75">
      <c r="A68" s="616"/>
      <c r="B68" s="76"/>
      <c r="C68" s="76"/>
      <c r="D68" s="76"/>
      <c r="E68" s="76"/>
      <c r="F68" s="76"/>
      <c r="G68" s="79" t="s">
        <v>295</v>
      </c>
      <c r="H68" s="1093" t="s">
        <v>74</v>
      </c>
      <c r="I68" s="352">
        <f>I66+I67</f>
        <v>0</v>
      </c>
      <c r="J68" s="1095" t="s">
        <v>1886</v>
      </c>
      <c r="K68" s="352">
        <f>I68</f>
        <v>0</v>
      </c>
      <c r="L68" s="106">
        <v>39</v>
      </c>
      <c r="M68" s="1566"/>
    </row>
    <row r="69" spans="1:13" ht="32.25" customHeight="1">
      <c r="A69" s="616"/>
      <c r="B69" s="76" t="s">
        <v>292</v>
      </c>
      <c r="C69" s="76"/>
      <c r="D69" s="76"/>
      <c r="E69" s="76"/>
      <c r="F69" s="76"/>
      <c r="G69" s="76"/>
      <c r="H69" s="1092" t="s">
        <v>382</v>
      </c>
      <c r="I69" s="352">
        <f>K46</f>
        <v>1548</v>
      </c>
      <c r="J69" s="106">
        <v>40</v>
      </c>
      <c r="K69" s="78"/>
      <c r="L69" s="95"/>
      <c r="M69" s="1566"/>
    </row>
    <row r="70" spans="1:13" ht="15.75">
      <c r="A70" s="616"/>
      <c r="B70" s="76" t="s">
        <v>1551</v>
      </c>
      <c r="C70" s="76"/>
      <c r="D70" s="76"/>
      <c r="E70" s="76"/>
      <c r="F70" s="76"/>
      <c r="G70" s="76"/>
      <c r="H70" s="3">
        <v>425</v>
      </c>
      <c r="I70" s="367">
        <f>MISC!L59</f>
        <v>0</v>
      </c>
      <c r="J70" s="1383" t="s">
        <v>1113</v>
      </c>
      <c r="K70" s="78"/>
      <c r="L70" s="95"/>
      <c r="M70" s="1566"/>
    </row>
    <row r="71" spans="1:13" ht="15.75">
      <c r="A71" s="616"/>
      <c r="B71" s="76" t="s">
        <v>1382</v>
      </c>
      <c r="C71" s="76"/>
      <c r="D71" s="76"/>
      <c r="E71" s="76"/>
      <c r="F71" s="76"/>
      <c r="G71" s="76"/>
      <c r="H71" s="1094" t="s">
        <v>383</v>
      </c>
      <c r="I71" s="93"/>
      <c r="J71" s="106">
        <v>42</v>
      </c>
      <c r="K71" s="78"/>
      <c r="L71" s="95"/>
      <c r="M71" s="1566"/>
    </row>
    <row r="72" spans="1:13" ht="16.5" thickBot="1">
      <c r="A72" s="616"/>
      <c r="B72" s="76" t="s">
        <v>318</v>
      </c>
      <c r="C72" s="76"/>
      <c r="D72" s="76"/>
      <c r="E72" s="76"/>
      <c r="F72" s="76"/>
      <c r="G72" s="76"/>
      <c r="H72" s="3">
        <v>427</v>
      </c>
      <c r="I72" s="690"/>
      <c r="J72" s="1383" t="s">
        <v>285</v>
      </c>
      <c r="K72" s="78"/>
      <c r="L72" s="95"/>
      <c r="M72" s="1566"/>
    </row>
    <row r="73" spans="1:13" ht="16.5" thickBot="1">
      <c r="A73" s="616"/>
      <c r="B73" s="76"/>
      <c r="C73" s="76"/>
      <c r="D73" s="76"/>
      <c r="E73" s="76"/>
      <c r="F73" s="76"/>
      <c r="G73" s="89" t="s">
        <v>296</v>
      </c>
      <c r="H73" s="95"/>
      <c r="I73" s="352">
        <f>SUM(I69:I72)</f>
        <v>1548</v>
      </c>
      <c r="J73" s="95"/>
      <c r="K73" s="691">
        <f>I73</f>
        <v>1548</v>
      </c>
      <c r="L73" s="106">
        <v>44</v>
      </c>
      <c r="M73" s="1566"/>
    </row>
    <row r="74" spans="1:13" ht="27.75" customHeight="1">
      <c r="A74" s="616"/>
      <c r="B74" s="76"/>
      <c r="C74" s="76"/>
      <c r="D74" s="76"/>
      <c r="E74" s="94"/>
      <c r="F74" s="76"/>
      <c r="G74" s="76"/>
      <c r="H74" s="96"/>
      <c r="I74" s="161" t="s">
        <v>297</v>
      </c>
      <c r="J74" s="106">
        <v>429</v>
      </c>
      <c r="K74" s="352">
        <f>MAXA(+K68-K73,0)</f>
        <v>0</v>
      </c>
      <c r="L74" s="106">
        <v>45</v>
      </c>
      <c r="M74" s="1566"/>
    </row>
    <row r="75" spans="1:13" ht="16.5" customHeight="1">
      <c r="A75" s="616"/>
      <c r="B75" s="886"/>
      <c r="C75" s="886"/>
      <c r="D75" s="885"/>
      <c r="E75" s="885"/>
      <c r="F75" s="885"/>
      <c r="G75" s="885"/>
      <c r="H75" s="885"/>
      <c r="I75" s="885"/>
      <c r="J75" s="99"/>
      <c r="K75" s="78"/>
      <c r="L75" s="95"/>
      <c r="M75" s="1566"/>
    </row>
    <row r="76" spans="1:13" ht="22.5" customHeight="1" thickBot="1">
      <c r="A76" s="616"/>
      <c r="B76" s="165" t="s">
        <v>680</v>
      </c>
      <c r="C76" s="887"/>
      <c r="D76" s="75"/>
      <c r="E76" s="90"/>
      <c r="F76" s="75"/>
      <c r="G76" s="75"/>
      <c r="H76" s="96"/>
      <c r="I76" s="161"/>
      <c r="J76" s="1094" t="s">
        <v>1553</v>
      </c>
      <c r="K76" s="691">
        <f>'T2209'!I36</f>
        <v>0</v>
      </c>
      <c r="L76" s="106">
        <v>46</v>
      </c>
      <c r="M76" s="1566"/>
    </row>
    <row r="77" spans="1:13" ht="26.25" customHeight="1">
      <c r="A77" s="616"/>
      <c r="B77" s="75"/>
      <c r="C77" s="75"/>
      <c r="D77" s="75"/>
      <c r="E77" s="90"/>
      <c r="F77" s="75"/>
      <c r="G77" s="75"/>
      <c r="H77" s="96"/>
      <c r="I77" s="161" t="s">
        <v>298</v>
      </c>
      <c r="J77" s="1094" t="s">
        <v>658</v>
      </c>
      <c r="K77" s="427">
        <f>MAXA(0,(K74-K76))</f>
        <v>0</v>
      </c>
      <c r="L77" s="106">
        <v>47</v>
      </c>
      <c r="M77" s="1566"/>
    </row>
    <row r="78" spans="1:13" ht="15.75">
      <c r="A78" s="616"/>
      <c r="B78" s="82"/>
      <c r="C78" s="82"/>
      <c r="D78" s="82"/>
      <c r="E78" s="102"/>
      <c r="F78" s="82"/>
      <c r="G78" s="82"/>
      <c r="H78" s="95"/>
      <c r="I78" s="78"/>
      <c r="J78" s="95"/>
      <c r="K78" s="78"/>
      <c r="L78" s="106"/>
      <c r="M78" s="1566"/>
    </row>
    <row r="79" spans="1:13" ht="15.75">
      <c r="A79" s="616"/>
      <c r="B79" s="75" t="s">
        <v>1383</v>
      </c>
      <c r="C79" s="75"/>
      <c r="D79" s="75"/>
      <c r="E79" s="90"/>
      <c r="F79" s="3">
        <v>409</v>
      </c>
      <c r="G79" s="352">
        <f>'FED WRK'!I136</f>
        <v>0</v>
      </c>
      <c r="H79" s="95"/>
      <c r="I79" s="78"/>
      <c r="J79" s="95"/>
      <c r="K79" s="78"/>
      <c r="L79" s="106"/>
      <c r="M79" s="1566"/>
    </row>
    <row r="80" spans="1:13" ht="24.75" customHeight="1">
      <c r="A80" s="616"/>
      <c r="B80" s="75" t="s">
        <v>681</v>
      </c>
      <c r="C80" s="75"/>
      <c r="D80" s="75"/>
      <c r="E80" s="90"/>
      <c r="F80" s="75"/>
      <c r="G80" s="75"/>
      <c r="H80" s="3">
        <v>410</v>
      </c>
      <c r="I80" s="352">
        <f>'FED WRK'!I138</f>
        <v>0</v>
      </c>
      <c r="J80" s="1383" t="s">
        <v>1114</v>
      </c>
      <c r="K80" s="78"/>
      <c r="L80" s="106"/>
      <c r="M80" s="1566"/>
    </row>
    <row r="81" spans="1:13" ht="15.75">
      <c r="A81" s="616"/>
      <c r="B81" s="75" t="s">
        <v>1384</v>
      </c>
      <c r="C81" s="75"/>
      <c r="D81" s="75"/>
      <c r="E81" s="90"/>
      <c r="F81" s="75"/>
      <c r="G81" s="75"/>
      <c r="H81" s="3">
        <v>412</v>
      </c>
      <c r="I81" s="93"/>
      <c r="J81" s="1383" t="s">
        <v>286</v>
      </c>
      <c r="K81" s="78"/>
      <c r="L81" s="106"/>
      <c r="M81" s="1566"/>
    </row>
    <row r="82" spans="1:13" ht="15.75">
      <c r="A82" s="616"/>
      <c r="B82" s="82" t="s">
        <v>1805</v>
      </c>
      <c r="C82" s="82"/>
      <c r="D82" s="82"/>
      <c r="E82" s="102"/>
      <c r="F82" s="82"/>
      <c r="G82" s="82"/>
      <c r="H82" s="95"/>
      <c r="I82" s="78"/>
      <c r="J82" s="95"/>
      <c r="K82" s="78"/>
      <c r="L82" s="106"/>
      <c r="M82" s="1566"/>
    </row>
    <row r="83" spans="1:13" ht="16.5" thickBot="1">
      <c r="A83" s="616"/>
      <c r="B83" s="90"/>
      <c r="C83" s="90" t="s">
        <v>682</v>
      </c>
      <c r="D83" s="3">
        <v>413</v>
      </c>
      <c r="E83" s="104"/>
      <c r="F83" s="75"/>
      <c r="G83" s="90" t="s">
        <v>871</v>
      </c>
      <c r="H83" s="3">
        <v>414</v>
      </c>
      <c r="I83" s="693"/>
      <c r="J83" s="1383" t="s">
        <v>1911</v>
      </c>
      <c r="K83" s="78"/>
      <c r="L83" s="95"/>
      <c r="M83" s="1566"/>
    </row>
    <row r="84" spans="1:13" ht="16.5" thickBot="1">
      <c r="A84" s="616"/>
      <c r="B84" s="90"/>
      <c r="C84" s="90"/>
      <c r="D84" s="75"/>
      <c r="E84" s="90"/>
      <c r="F84" s="75"/>
      <c r="G84" s="90" t="s">
        <v>299</v>
      </c>
      <c r="H84" s="173" t="s">
        <v>119</v>
      </c>
      <c r="I84" s="352">
        <f>SUM(I80:I83)</f>
        <v>0</v>
      </c>
      <c r="J84" s="1095" t="s">
        <v>1886</v>
      </c>
      <c r="K84" s="691">
        <f>I84</f>
        <v>0</v>
      </c>
      <c r="L84" s="173" t="s">
        <v>796</v>
      </c>
      <c r="M84" s="1566"/>
    </row>
    <row r="85" spans="1:13" ht="15.75">
      <c r="A85" s="616"/>
      <c r="B85" s="101"/>
      <c r="C85" s="101"/>
      <c r="D85" s="121"/>
      <c r="E85" s="101"/>
      <c r="F85" s="121"/>
      <c r="G85" s="101"/>
      <c r="H85" s="99"/>
      <c r="I85" s="101" t="s">
        <v>300</v>
      </c>
      <c r="J85" s="95"/>
      <c r="K85" s="78"/>
      <c r="L85" s="113"/>
      <c r="M85" s="1566"/>
    </row>
    <row r="86" spans="1:13" ht="15.75">
      <c r="A86" s="616"/>
      <c r="B86" s="90"/>
      <c r="C86" s="90"/>
      <c r="D86" s="75"/>
      <c r="E86" s="90"/>
      <c r="F86" s="75"/>
      <c r="G86" s="90"/>
      <c r="H86" s="96"/>
      <c r="I86" s="90" t="s">
        <v>301</v>
      </c>
      <c r="J86" s="1094" t="s">
        <v>120</v>
      </c>
      <c r="K86" s="352">
        <f>MAXA(0,(K77-K84))</f>
        <v>0</v>
      </c>
      <c r="L86" s="173" t="s">
        <v>1733</v>
      </c>
      <c r="M86" s="1566"/>
    </row>
    <row r="87" spans="1:13" ht="15.75">
      <c r="A87" s="616"/>
      <c r="B87" s="165" t="s">
        <v>1969</v>
      </c>
      <c r="C87" s="90"/>
      <c r="D87" s="75"/>
      <c r="E87" s="90"/>
      <c r="F87" s="75"/>
      <c r="G87" s="90"/>
      <c r="H87" s="96"/>
      <c r="I87" s="90"/>
      <c r="J87" s="446">
        <v>415</v>
      </c>
      <c r="K87" s="93"/>
      <c r="L87" s="1383" t="s">
        <v>245</v>
      </c>
      <c r="M87" s="1566"/>
    </row>
    <row r="88" spans="1:13" ht="15.75">
      <c r="A88" s="616"/>
      <c r="B88" s="165" t="s">
        <v>1747</v>
      </c>
      <c r="C88" s="165"/>
      <c r="D88" s="75"/>
      <c r="E88" s="90"/>
      <c r="F88" s="75"/>
      <c r="G88" s="90"/>
      <c r="H88" s="96"/>
      <c r="I88" s="161"/>
      <c r="J88" s="1094" t="s">
        <v>121</v>
      </c>
      <c r="K88" s="93"/>
      <c r="L88" s="173" t="s">
        <v>797</v>
      </c>
      <c r="M88" s="1566"/>
    </row>
    <row r="89" spans="1:13" ht="15.75">
      <c r="A89" s="616"/>
      <c r="B89" s="102"/>
      <c r="C89" s="102"/>
      <c r="D89" s="82"/>
      <c r="E89" s="102"/>
      <c r="F89" s="82"/>
      <c r="G89" s="170" t="s">
        <v>316</v>
      </c>
      <c r="H89" s="95"/>
      <c r="I89" s="78"/>
      <c r="J89" s="78"/>
      <c r="K89" s="78"/>
      <c r="L89" s="113"/>
      <c r="M89" s="1566"/>
    </row>
    <row r="90" spans="1:13" ht="15.75">
      <c r="A90" s="616"/>
      <c r="B90" s="90"/>
      <c r="C90" s="90"/>
      <c r="D90" s="75"/>
      <c r="E90" s="90"/>
      <c r="F90" s="75"/>
      <c r="G90" s="90"/>
      <c r="H90" s="96"/>
      <c r="I90" s="90" t="s">
        <v>1044</v>
      </c>
      <c r="J90" s="1094" t="s">
        <v>123</v>
      </c>
      <c r="K90" s="694">
        <f>K86+K87+K88</f>
        <v>0</v>
      </c>
      <c r="L90" s="173" t="s">
        <v>798</v>
      </c>
      <c r="M90" s="1566"/>
    </row>
    <row r="91" spans="1:13" ht="15.75">
      <c r="A91" s="616"/>
      <c r="B91" s="101"/>
      <c r="C91" s="101"/>
      <c r="D91" s="121"/>
      <c r="E91" s="101"/>
      <c r="F91" s="121"/>
      <c r="G91" s="101"/>
      <c r="H91" s="95"/>
      <c r="I91" s="79"/>
      <c r="J91" s="109"/>
      <c r="K91" s="78"/>
      <c r="L91" s="109"/>
      <c r="M91" s="1566"/>
    </row>
    <row r="92" spans="1:13" ht="15.75">
      <c r="A92" s="616"/>
      <c r="B92" s="95"/>
      <c r="C92" s="95"/>
      <c r="D92" s="95"/>
      <c r="E92" s="95"/>
      <c r="F92" s="95"/>
      <c r="G92" s="95"/>
      <c r="H92" s="95"/>
      <c r="I92" s="95"/>
      <c r="J92" s="95"/>
      <c r="K92" s="95" t="s">
        <v>821</v>
      </c>
      <c r="L92" s="95"/>
      <c r="M92" s="1566"/>
    </row>
    <row r="93" spans="1:13" ht="15.75">
      <c r="A93" s="616"/>
      <c r="B93" s="95"/>
      <c r="C93" s="95"/>
      <c r="D93" s="95"/>
      <c r="E93" s="95"/>
      <c r="F93" s="95"/>
      <c r="G93" s="95"/>
      <c r="H93" s="95"/>
      <c r="I93" s="95"/>
      <c r="J93" s="95"/>
      <c r="K93" s="95"/>
      <c r="L93" s="95"/>
      <c r="M93" s="1566"/>
    </row>
  </sheetData>
  <sheetProtection password="EC35" sheet="1" objects="1" scenarios="1"/>
  <mergeCells count="3">
    <mergeCell ref="B35:G35"/>
    <mergeCell ref="B40:E40"/>
    <mergeCell ref="M1:M93"/>
  </mergeCells>
  <printOptions horizontalCentered="1"/>
  <pageMargins left="0" right="0" top="0" bottom="0" header="0.511811023622047" footer="0.511811023622047"/>
  <pageSetup fitToHeight="0" fitToWidth="1" horizontalDpi="600" verticalDpi="600" orientation="portrait" scale="73" r:id="rId3"/>
  <headerFooter alignWithMargins="0">
    <oddFooter>&amp;L   5000-S1</oddFooter>
  </headerFooter>
  <rowBreaks count="1" manualBreakCount="1">
    <brk id="48" min="1" max="10" man="1"/>
  </rowBreaks>
  <legacyDrawing r:id="rId2"/>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L35"/>
  <sheetViews>
    <sheetView zoomScalePageLayoutView="0" workbookViewId="0" topLeftCell="A1">
      <selection activeCell="A1" sqref="A1"/>
    </sheetView>
  </sheetViews>
  <sheetFormatPr defaultColWidth="9.77734375" defaultRowHeight="15"/>
  <cols>
    <col min="1" max="1" width="12.77734375" style="579" customWidth="1"/>
    <col min="2" max="2" width="32.77734375" style="579" customWidth="1"/>
    <col min="3" max="3" width="5.77734375" style="579" customWidth="1"/>
    <col min="4" max="4" width="6.77734375" style="579" customWidth="1"/>
    <col min="5" max="5" width="5.77734375" style="579" customWidth="1"/>
    <col min="6" max="6" width="7.77734375" style="579" customWidth="1"/>
    <col min="7" max="7" width="5.77734375" style="579" customWidth="1"/>
    <col min="8" max="8" width="16.10546875" style="579" customWidth="1"/>
    <col min="9" max="9" width="5.77734375" style="579" customWidth="1"/>
    <col min="10" max="10" width="13.77734375" style="579" customWidth="1"/>
    <col min="11" max="11" width="5.77734375" style="579" customWidth="1"/>
    <col min="12" max="16384" width="9.77734375" style="579" customWidth="1"/>
  </cols>
  <sheetData>
    <row r="1" spans="1:12" ht="20.25">
      <c r="A1" s="74" t="str">
        <f>"T1-"&amp;yeartext</f>
        <v>T1-2009</v>
      </c>
      <c r="B1" s="74"/>
      <c r="C1" s="1255" t="s">
        <v>187</v>
      </c>
      <c r="D1" s="78"/>
      <c r="E1" s="78"/>
      <c r="F1" s="114"/>
      <c r="G1" s="114"/>
      <c r="H1" s="114"/>
      <c r="I1" s="114"/>
      <c r="J1" s="78"/>
      <c r="K1" s="1256" t="s">
        <v>140</v>
      </c>
      <c r="L1" s="1566" t="s">
        <v>35</v>
      </c>
    </row>
    <row r="2" spans="1:12" ht="20.25">
      <c r="A2" s="78"/>
      <c r="B2" s="78"/>
      <c r="C2" s="1255" t="s">
        <v>684</v>
      </c>
      <c r="D2" s="78"/>
      <c r="E2" s="78"/>
      <c r="F2" s="78"/>
      <c r="G2" s="78"/>
      <c r="H2" s="78"/>
      <c r="I2" s="78"/>
      <c r="J2" s="78"/>
      <c r="K2" s="78"/>
      <c r="L2" s="1566"/>
    </row>
    <row r="3" spans="1:12" ht="15">
      <c r="A3" s="78"/>
      <c r="B3" s="78"/>
      <c r="C3" s="78"/>
      <c r="D3" s="78"/>
      <c r="E3" s="78"/>
      <c r="F3" s="78"/>
      <c r="G3" s="78"/>
      <c r="H3" s="78"/>
      <c r="I3" s="78"/>
      <c r="J3" s="78"/>
      <c r="K3" s="78"/>
      <c r="L3" s="1566"/>
    </row>
    <row r="4" spans="1:12" ht="15">
      <c r="A4" s="78" t="s">
        <v>685</v>
      </c>
      <c r="B4" s="78"/>
      <c r="C4" s="78"/>
      <c r="D4" s="78"/>
      <c r="E4" s="78"/>
      <c r="F4" s="78"/>
      <c r="G4" s="78"/>
      <c r="H4" s="78"/>
      <c r="I4" s="78"/>
      <c r="J4" s="78"/>
      <c r="K4" s="78"/>
      <c r="L4" s="1566"/>
    </row>
    <row r="5" spans="1:12" ht="15">
      <c r="A5" s="78" t="str">
        <f>"children born in"&amp;year17text&amp;" or later, pension income amount, disability amount, and tuition, education, and textbook amounts."</f>
        <v>children born in1992 or later, pension income amount, disability amount, and tuition, education, and textbook amounts.</v>
      </c>
      <c r="B5" s="78"/>
      <c r="C5" s="78"/>
      <c r="D5" s="78"/>
      <c r="E5" s="78"/>
      <c r="F5" s="78"/>
      <c r="G5" s="78"/>
      <c r="H5" s="78"/>
      <c r="I5" s="78"/>
      <c r="J5" s="78"/>
      <c r="K5" s="78"/>
      <c r="L5" s="1566"/>
    </row>
    <row r="6" spans="1:12" ht="20.25" customHeight="1">
      <c r="A6" s="78" t="s">
        <v>25</v>
      </c>
      <c r="B6" s="78"/>
      <c r="C6" s="78"/>
      <c r="D6" s="78"/>
      <c r="E6" s="78"/>
      <c r="F6" s="78"/>
      <c r="G6" s="78"/>
      <c r="H6" s="78"/>
      <c r="I6" s="78"/>
      <c r="J6" s="78"/>
      <c r="K6" s="78"/>
      <c r="L6" s="1566"/>
    </row>
    <row r="7" spans="1:12" ht="15.75">
      <c r="A7" s="78" t="s">
        <v>2122</v>
      </c>
      <c r="B7" s="78"/>
      <c r="C7" s="78"/>
      <c r="D7" s="78"/>
      <c r="E7" s="78"/>
      <c r="F7" s="78"/>
      <c r="G7" s="78"/>
      <c r="H7" s="78"/>
      <c r="I7" s="78"/>
      <c r="J7" s="78"/>
      <c r="K7" s="78"/>
      <c r="L7" s="1566"/>
    </row>
    <row r="8" spans="1:12" ht="15">
      <c r="A8" s="78"/>
      <c r="B8" s="78"/>
      <c r="C8" s="78"/>
      <c r="D8" s="78"/>
      <c r="E8" s="78"/>
      <c r="F8" s="78"/>
      <c r="G8" s="78"/>
      <c r="H8" s="78"/>
      <c r="I8" s="78"/>
      <c r="J8" s="78"/>
      <c r="K8" s="78"/>
      <c r="L8" s="1566"/>
    </row>
    <row r="9" spans="1:12" ht="15.75">
      <c r="A9" s="95" t="s">
        <v>1379</v>
      </c>
      <c r="B9" s="95"/>
      <c r="C9" s="78"/>
      <c r="D9" s="78"/>
      <c r="E9" s="78"/>
      <c r="F9" s="78"/>
      <c r="G9" s="78"/>
      <c r="H9" s="78"/>
      <c r="I9" s="78"/>
      <c r="J9" s="78"/>
      <c r="K9" s="78"/>
      <c r="L9" s="1566"/>
    </row>
    <row r="10" spans="1:12" ht="15">
      <c r="A10" s="121"/>
      <c r="B10" s="121"/>
      <c r="C10" s="121"/>
      <c r="D10" s="121"/>
      <c r="E10" s="121"/>
      <c r="F10" s="121"/>
      <c r="G10" s="121"/>
      <c r="H10" s="78"/>
      <c r="I10" s="78"/>
      <c r="J10" s="78"/>
      <c r="K10" s="78"/>
      <c r="L10" s="1566"/>
    </row>
    <row r="11" spans="1:12" ht="15.75" customHeight="1">
      <c r="A11" s="99" t="s">
        <v>1378</v>
      </c>
      <c r="B11" s="121" t="str">
        <f>"(if your spouse or common-law partner was age 65 or older in "&amp;yeartext&amp;"):"</f>
        <v>(if your spouse or common-law partner was age 65 or older in 2009):</v>
      </c>
      <c r="C11" s="121"/>
      <c r="D11" s="121"/>
      <c r="E11" s="121"/>
      <c r="F11" s="123"/>
      <c r="G11" s="123"/>
      <c r="H11" s="103"/>
      <c r="I11" s="78"/>
      <c r="J11" s="78"/>
      <c r="K11" s="78"/>
      <c r="L11" s="1566"/>
    </row>
    <row r="12" spans="1:12" ht="15.75">
      <c r="A12" s="75" t="s">
        <v>343</v>
      </c>
      <c r="B12" s="75"/>
      <c r="C12" s="75"/>
      <c r="D12" s="75"/>
      <c r="E12" s="75"/>
      <c r="F12" s="75"/>
      <c r="G12" s="75"/>
      <c r="H12" s="107"/>
      <c r="I12" s="66">
        <v>353</v>
      </c>
      <c r="J12" s="104"/>
      <c r="K12" s="176">
        <v>1</v>
      </c>
      <c r="L12" s="1566"/>
    </row>
    <row r="13" spans="1:12" ht="15.75">
      <c r="A13" s="99" t="str">
        <f>"Amount for children born in "&amp;year17text&amp;" or later:"</f>
        <v>Amount for children born in 1992 or later:</v>
      </c>
      <c r="B13" s="121"/>
      <c r="C13" s="121"/>
      <c r="D13" s="121"/>
      <c r="E13" s="121"/>
      <c r="F13" s="121"/>
      <c r="G13" s="121"/>
      <c r="H13" s="1184"/>
      <c r="I13" s="78"/>
      <c r="J13" s="78"/>
      <c r="K13" s="176"/>
      <c r="L13" s="1566"/>
    </row>
    <row r="14" spans="1:12" ht="15.75">
      <c r="A14" s="121" t="s">
        <v>687</v>
      </c>
      <c r="B14" s="121"/>
      <c r="C14" s="121"/>
      <c r="D14" s="121"/>
      <c r="E14" s="121"/>
      <c r="F14" s="121"/>
      <c r="G14" s="121"/>
      <c r="H14" s="107"/>
      <c r="I14" s="66">
        <v>361</v>
      </c>
      <c r="J14" s="104"/>
      <c r="K14" s="176">
        <v>2</v>
      </c>
      <c r="L14" s="1566"/>
    </row>
    <row r="15" spans="1:12" ht="15.75">
      <c r="A15" s="97" t="s">
        <v>891</v>
      </c>
      <c r="B15" s="97"/>
      <c r="C15" s="82"/>
      <c r="D15" s="82"/>
      <c r="E15" s="82"/>
      <c r="F15" s="82"/>
      <c r="G15" s="82"/>
      <c r="H15" s="78"/>
      <c r="I15" s="78"/>
      <c r="J15" s="78"/>
      <c r="K15" s="117"/>
      <c r="L15" s="1566"/>
    </row>
    <row r="16" spans="1:12" ht="15.75">
      <c r="A16" s="75" t="s">
        <v>344</v>
      </c>
      <c r="B16" s="75"/>
      <c r="C16" s="75"/>
      <c r="D16" s="75"/>
      <c r="E16" s="75"/>
      <c r="F16" s="75"/>
      <c r="G16" s="75"/>
      <c r="H16" s="791" t="s">
        <v>686</v>
      </c>
      <c r="I16" s="66">
        <v>355</v>
      </c>
      <c r="J16" s="104"/>
      <c r="K16" s="176">
        <v>3</v>
      </c>
      <c r="L16" s="1566"/>
    </row>
    <row r="17" spans="1:12" ht="15.75">
      <c r="A17" s="97" t="s">
        <v>892</v>
      </c>
      <c r="B17" s="97"/>
      <c r="C17" s="82"/>
      <c r="D17" s="82"/>
      <c r="E17" s="82"/>
      <c r="F17" s="82"/>
      <c r="G17" s="82"/>
      <c r="H17" s="103"/>
      <c r="I17" s="78"/>
      <c r="J17" s="78"/>
      <c r="K17" s="117"/>
      <c r="L17" s="1566"/>
    </row>
    <row r="18" spans="1:12" ht="15.75">
      <c r="A18" s="75" t="s">
        <v>691</v>
      </c>
      <c r="B18" s="75"/>
      <c r="C18" s="75"/>
      <c r="D18" s="75"/>
      <c r="E18" s="75"/>
      <c r="F18" s="75"/>
      <c r="G18" s="75"/>
      <c r="H18" s="75"/>
      <c r="I18" s="66">
        <v>357</v>
      </c>
      <c r="J18" s="104"/>
      <c r="K18" s="176">
        <v>4</v>
      </c>
      <c r="L18" s="1566"/>
    </row>
    <row r="19" spans="1:12" ht="15.75">
      <c r="A19" s="97" t="s">
        <v>188</v>
      </c>
      <c r="B19" s="97"/>
      <c r="C19" s="82"/>
      <c r="D19" s="82"/>
      <c r="E19" s="82"/>
      <c r="F19" s="82"/>
      <c r="G19" s="82"/>
      <c r="H19" s="78"/>
      <c r="I19" s="78"/>
      <c r="J19" s="78"/>
      <c r="K19" s="176"/>
      <c r="L19" s="1566"/>
    </row>
    <row r="20" spans="1:12" ht="16.5" thickBot="1">
      <c r="A20" s="75" t="s">
        <v>1970</v>
      </c>
      <c r="B20" s="75"/>
      <c r="C20" s="75"/>
      <c r="D20" s="75"/>
      <c r="E20" s="75"/>
      <c r="F20" s="75"/>
      <c r="G20" s="75"/>
      <c r="H20" s="75"/>
      <c r="I20" s="66">
        <v>360</v>
      </c>
      <c r="J20" s="693"/>
      <c r="K20" s="176">
        <v>5</v>
      </c>
      <c r="L20" s="1566"/>
    </row>
    <row r="21" spans="1:12" ht="15.75">
      <c r="A21" s="82"/>
      <c r="B21" s="82"/>
      <c r="C21" s="82"/>
      <c r="D21" s="82"/>
      <c r="E21" s="82"/>
      <c r="F21" s="82"/>
      <c r="G21" s="82"/>
      <c r="H21" s="78"/>
      <c r="I21" s="78"/>
      <c r="J21" s="78"/>
      <c r="K21" s="176"/>
      <c r="L21" s="1566"/>
    </row>
    <row r="22" spans="1:12" ht="15.75">
      <c r="A22" s="75"/>
      <c r="B22" s="75"/>
      <c r="C22" s="75"/>
      <c r="D22" s="75"/>
      <c r="E22" s="75"/>
      <c r="F22" s="75"/>
      <c r="G22" s="75"/>
      <c r="H22" s="90" t="s">
        <v>688</v>
      </c>
      <c r="I22" s="78"/>
      <c r="J22" s="352">
        <f>SUM(J12:J20)</f>
        <v>0</v>
      </c>
      <c r="K22" s="176">
        <v>6</v>
      </c>
      <c r="L22" s="1566"/>
    </row>
    <row r="23" spans="1:12" ht="15.75">
      <c r="A23" s="82"/>
      <c r="B23" s="82"/>
      <c r="C23" s="82"/>
      <c r="D23" s="82"/>
      <c r="E23" s="82"/>
      <c r="F23" s="82"/>
      <c r="G23" s="82"/>
      <c r="H23" s="79"/>
      <c r="I23" s="78"/>
      <c r="J23" s="78"/>
      <c r="K23" s="176"/>
      <c r="L23" s="1566"/>
    </row>
    <row r="24" spans="1:12" ht="15.75">
      <c r="A24" s="75" t="s">
        <v>1760</v>
      </c>
      <c r="B24" s="75"/>
      <c r="C24" s="75"/>
      <c r="D24" s="75"/>
      <c r="E24" s="75"/>
      <c r="F24" s="75"/>
      <c r="G24" s="121"/>
      <c r="H24" s="104"/>
      <c r="I24" s="155">
        <v>7</v>
      </c>
      <c r="J24" s="78"/>
      <c r="K24" s="176"/>
      <c r="L24" s="1566"/>
    </row>
    <row r="25" spans="1:12" ht="15.75">
      <c r="A25" s="82" t="s">
        <v>345</v>
      </c>
      <c r="B25" s="82"/>
      <c r="C25" s="82"/>
      <c r="D25" s="82"/>
      <c r="E25" s="82"/>
      <c r="F25" s="82"/>
      <c r="G25" s="121"/>
      <c r="H25" s="79"/>
      <c r="I25" s="103"/>
      <c r="J25" s="78"/>
      <c r="K25" s="176"/>
      <c r="L25" s="1566"/>
    </row>
    <row r="26" spans="1:12" ht="15.75">
      <c r="A26" s="75" t="s">
        <v>689</v>
      </c>
      <c r="B26" s="75"/>
      <c r="C26" s="75"/>
      <c r="D26" s="75"/>
      <c r="E26" s="75"/>
      <c r="F26" s="75"/>
      <c r="G26" s="121"/>
      <c r="H26" s="104"/>
      <c r="I26" s="155">
        <v>8</v>
      </c>
      <c r="J26" s="78"/>
      <c r="K26" s="176"/>
      <c r="L26" s="1566"/>
    </row>
    <row r="27" spans="1:12" ht="15.75">
      <c r="A27" s="82"/>
      <c r="B27" s="82"/>
      <c r="C27" s="82"/>
      <c r="D27" s="82"/>
      <c r="E27" s="82"/>
      <c r="F27" s="82"/>
      <c r="G27" s="75"/>
      <c r="H27" s="79"/>
      <c r="I27" s="78"/>
      <c r="J27" s="78"/>
      <c r="K27" s="176"/>
      <c r="L27" s="1566"/>
    </row>
    <row r="28" spans="1:12" ht="15.75">
      <c r="A28" s="75"/>
      <c r="B28" s="75"/>
      <c r="C28" s="75"/>
      <c r="D28" s="75"/>
      <c r="E28" s="75"/>
      <c r="F28" s="90" t="s">
        <v>690</v>
      </c>
      <c r="G28" s="3">
        <v>351</v>
      </c>
      <c r="H28" s="352">
        <f>MAXA(0,(H24-H26))</f>
        <v>0</v>
      </c>
      <c r="I28" s="1097" t="s">
        <v>1886</v>
      </c>
      <c r="J28" s="352">
        <f>+H28</f>
        <v>0</v>
      </c>
      <c r="K28" s="176">
        <v>9</v>
      </c>
      <c r="L28" s="1566"/>
    </row>
    <row r="29" spans="1:12" ht="15.75">
      <c r="A29" s="1388" t="s">
        <v>2393</v>
      </c>
      <c r="B29" s="175"/>
      <c r="C29" s="170"/>
      <c r="D29" s="82"/>
      <c r="E29" s="82"/>
      <c r="F29" s="82"/>
      <c r="G29" s="82"/>
      <c r="H29" s="101" t="s">
        <v>692</v>
      </c>
      <c r="I29" s="78"/>
      <c r="J29" s="78"/>
      <c r="K29" s="117"/>
      <c r="L29" s="1566"/>
    </row>
    <row r="30" spans="1:12" ht="15.75">
      <c r="A30" s="75"/>
      <c r="B30" s="75"/>
      <c r="C30" s="75"/>
      <c r="D30" s="75"/>
      <c r="E30" s="75"/>
      <c r="F30" s="75"/>
      <c r="G30" s="75"/>
      <c r="H30" s="90" t="s">
        <v>1377</v>
      </c>
      <c r="I30" s="78"/>
      <c r="J30" s="619">
        <f>MAXA(0,J22-J28)</f>
        <v>0</v>
      </c>
      <c r="K30" s="176">
        <v>10</v>
      </c>
      <c r="L30" s="1566"/>
    </row>
    <row r="31" spans="1:12" ht="15.75">
      <c r="A31" s="78"/>
      <c r="B31" s="78"/>
      <c r="C31" s="78"/>
      <c r="D31" s="78"/>
      <c r="E31" s="78"/>
      <c r="F31" s="78"/>
      <c r="G31" s="78"/>
      <c r="H31" s="79"/>
      <c r="I31" s="78"/>
      <c r="J31" s="78"/>
      <c r="K31" s="106"/>
      <c r="L31" s="1566"/>
    </row>
    <row r="32" spans="1:12" ht="15.75">
      <c r="A32" s="78"/>
      <c r="B32" s="78"/>
      <c r="C32" s="78"/>
      <c r="D32" s="78"/>
      <c r="E32" s="78"/>
      <c r="F32" s="78"/>
      <c r="G32" s="78"/>
      <c r="H32" s="79"/>
      <c r="I32" s="78"/>
      <c r="J32" s="78"/>
      <c r="K32" s="106"/>
      <c r="L32" s="1566"/>
    </row>
    <row r="33" spans="1:12" ht="15.75">
      <c r="A33" s="78" t="s">
        <v>613</v>
      </c>
      <c r="B33" s="78"/>
      <c r="C33" s="78"/>
      <c r="D33" s="78"/>
      <c r="E33" s="78"/>
      <c r="F33" s="78"/>
      <c r="G33" s="78"/>
      <c r="H33" s="79"/>
      <c r="I33" s="78"/>
      <c r="J33" s="78"/>
      <c r="K33" s="95"/>
      <c r="L33" s="1566"/>
    </row>
    <row r="34" spans="2:11" ht="15.75">
      <c r="B34" s="60"/>
      <c r="C34" s="60"/>
      <c r="D34" s="60"/>
      <c r="E34" s="60"/>
      <c r="F34" s="60"/>
      <c r="G34" s="60"/>
      <c r="H34" s="62"/>
      <c r="I34" s="60"/>
      <c r="J34" s="63"/>
      <c r="K34" s="61"/>
    </row>
    <row r="35" spans="1:11" ht="15">
      <c r="A35" s="60"/>
      <c r="B35" s="60"/>
      <c r="C35" s="60"/>
      <c r="D35" s="60"/>
      <c r="E35" s="60"/>
      <c r="F35" s="60"/>
      <c r="G35" s="60"/>
      <c r="H35" s="60"/>
      <c r="I35" s="60"/>
      <c r="J35" s="60"/>
      <c r="K35" s="60" t="s">
        <v>1773</v>
      </c>
    </row>
  </sheetData>
  <sheetProtection password="EC35" sheet="1" objects="1" scenarios="1"/>
  <mergeCells count="1">
    <mergeCell ref="L1:L33"/>
  </mergeCells>
  <printOptions horizontalCentered="1"/>
  <pageMargins left="0.07874015748031496" right="0.07874015748031496" top="0.5118110236220472" bottom="0.5118110236220472" header="0.5118110236220472" footer="0.5118110236220472"/>
  <pageSetup fitToHeight="0" fitToWidth="1" horizontalDpi="600" verticalDpi="600" orientation="portrait" scale="71" r:id="rId1"/>
  <rowBreaks count="1" manualBreakCount="1">
    <brk id="63" max="65535" man="1"/>
  </rowBreaks>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N61"/>
  <sheetViews>
    <sheetView zoomScalePageLayoutView="0" workbookViewId="0" topLeftCell="A1">
      <selection activeCell="A1" sqref="A1"/>
    </sheetView>
  </sheetViews>
  <sheetFormatPr defaultColWidth="9.77734375" defaultRowHeight="15"/>
  <cols>
    <col min="1" max="1" width="3.77734375" style="579" customWidth="1"/>
    <col min="2" max="4" width="9.77734375" style="579" customWidth="1"/>
    <col min="5" max="5" width="8.77734375" style="579" customWidth="1"/>
    <col min="6" max="6" width="5.77734375" style="579" customWidth="1"/>
    <col min="7" max="7" width="4.77734375" style="579" customWidth="1"/>
    <col min="8" max="9" width="13.77734375" style="579" customWidth="1"/>
    <col min="10" max="10" width="10.77734375" style="579" customWidth="1"/>
    <col min="11" max="11" width="5.77734375" style="579" customWidth="1"/>
    <col min="12" max="12" width="14.77734375" style="579" customWidth="1"/>
    <col min="13" max="13" width="3.77734375" style="579" customWidth="1"/>
    <col min="14" max="14" width="8.3359375" style="579" customWidth="1"/>
    <col min="15" max="16384" width="9.77734375" style="579" customWidth="1"/>
  </cols>
  <sheetData>
    <row r="1" spans="1:14" ht="23.25">
      <c r="A1" s="135" t="str">
        <f>"T1-"&amp;yeartext</f>
        <v>T1-2009</v>
      </c>
      <c r="B1" s="114"/>
      <c r="C1" s="114"/>
      <c r="D1" s="114"/>
      <c r="E1" s="78"/>
      <c r="F1" s="774"/>
      <c r="G1" s="774"/>
      <c r="H1" s="1279" t="str">
        <f>"Capital Gains (or Losses) in "&amp;yeartext</f>
        <v>Capital Gains (or Losses) in 2009</v>
      </c>
      <c r="I1" s="114"/>
      <c r="J1" s="114"/>
      <c r="K1" s="114"/>
      <c r="L1" s="1185" t="s">
        <v>1774</v>
      </c>
      <c r="M1" s="1185"/>
      <c r="N1" s="1566" t="s">
        <v>35</v>
      </c>
    </row>
    <row r="2" spans="1:14" ht="15">
      <c r="A2" s="78" t="s">
        <v>659</v>
      </c>
      <c r="B2" s="78"/>
      <c r="C2" s="78"/>
      <c r="D2" s="78"/>
      <c r="E2" s="78"/>
      <c r="F2" s="78"/>
      <c r="G2" s="78"/>
      <c r="H2" s="78"/>
      <c r="I2" s="78"/>
      <c r="J2" s="78"/>
      <c r="K2" s="78"/>
      <c r="L2" s="78"/>
      <c r="M2" s="78"/>
      <c r="N2" s="1566"/>
    </row>
    <row r="3" spans="1:14" ht="15.75">
      <c r="A3" s="78" t="s">
        <v>521</v>
      </c>
      <c r="B3" s="78"/>
      <c r="C3" s="78"/>
      <c r="D3" s="78"/>
      <c r="E3" s="78"/>
      <c r="F3" s="78"/>
      <c r="G3" s="78"/>
      <c r="H3" s="78"/>
      <c r="I3" s="78"/>
      <c r="J3" s="78"/>
      <c r="K3" s="78"/>
      <c r="L3" s="78"/>
      <c r="M3" s="78"/>
      <c r="N3" s="1566"/>
    </row>
    <row r="4" spans="1:14" ht="15">
      <c r="A4" s="78"/>
      <c r="B4" s="78"/>
      <c r="C4" s="78"/>
      <c r="D4" s="78"/>
      <c r="E4" s="78"/>
      <c r="F4" s="78"/>
      <c r="G4" s="78"/>
      <c r="H4" s="78"/>
      <c r="I4" s="78"/>
      <c r="J4" s="78"/>
      <c r="K4" s="78"/>
      <c r="L4" s="78"/>
      <c r="M4" s="78"/>
      <c r="N4" s="1566"/>
    </row>
    <row r="5" spans="1:14" ht="15.75">
      <c r="A5" s="148"/>
      <c r="B5" s="82"/>
      <c r="C5" s="82"/>
      <c r="D5" s="82"/>
      <c r="E5" s="82"/>
      <c r="F5" s="1710" t="s">
        <v>1775</v>
      </c>
      <c r="G5" s="1711"/>
      <c r="H5" s="182" t="s">
        <v>1776</v>
      </c>
      <c r="I5" s="182" t="s">
        <v>1777</v>
      </c>
      <c r="J5" s="1710" t="s">
        <v>1778</v>
      </c>
      <c r="K5" s="1711"/>
      <c r="L5" s="182" t="s">
        <v>1559</v>
      </c>
      <c r="M5" s="167"/>
      <c r="N5" s="1566"/>
    </row>
    <row r="6" spans="1:14" ht="15.75">
      <c r="A6" s="699" t="s">
        <v>607</v>
      </c>
      <c r="B6" s="78"/>
      <c r="C6" s="121"/>
      <c r="D6" s="121"/>
      <c r="E6" s="121"/>
      <c r="F6" s="1712" t="s">
        <v>1560</v>
      </c>
      <c r="G6" s="1713"/>
      <c r="H6" s="1105" t="s">
        <v>1561</v>
      </c>
      <c r="I6" s="1105" t="s">
        <v>373</v>
      </c>
      <c r="J6" s="1712" t="s">
        <v>1562</v>
      </c>
      <c r="K6" s="1713"/>
      <c r="L6" s="1105" t="s">
        <v>200</v>
      </c>
      <c r="M6" s="1249"/>
      <c r="N6" s="1566"/>
    </row>
    <row r="7" spans="1:14" ht="15">
      <c r="A7" s="120" t="s">
        <v>371</v>
      </c>
      <c r="B7" s="78"/>
      <c r="C7" s="121"/>
      <c r="D7" s="121"/>
      <c r="E7" s="121"/>
      <c r="F7" s="1712" t="s">
        <v>201</v>
      </c>
      <c r="G7" s="1713"/>
      <c r="H7" s="1105" t="s">
        <v>202</v>
      </c>
      <c r="I7" s="1105" t="s">
        <v>374</v>
      </c>
      <c r="J7" s="1712" t="s">
        <v>372</v>
      </c>
      <c r="K7" s="1713"/>
      <c r="L7" s="1105" t="s">
        <v>1793</v>
      </c>
      <c r="M7" s="1249"/>
      <c r="N7" s="1566"/>
    </row>
    <row r="8" spans="1:14" ht="15">
      <c r="A8" s="1699"/>
      <c r="B8" s="1679"/>
      <c r="C8" s="75"/>
      <c r="D8" s="75"/>
      <c r="E8" s="75"/>
      <c r="F8" s="1700"/>
      <c r="G8" s="1701"/>
      <c r="H8" s="183"/>
      <c r="I8" s="183"/>
      <c r="J8" s="1700"/>
      <c r="K8" s="1701"/>
      <c r="L8" s="1106" t="s">
        <v>472</v>
      </c>
      <c r="M8" s="1249"/>
      <c r="N8" s="1566"/>
    </row>
    <row r="9" spans="1:14" ht="18" customHeight="1">
      <c r="A9" s="1720" t="s">
        <v>2178</v>
      </c>
      <c r="B9" s="95" t="s">
        <v>530</v>
      </c>
      <c r="C9" s="78"/>
      <c r="D9" s="78"/>
      <c r="E9" s="78"/>
      <c r="F9" s="578"/>
      <c r="G9" s="1386" t="s">
        <v>2170</v>
      </c>
      <c r="H9" s="1386"/>
      <c r="I9" s="1386"/>
      <c r="J9" s="1386"/>
      <c r="K9" s="1386"/>
      <c r="L9" s="1387"/>
      <c r="M9" s="78"/>
      <c r="N9" s="1566"/>
    </row>
    <row r="10" spans="1:14" ht="15.75">
      <c r="A10" s="1721"/>
      <c r="B10" s="1702" t="s">
        <v>531</v>
      </c>
      <c r="C10" s="1579"/>
      <c r="D10" s="1579"/>
      <c r="E10" s="1579"/>
      <c r="F10" s="1579"/>
      <c r="G10" s="1579"/>
      <c r="H10" s="1579"/>
      <c r="I10" s="1579"/>
      <c r="J10" s="1579"/>
      <c r="K10" s="1579"/>
      <c r="L10" s="1703"/>
      <c r="M10" s="78"/>
      <c r="N10" s="1566"/>
    </row>
    <row r="11" spans="1:14" ht="20.25" customHeight="1">
      <c r="A11" s="1721"/>
      <c r="B11" s="1384" t="s">
        <v>1045</v>
      </c>
      <c r="C11" s="1725" t="s">
        <v>2169</v>
      </c>
      <c r="D11" s="1726"/>
      <c r="E11" s="1706"/>
      <c r="F11" s="121"/>
      <c r="G11" s="121"/>
      <c r="H11" s="121"/>
      <c r="I11" s="121"/>
      <c r="J11" s="121"/>
      <c r="K11" s="121"/>
      <c r="L11" s="121"/>
      <c r="M11" s="1403"/>
      <c r="N11" s="1566"/>
    </row>
    <row r="12" spans="1:14" ht="15">
      <c r="A12" s="1721"/>
      <c r="B12" s="1289"/>
      <c r="C12" s="1691"/>
      <c r="D12" s="1717"/>
      <c r="E12" s="1692"/>
      <c r="F12" s="1714"/>
      <c r="G12" s="1715"/>
      <c r="H12" s="178"/>
      <c r="I12" s="178"/>
      <c r="J12" s="1282"/>
      <c r="K12" s="122"/>
      <c r="L12" s="618">
        <f>H12-I12-J12</f>
        <v>0</v>
      </c>
      <c r="M12" s="1249"/>
      <c r="N12" s="1566"/>
    </row>
    <row r="13" spans="1:14" ht="15.75">
      <c r="A13" s="1721"/>
      <c r="B13" s="82"/>
      <c r="C13" s="82"/>
      <c r="D13" s="82"/>
      <c r="E13" s="102"/>
      <c r="F13" s="102" t="s">
        <v>1217</v>
      </c>
      <c r="G13" s="1281">
        <v>106</v>
      </c>
      <c r="H13" s="1405">
        <f>H12</f>
        <v>0</v>
      </c>
      <c r="I13" s="185"/>
      <c r="J13" s="1280" t="s">
        <v>200</v>
      </c>
      <c r="K13" s="1281">
        <v>107</v>
      </c>
      <c r="L13" s="1405">
        <f>L12</f>
        <v>0</v>
      </c>
      <c r="M13" s="1249"/>
      <c r="N13" s="1566"/>
    </row>
    <row r="14" spans="1:14" ht="15.75">
      <c r="A14" s="1721"/>
      <c r="B14" s="96" t="s">
        <v>2171</v>
      </c>
      <c r="C14" s="75"/>
      <c r="D14" s="75"/>
      <c r="E14" s="75"/>
      <c r="F14" s="121"/>
      <c r="G14" s="121"/>
      <c r="H14" s="82"/>
      <c r="I14" s="121"/>
      <c r="J14" s="121"/>
      <c r="K14" s="121"/>
      <c r="L14" s="78"/>
      <c r="M14" s="1403"/>
      <c r="N14" s="1566"/>
    </row>
    <row r="15" spans="1:14" ht="21.75" customHeight="1">
      <c r="A15" s="1721"/>
      <c r="B15" s="1402" t="s">
        <v>978</v>
      </c>
      <c r="C15" s="1385"/>
      <c r="D15" s="1385"/>
      <c r="E15" s="1283" t="s">
        <v>2172</v>
      </c>
      <c r="F15" s="121"/>
      <c r="G15" s="121"/>
      <c r="H15" s="121"/>
      <c r="I15" s="121"/>
      <c r="J15" s="121"/>
      <c r="K15" s="121"/>
      <c r="L15" s="78"/>
      <c r="M15" s="1403"/>
      <c r="N15" s="1566"/>
    </row>
    <row r="16" spans="1:14" ht="15">
      <c r="A16" s="1721"/>
      <c r="B16" s="1722"/>
      <c r="C16" s="1723"/>
      <c r="D16" s="1724"/>
      <c r="E16" s="1284"/>
      <c r="F16" s="1689"/>
      <c r="G16" s="1719"/>
      <c r="H16" s="178"/>
      <c r="I16" s="178"/>
      <c r="J16" s="1282"/>
      <c r="K16" s="122"/>
      <c r="L16" s="618">
        <f>H16-I16-J16</f>
        <v>0</v>
      </c>
      <c r="M16" s="1249"/>
      <c r="N16" s="1566"/>
    </row>
    <row r="17" spans="1:14" ht="15.75">
      <c r="A17" s="1721"/>
      <c r="B17" s="122"/>
      <c r="C17" s="121"/>
      <c r="D17" s="121"/>
      <c r="E17" s="101"/>
      <c r="F17" s="102" t="s">
        <v>1217</v>
      </c>
      <c r="G17" s="1281">
        <v>109</v>
      </c>
      <c r="H17" s="1405">
        <f>H16</f>
        <v>0</v>
      </c>
      <c r="I17" s="185"/>
      <c r="J17" s="1280" t="s">
        <v>200</v>
      </c>
      <c r="K17" s="1281">
        <v>110</v>
      </c>
      <c r="L17" s="1405">
        <f>L16</f>
        <v>0</v>
      </c>
      <c r="M17" s="1249"/>
      <c r="N17" s="1566"/>
    </row>
    <row r="18" spans="1:14" ht="46.5" customHeight="1">
      <c r="A18" s="1721"/>
      <c r="B18" s="1704" t="s">
        <v>2173</v>
      </c>
      <c r="C18" s="1705"/>
      <c r="D18" s="1706"/>
      <c r="E18" s="1283" t="s">
        <v>2172</v>
      </c>
      <c r="F18" s="121"/>
      <c r="G18" s="121"/>
      <c r="H18" s="82"/>
      <c r="I18" s="82"/>
      <c r="J18" s="82"/>
      <c r="K18" s="121"/>
      <c r="L18" s="78"/>
      <c r="M18" s="1403"/>
      <c r="N18" s="1566"/>
    </row>
    <row r="19" spans="1:14" ht="15">
      <c r="A19" s="1721"/>
      <c r="B19" s="1707"/>
      <c r="C19" s="1708"/>
      <c r="D19" s="1709"/>
      <c r="E19" s="1233"/>
      <c r="F19" s="1689"/>
      <c r="G19" s="1696"/>
      <c r="H19" s="178"/>
      <c r="I19" s="178"/>
      <c r="J19" s="1232"/>
      <c r="K19" s="122"/>
      <c r="L19" s="618">
        <f>H19-I19-J19</f>
        <v>0</v>
      </c>
      <c r="M19" s="1249"/>
      <c r="N19" s="1566"/>
    </row>
    <row r="20" spans="1:14" ht="15.75">
      <c r="A20" s="585"/>
      <c r="B20" s="82"/>
      <c r="C20" s="82"/>
      <c r="D20" s="82"/>
      <c r="E20" s="102"/>
      <c r="F20" s="102" t="s">
        <v>1217</v>
      </c>
      <c r="G20" s="1281">
        <v>123</v>
      </c>
      <c r="H20" s="1405">
        <f>H19</f>
        <v>0</v>
      </c>
      <c r="I20" s="185"/>
      <c r="J20" s="1280" t="s">
        <v>200</v>
      </c>
      <c r="K20" s="1281">
        <v>124</v>
      </c>
      <c r="L20" s="1405">
        <f>+L19</f>
        <v>0</v>
      </c>
      <c r="M20" s="1249"/>
      <c r="N20" s="1566"/>
    </row>
    <row r="21" spans="1:14" ht="35.25" customHeight="1">
      <c r="A21" s="1718" t="s">
        <v>1869</v>
      </c>
      <c r="B21" s="1579"/>
      <c r="C21" s="1579"/>
      <c r="D21" s="1579"/>
      <c r="E21" s="1579"/>
      <c r="F21" s="1579"/>
      <c r="G21" s="1579"/>
      <c r="H21" s="1579"/>
      <c r="I21" s="1579"/>
      <c r="J21" s="1579"/>
      <c r="K21" s="1579"/>
      <c r="L21" s="1579"/>
      <c r="M21" s="78"/>
      <c r="N21" s="1566"/>
    </row>
    <row r="22" spans="1:14" ht="15.75" customHeight="1">
      <c r="A22" s="578"/>
      <c r="B22" s="886" t="s">
        <v>1357</v>
      </c>
      <c r="C22" s="75"/>
      <c r="D22" s="75"/>
      <c r="E22" s="75"/>
      <c r="F22" s="121"/>
      <c r="G22" s="121"/>
      <c r="H22" s="121"/>
      <c r="I22" s="121"/>
      <c r="J22" s="121"/>
      <c r="K22" s="121"/>
      <c r="L22" s="78"/>
      <c r="M22" s="78"/>
      <c r="N22" s="1566"/>
    </row>
    <row r="23" spans="1:14" ht="15">
      <c r="A23" s="1685" t="s">
        <v>1045</v>
      </c>
      <c r="B23" s="1686"/>
      <c r="C23" s="180" t="s">
        <v>1872</v>
      </c>
      <c r="D23" s="180"/>
      <c r="E23" s="137"/>
      <c r="F23" s="120"/>
      <c r="G23" s="121"/>
      <c r="H23" s="121"/>
      <c r="I23" s="121"/>
      <c r="J23" s="121"/>
      <c r="K23" s="121"/>
      <c r="L23" s="78"/>
      <c r="M23" s="78"/>
      <c r="N23" s="1566"/>
    </row>
    <row r="24" spans="1:14" ht="15">
      <c r="A24" s="1687"/>
      <c r="B24" s="1688"/>
      <c r="C24" s="1693"/>
      <c r="D24" s="1694"/>
      <c r="E24" s="1695"/>
      <c r="F24" s="1689"/>
      <c r="G24" s="1696"/>
      <c r="H24" s="178"/>
      <c r="I24" s="178"/>
      <c r="J24" s="1697"/>
      <c r="K24" s="1698"/>
      <c r="L24" s="617">
        <f>H24-I24-J24</f>
        <v>0</v>
      </c>
      <c r="M24" s="78"/>
      <c r="N24" s="1566"/>
    </row>
    <row r="25" spans="1:14" ht="15.75">
      <c r="A25" s="578"/>
      <c r="B25" s="82"/>
      <c r="C25" s="82"/>
      <c r="D25" s="82"/>
      <c r="E25" s="102"/>
      <c r="F25" s="102" t="s">
        <v>1217</v>
      </c>
      <c r="G25" s="1102">
        <v>131</v>
      </c>
      <c r="H25" s="184">
        <f>H24</f>
        <v>0</v>
      </c>
      <c r="I25" s="185"/>
      <c r="J25" s="102" t="s">
        <v>200</v>
      </c>
      <c r="K25" s="1103">
        <v>132</v>
      </c>
      <c r="L25" s="1404">
        <f>L24</f>
        <v>0</v>
      </c>
      <c r="M25" s="78"/>
      <c r="N25" s="1566"/>
    </row>
    <row r="26" spans="1:14" ht="15.75">
      <c r="A26" s="96" t="s">
        <v>1358</v>
      </c>
      <c r="B26" s="96"/>
      <c r="C26" s="75"/>
      <c r="D26" s="75"/>
      <c r="E26" s="75"/>
      <c r="F26" s="121"/>
      <c r="G26" s="121"/>
      <c r="H26" s="82"/>
      <c r="I26" s="121"/>
      <c r="J26" s="121"/>
      <c r="K26" s="121"/>
      <c r="L26" s="78"/>
      <c r="M26" s="78"/>
      <c r="N26" s="1566"/>
    </row>
    <row r="27" spans="1:14" ht="15">
      <c r="A27" s="179" t="s">
        <v>1359</v>
      </c>
      <c r="B27" s="180"/>
      <c r="C27" s="180"/>
      <c r="D27" s="180"/>
      <c r="E27" s="1288" t="s">
        <v>2172</v>
      </c>
      <c r="F27" s="120"/>
      <c r="G27" s="121"/>
      <c r="H27" s="121"/>
      <c r="I27" s="121"/>
      <c r="J27" s="121"/>
      <c r="K27" s="121"/>
      <c r="L27" s="78"/>
      <c r="M27" s="78"/>
      <c r="N27" s="1566"/>
    </row>
    <row r="28" spans="1:14" ht="15">
      <c r="A28" s="1689"/>
      <c r="B28" s="1650"/>
      <c r="C28" s="1650"/>
      <c r="D28" s="1684"/>
      <c r="E28" s="1289"/>
      <c r="F28" s="1689"/>
      <c r="G28" s="1696"/>
      <c r="H28" s="178"/>
      <c r="I28" s="178"/>
      <c r="J28" s="1697"/>
      <c r="K28" s="1698"/>
      <c r="L28" s="617">
        <f>H28-I28-J28</f>
        <v>0</v>
      </c>
      <c r="M28" s="78"/>
      <c r="N28" s="1566"/>
    </row>
    <row r="29" spans="1:14" ht="15.75">
      <c r="A29" s="578"/>
      <c r="B29" s="121"/>
      <c r="C29" s="121"/>
      <c r="D29" s="121"/>
      <c r="E29" s="101"/>
      <c r="F29" s="102" t="s">
        <v>1217</v>
      </c>
      <c r="G29" s="1102">
        <v>136</v>
      </c>
      <c r="H29" s="184">
        <f>H28</f>
        <v>0</v>
      </c>
      <c r="I29" s="185"/>
      <c r="J29" s="102" t="s">
        <v>200</v>
      </c>
      <c r="K29" s="1103">
        <v>138</v>
      </c>
      <c r="L29" s="1098">
        <f>L28</f>
        <v>0</v>
      </c>
      <c r="M29" s="78"/>
      <c r="N29" s="1566"/>
    </row>
    <row r="30" spans="1:14" ht="15.75">
      <c r="A30" s="96" t="s">
        <v>1360</v>
      </c>
      <c r="B30" s="96"/>
      <c r="C30" s="75"/>
      <c r="D30" s="75"/>
      <c r="E30" s="75"/>
      <c r="F30" s="121"/>
      <c r="G30" s="121"/>
      <c r="H30" s="82"/>
      <c r="I30" s="121"/>
      <c r="J30" s="121"/>
      <c r="K30" s="121"/>
      <c r="L30" s="78"/>
      <c r="M30" s="78"/>
      <c r="N30" s="1566"/>
    </row>
    <row r="31" spans="1:14" ht="15">
      <c r="A31" s="1685" t="s">
        <v>633</v>
      </c>
      <c r="B31" s="1686"/>
      <c r="C31" s="773" t="s">
        <v>634</v>
      </c>
      <c r="D31" s="1685" t="s">
        <v>1871</v>
      </c>
      <c r="E31" s="1690"/>
      <c r="F31" s="120"/>
      <c r="G31" s="121"/>
      <c r="H31" s="121"/>
      <c r="I31" s="121"/>
      <c r="J31" s="121"/>
      <c r="K31" s="121"/>
      <c r="L31" s="78"/>
      <c r="M31" s="78"/>
      <c r="N31" s="1566"/>
    </row>
    <row r="32" spans="1:14" ht="15">
      <c r="A32" s="1691"/>
      <c r="B32" s="1692"/>
      <c r="C32" s="1287"/>
      <c r="D32" s="1691"/>
      <c r="E32" s="1692"/>
      <c r="F32" s="1689"/>
      <c r="G32" s="1696"/>
      <c r="H32" s="178"/>
      <c r="I32" s="178"/>
      <c r="J32" s="1697"/>
      <c r="K32" s="1698"/>
      <c r="L32" s="617">
        <f>H32-I32-J32</f>
        <v>0</v>
      </c>
      <c r="M32" s="78"/>
      <c r="N32" s="1566"/>
    </row>
    <row r="33" spans="1:14" ht="15.75">
      <c r="A33" s="578"/>
      <c r="B33" s="82"/>
      <c r="C33" s="82"/>
      <c r="D33" s="82"/>
      <c r="E33" s="102"/>
      <c r="F33" s="102" t="s">
        <v>1217</v>
      </c>
      <c r="G33" s="1102">
        <v>151</v>
      </c>
      <c r="H33" s="184">
        <f>H32</f>
        <v>0</v>
      </c>
      <c r="I33" s="185"/>
      <c r="J33" s="102" t="s">
        <v>200</v>
      </c>
      <c r="K33" s="1103">
        <v>153</v>
      </c>
      <c r="L33" s="1098">
        <f>L32</f>
        <v>0</v>
      </c>
      <c r="M33" s="78"/>
      <c r="N33" s="1566"/>
    </row>
    <row r="34" spans="1:14" ht="15.75">
      <c r="A34" s="96" t="s">
        <v>1361</v>
      </c>
      <c r="B34" s="96"/>
      <c r="C34" s="75"/>
      <c r="D34" s="75"/>
      <c r="E34" s="75"/>
      <c r="F34" s="121"/>
      <c r="G34" s="121"/>
      <c r="H34" s="82"/>
      <c r="I34" s="121"/>
      <c r="J34" s="121"/>
      <c r="K34" s="121"/>
      <c r="L34" s="78"/>
      <c r="M34" s="78"/>
      <c r="N34" s="1566"/>
    </row>
    <row r="35" spans="1:14" ht="15">
      <c r="A35" s="179" t="s">
        <v>978</v>
      </c>
      <c r="B35" s="179"/>
      <c r="C35" s="180"/>
      <c r="D35" s="180"/>
      <c r="E35" s="1288" t="s">
        <v>2172</v>
      </c>
      <c r="F35" s="120"/>
      <c r="G35" s="121"/>
      <c r="H35" s="121"/>
      <c r="I35" s="121"/>
      <c r="J35" s="121"/>
      <c r="K35" s="121"/>
      <c r="L35" s="78"/>
      <c r="M35" s="78"/>
      <c r="N35" s="1566"/>
    </row>
    <row r="36" spans="1:14" ht="15">
      <c r="A36" s="1689"/>
      <c r="B36" s="1650"/>
      <c r="C36" s="1650"/>
      <c r="D36" s="1684"/>
      <c r="E36" s="1289"/>
      <c r="F36" s="1689" t="s">
        <v>1019</v>
      </c>
      <c r="G36" s="1696"/>
      <c r="H36" s="178"/>
      <c r="I36" s="178"/>
      <c r="J36" s="1697"/>
      <c r="K36" s="1698"/>
      <c r="L36" s="617">
        <f>H36-I36-J36</f>
        <v>0</v>
      </c>
      <c r="M36" s="78"/>
      <c r="N36" s="1566"/>
    </row>
    <row r="37" spans="1:14" ht="15.75">
      <c r="A37" s="578"/>
      <c r="B37" s="121"/>
      <c r="C37" s="121"/>
      <c r="D37" s="121"/>
      <c r="E37" s="101"/>
      <c r="F37" s="102" t="s">
        <v>1217</v>
      </c>
      <c r="G37" s="1102">
        <v>154</v>
      </c>
      <c r="H37" s="184">
        <f>H36</f>
        <v>0</v>
      </c>
      <c r="I37" s="185"/>
      <c r="J37" s="102" t="s">
        <v>200</v>
      </c>
      <c r="K37" s="1103">
        <v>155</v>
      </c>
      <c r="L37" s="1098">
        <f>L36</f>
        <v>0</v>
      </c>
      <c r="M37" s="78"/>
      <c r="N37" s="1566"/>
    </row>
    <row r="38" spans="1:14" ht="15.75">
      <c r="A38" s="99" t="s">
        <v>1362</v>
      </c>
      <c r="B38" s="99"/>
      <c r="C38" s="121"/>
      <c r="D38" s="121"/>
      <c r="E38" s="121"/>
      <c r="F38" s="121"/>
      <c r="G38" s="121"/>
      <c r="H38" s="82"/>
      <c r="I38" s="121"/>
      <c r="J38" s="121"/>
      <c r="K38" s="121"/>
      <c r="L38" s="78"/>
      <c r="M38" s="78"/>
      <c r="N38" s="1566"/>
    </row>
    <row r="39" spans="1:14" ht="15">
      <c r="A39" s="1683"/>
      <c r="B39" s="1650"/>
      <c r="C39" s="1650"/>
      <c r="D39" s="1650"/>
      <c r="E39" s="1684"/>
      <c r="F39" s="1689"/>
      <c r="G39" s="1696"/>
      <c r="H39" s="178"/>
      <c r="I39" s="178"/>
      <c r="J39" s="1697"/>
      <c r="K39" s="1698"/>
      <c r="L39" s="617">
        <f>H39-I39-J39</f>
        <v>0</v>
      </c>
      <c r="M39" s="78"/>
      <c r="N39" s="1566"/>
    </row>
    <row r="40" spans="1:14" ht="15.75">
      <c r="A40" s="578"/>
      <c r="B40" s="121"/>
      <c r="C40" s="121"/>
      <c r="D40" s="121"/>
      <c r="E40" s="101"/>
      <c r="F40" s="82"/>
      <c r="G40" s="82"/>
      <c r="H40" s="82"/>
      <c r="I40" s="102"/>
      <c r="J40" s="102" t="s">
        <v>1356</v>
      </c>
      <c r="K40" s="3">
        <v>158</v>
      </c>
      <c r="L40" s="184">
        <f>L39</f>
        <v>0</v>
      </c>
      <c r="M40" s="78"/>
      <c r="N40" s="1566"/>
    </row>
    <row r="41" spans="1:14" ht="15.75">
      <c r="A41" s="99" t="s">
        <v>1363</v>
      </c>
      <c r="B41" s="99"/>
      <c r="C41" s="121"/>
      <c r="D41" s="121"/>
      <c r="E41" s="121"/>
      <c r="F41" s="121"/>
      <c r="G41" s="121"/>
      <c r="H41" s="121"/>
      <c r="I41" s="121"/>
      <c r="J41" s="121"/>
      <c r="K41" s="121"/>
      <c r="L41" s="121"/>
      <c r="M41" s="78"/>
      <c r="N41" s="1566"/>
    </row>
    <row r="42" spans="1:14" ht="15">
      <c r="A42" s="1683"/>
      <c r="B42" s="1650"/>
      <c r="C42" s="1650"/>
      <c r="D42" s="1650"/>
      <c r="E42" s="1684"/>
      <c r="F42" s="1689"/>
      <c r="G42" s="1696"/>
      <c r="H42" s="178"/>
      <c r="I42" s="178"/>
      <c r="J42" s="1697"/>
      <c r="K42" s="1698"/>
      <c r="L42" s="617">
        <f>H42-I42-J42</f>
        <v>0</v>
      </c>
      <c r="M42" s="78"/>
      <c r="N42" s="1566"/>
    </row>
    <row r="43" spans="1:14" ht="15.75">
      <c r="A43" s="99" t="s">
        <v>2120</v>
      </c>
      <c r="B43" s="99"/>
      <c r="C43" s="121"/>
      <c r="D43" s="121"/>
      <c r="E43" s="101"/>
      <c r="F43" s="82"/>
      <c r="G43" s="82"/>
      <c r="H43" s="82"/>
      <c r="I43" s="102"/>
      <c r="J43" s="102"/>
      <c r="K43" s="102" t="s">
        <v>532</v>
      </c>
      <c r="L43" s="184"/>
      <c r="M43" s="78"/>
      <c r="N43" s="1566"/>
    </row>
    <row r="44" spans="1:14" ht="15.75">
      <c r="A44" s="121" t="s">
        <v>1873</v>
      </c>
      <c r="B44" s="121"/>
      <c r="C44" s="121"/>
      <c r="D44" s="121"/>
      <c r="E44" s="121"/>
      <c r="F44" s="121"/>
      <c r="G44" s="121"/>
      <c r="H44" s="121"/>
      <c r="I44" s="121"/>
      <c r="J44" s="101" t="s">
        <v>1355</v>
      </c>
      <c r="K44" s="3">
        <v>159</v>
      </c>
      <c r="L44" s="619">
        <f>L42-L43</f>
        <v>0</v>
      </c>
      <c r="M44" s="78"/>
      <c r="N44" s="1566"/>
    </row>
    <row r="45" spans="1:14" ht="15">
      <c r="A45" s="578"/>
      <c r="B45" s="121"/>
      <c r="C45" s="121"/>
      <c r="D45" s="121"/>
      <c r="E45" s="121"/>
      <c r="F45" s="121"/>
      <c r="G45" s="121"/>
      <c r="H45" s="121"/>
      <c r="I45" s="121"/>
      <c r="J45" s="121"/>
      <c r="K45" s="101"/>
      <c r="L45" s="121"/>
      <c r="M45" s="103"/>
      <c r="N45" s="1566"/>
    </row>
    <row r="46" spans="1:14" ht="15.75">
      <c r="A46" s="585" t="s">
        <v>2174</v>
      </c>
      <c r="B46" s="121"/>
      <c r="C46" s="121"/>
      <c r="D46" s="121"/>
      <c r="E46" s="121"/>
      <c r="F46" s="121"/>
      <c r="G46" s="121"/>
      <c r="H46" s="121"/>
      <c r="I46" s="121"/>
      <c r="J46" s="121"/>
      <c r="K46" s="101"/>
      <c r="L46" s="121"/>
      <c r="M46" s="103"/>
      <c r="N46" s="1566"/>
    </row>
    <row r="47" spans="1:14" ht="15.75">
      <c r="A47" s="586"/>
      <c r="B47" s="75"/>
      <c r="C47" s="75"/>
      <c r="D47" s="75"/>
      <c r="E47" s="75"/>
      <c r="F47" s="75"/>
      <c r="G47" s="75"/>
      <c r="H47" s="75"/>
      <c r="I47" s="98"/>
      <c r="J47" s="98"/>
      <c r="K47" s="1285">
        <v>161</v>
      </c>
      <c r="L47" s="1107"/>
      <c r="M47" s="103"/>
      <c r="N47" s="1566"/>
    </row>
    <row r="48" spans="1:14" ht="15">
      <c r="A48" s="121" t="s">
        <v>1870</v>
      </c>
      <c r="B48" s="121"/>
      <c r="C48" s="121"/>
      <c r="D48" s="121"/>
      <c r="E48" s="121"/>
      <c r="F48" s="121"/>
      <c r="G48" s="121"/>
      <c r="H48" s="121"/>
      <c r="I48" s="121"/>
      <c r="J48" s="121"/>
      <c r="K48" s="121"/>
      <c r="L48" s="121"/>
      <c r="M48" s="78"/>
      <c r="N48" s="1566"/>
    </row>
    <row r="49" spans="1:14" ht="15.75">
      <c r="A49" s="75" t="s">
        <v>2175</v>
      </c>
      <c r="B49" s="1104"/>
      <c r="C49" s="75"/>
      <c r="D49" s="75"/>
      <c r="E49" s="75"/>
      <c r="F49" s="75"/>
      <c r="G49" s="75"/>
      <c r="H49" s="1286"/>
      <c r="I49" s="3">
        <v>173</v>
      </c>
      <c r="J49" s="1716"/>
      <c r="K49" s="1679"/>
      <c r="L49" s="121"/>
      <c r="M49" s="78"/>
      <c r="N49" s="1566"/>
    </row>
    <row r="50" spans="1:14" ht="15.75">
      <c r="A50" s="96" t="s">
        <v>225</v>
      </c>
      <c r="B50" s="1104"/>
      <c r="C50" s="75"/>
      <c r="D50" s="75"/>
      <c r="E50" s="75"/>
      <c r="F50" s="75"/>
      <c r="G50" s="75"/>
      <c r="H50" s="75"/>
      <c r="I50" s="75"/>
      <c r="J50" s="98"/>
      <c r="K50" s="3">
        <v>174</v>
      </c>
      <c r="L50" s="1401">
        <f>MISC!L70</f>
        <v>0</v>
      </c>
      <c r="M50" s="123"/>
      <c r="N50" s="1566"/>
    </row>
    <row r="51" spans="1:14" ht="15.75">
      <c r="A51" s="96" t="s">
        <v>226</v>
      </c>
      <c r="B51" s="1104"/>
      <c r="C51" s="75"/>
      <c r="D51" s="75"/>
      <c r="E51" s="75"/>
      <c r="F51" s="75"/>
      <c r="G51" s="75"/>
      <c r="H51" s="75"/>
      <c r="I51" s="75"/>
      <c r="J51" s="92"/>
      <c r="K51" s="1285">
        <v>176</v>
      </c>
      <c r="L51" s="1108">
        <f>MISC!L71</f>
        <v>0</v>
      </c>
      <c r="M51" s="123"/>
      <c r="N51" s="1566"/>
    </row>
    <row r="52" spans="1:14" ht="15.75">
      <c r="A52" s="76" t="s">
        <v>9</v>
      </c>
      <c r="B52" s="1104"/>
      <c r="C52" s="76"/>
      <c r="D52" s="76"/>
      <c r="E52" s="76"/>
      <c r="F52" s="76"/>
      <c r="G52" s="76"/>
      <c r="H52" s="76"/>
      <c r="I52" s="76"/>
      <c r="J52" s="92"/>
      <c r="K52" s="3">
        <v>178</v>
      </c>
      <c r="L52" s="1109"/>
      <c r="M52" s="123"/>
      <c r="N52" s="1566"/>
    </row>
    <row r="53" spans="1:14" ht="15.75">
      <c r="A53" s="76"/>
      <c r="B53" s="1104"/>
      <c r="C53" s="76"/>
      <c r="D53" s="76"/>
      <c r="E53" s="76"/>
      <c r="F53" s="76"/>
      <c r="G53" s="76"/>
      <c r="H53" s="76"/>
      <c r="I53" s="163"/>
      <c r="J53" s="163" t="s">
        <v>2176</v>
      </c>
      <c r="K53" s="1099" t="s">
        <v>1351</v>
      </c>
      <c r="L53" s="1110">
        <f>L13+L17+L20+L25+L29+L33+L37+L40+L44-L47+L50+L51-L52</f>
        <v>0</v>
      </c>
      <c r="M53" s="123"/>
      <c r="N53" s="1566"/>
    </row>
    <row r="54" spans="1:14" ht="15">
      <c r="A54" s="76" t="s">
        <v>1245</v>
      </c>
      <c r="B54" s="1104"/>
      <c r="C54" s="76"/>
      <c r="D54" s="76"/>
      <c r="E54" s="76"/>
      <c r="F54" s="76"/>
      <c r="G54" s="76"/>
      <c r="H54" s="76"/>
      <c r="I54" s="76"/>
      <c r="J54" s="186"/>
      <c r="K54" s="1100" t="s">
        <v>1352</v>
      </c>
      <c r="L54" s="1111"/>
      <c r="M54" s="123"/>
      <c r="N54" s="1566"/>
    </row>
    <row r="55" spans="1:14" ht="15.75">
      <c r="A55" s="76"/>
      <c r="B55" s="1104"/>
      <c r="C55" s="76"/>
      <c r="D55" s="76"/>
      <c r="E55" s="76"/>
      <c r="F55" s="76"/>
      <c r="G55" s="76"/>
      <c r="H55" s="76"/>
      <c r="I55" s="163"/>
      <c r="J55" s="163" t="s">
        <v>2177</v>
      </c>
      <c r="K55" s="1099" t="s">
        <v>1353</v>
      </c>
      <c r="L55" s="1110">
        <f>L53+L54</f>
        <v>0</v>
      </c>
      <c r="M55" s="123"/>
      <c r="N55" s="1566"/>
    </row>
    <row r="56" spans="1:14" ht="21" customHeight="1">
      <c r="A56" s="97" t="str">
        <f>"Taxable capital gains (or net capital loss) in "&amp;yeartext&amp;":"</f>
        <v>Taxable capital gains (or net capital loss) in 2009:</v>
      </c>
      <c r="B56" s="99"/>
      <c r="C56" s="82"/>
      <c r="D56" s="82"/>
      <c r="E56" s="82"/>
      <c r="F56" s="82"/>
      <c r="G56" s="82"/>
      <c r="H56" s="82"/>
      <c r="I56" s="170"/>
      <c r="J56" s="82"/>
      <c r="K56" s="123"/>
      <c r="L56" s="78"/>
      <c r="M56" s="78"/>
      <c r="N56" s="1566"/>
    </row>
    <row r="57" spans="1:14" ht="15.75">
      <c r="A57" s="78" t="s">
        <v>2407</v>
      </c>
      <c r="B57" s="121"/>
      <c r="C57" s="78"/>
      <c r="D57" s="78"/>
      <c r="E57" s="78"/>
      <c r="F57" s="78"/>
      <c r="G57" s="78"/>
      <c r="H57" s="78"/>
      <c r="I57" s="88"/>
      <c r="J57" s="121"/>
      <c r="K57" s="123"/>
      <c r="L57" s="78"/>
      <c r="M57" s="78"/>
      <c r="N57" s="1566"/>
    </row>
    <row r="58" spans="1:14" ht="15.75">
      <c r="A58" s="143" t="s">
        <v>522</v>
      </c>
      <c r="B58" s="1104"/>
      <c r="C58" s="143"/>
      <c r="D58" s="143"/>
      <c r="E58" s="143"/>
      <c r="F58" s="143"/>
      <c r="G58" s="143"/>
      <c r="H58" s="143"/>
      <c r="I58" s="146"/>
      <c r="J58" s="187"/>
      <c r="K58" s="1101" t="s">
        <v>1354</v>
      </c>
      <c r="L58" s="1098">
        <f>0.5*L55</f>
        <v>0</v>
      </c>
      <c r="M58" s="78"/>
      <c r="N58" s="1566"/>
    </row>
    <row r="59" spans="1:14" ht="15.75">
      <c r="A59" s="78"/>
      <c r="B59" s="99"/>
      <c r="C59" s="78"/>
      <c r="D59" s="78"/>
      <c r="E59" s="78"/>
      <c r="F59" s="78"/>
      <c r="G59" s="78"/>
      <c r="H59" s="78"/>
      <c r="I59" s="88"/>
      <c r="J59" s="78"/>
      <c r="K59" s="78"/>
      <c r="L59" s="78"/>
      <c r="M59" s="78"/>
      <c r="N59" s="1566"/>
    </row>
    <row r="60" spans="1:14" ht="15.75">
      <c r="A60" s="78" t="s">
        <v>1762</v>
      </c>
      <c r="B60" s="121"/>
      <c r="C60" s="78"/>
      <c r="D60" s="78"/>
      <c r="E60" s="78"/>
      <c r="F60" s="78"/>
      <c r="G60" s="78"/>
      <c r="H60" s="78"/>
      <c r="I60" s="88"/>
      <c r="J60" s="78"/>
      <c r="K60" s="78"/>
      <c r="L60" s="115"/>
      <c r="M60" s="78"/>
      <c r="N60" s="1566"/>
    </row>
    <row r="61" spans="1:14" ht="15">
      <c r="A61" s="578"/>
      <c r="B61" s="78"/>
      <c r="C61" s="78"/>
      <c r="D61" s="78"/>
      <c r="E61" s="78"/>
      <c r="F61" s="78"/>
      <c r="G61" s="78"/>
      <c r="H61" s="78"/>
      <c r="I61" s="78"/>
      <c r="J61" s="78"/>
      <c r="K61" s="78"/>
      <c r="L61" s="78" t="s">
        <v>830</v>
      </c>
      <c r="M61" s="78"/>
      <c r="N61" s="1566"/>
    </row>
    <row r="62" ht="15"/>
    <row r="63" ht="15"/>
  </sheetData>
  <sheetProtection password="EC35" sheet="1" objects="1" scenarios="1"/>
  <mergeCells count="45">
    <mergeCell ref="C12:E12"/>
    <mergeCell ref="A31:B31"/>
    <mergeCell ref="F19:G19"/>
    <mergeCell ref="F24:G24"/>
    <mergeCell ref="F28:G28"/>
    <mergeCell ref="A21:L21"/>
    <mergeCell ref="F16:G16"/>
    <mergeCell ref="A9:A19"/>
    <mergeCell ref="B16:D16"/>
    <mergeCell ref="C11:E11"/>
    <mergeCell ref="N1:N61"/>
    <mergeCell ref="J24:K24"/>
    <mergeCell ref="J5:K5"/>
    <mergeCell ref="J6:K6"/>
    <mergeCell ref="J7:K7"/>
    <mergeCell ref="J42:K42"/>
    <mergeCell ref="J28:K28"/>
    <mergeCell ref="J32:K32"/>
    <mergeCell ref="J49:K49"/>
    <mergeCell ref="F32:G32"/>
    <mergeCell ref="F5:G5"/>
    <mergeCell ref="F6:G6"/>
    <mergeCell ref="F7:G7"/>
    <mergeCell ref="F12:G12"/>
    <mergeCell ref="F36:G36"/>
    <mergeCell ref="F39:G39"/>
    <mergeCell ref="F42:G42"/>
    <mergeCell ref="J36:K36"/>
    <mergeCell ref="J39:K39"/>
    <mergeCell ref="A8:B8"/>
    <mergeCell ref="F8:G8"/>
    <mergeCell ref="J8:K8"/>
    <mergeCell ref="B10:L10"/>
    <mergeCell ref="B18:D18"/>
    <mergeCell ref="B19:D19"/>
    <mergeCell ref="A39:E39"/>
    <mergeCell ref="A42:E42"/>
    <mergeCell ref="A23:B23"/>
    <mergeCell ref="A24:B24"/>
    <mergeCell ref="A36:D36"/>
    <mergeCell ref="D31:E31"/>
    <mergeCell ref="D32:E32"/>
    <mergeCell ref="C24:E24"/>
    <mergeCell ref="A32:B32"/>
    <mergeCell ref="A28:D28"/>
  </mergeCells>
  <printOptions horizontalCentered="1"/>
  <pageMargins left="0.261811024" right="0.261811024" top="0.3" bottom="0.261811024" header="0.511811023622047" footer="0.511811023622047"/>
  <pageSetup fitToHeight="0" fitToWidth="1" horizontalDpi="600" verticalDpi="600" orientation="portrait" scale="74" r:id="rId3"/>
  <legacyDrawing r:id="rId2"/>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G31"/>
  <sheetViews>
    <sheetView zoomScalePageLayoutView="0" workbookViewId="0" topLeftCell="A1">
      <selection activeCell="A1" sqref="A1"/>
    </sheetView>
  </sheetViews>
  <sheetFormatPr defaultColWidth="9.77734375" defaultRowHeight="15"/>
  <cols>
    <col min="1" max="1" width="6.10546875" style="579" customWidth="1"/>
    <col min="2" max="2" width="23.3359375" style="579" customWidth="1"/>
    <col min="3" max="3" width="57.88671875" style="579" customWidth="1"/>
    <col min="4" max="4" width="5.21484375" style="579" customWidth="1"/>
    <col min="5" max="5" width="12.77734375" style="579" customWidth="1"/>
    <col min="6" max="6" width="3.4453125" style="579" customWidth="1"/>
    <col min="7" max="16384" width="9.77734375" style="579" customWidth="1"/>
  </cols>
  <sheetData>
    <row r="1" spans="1:7" ht="20.25">
      <c r="A1" s="74" t="str">
        <f>"T1-"&amp;yeartext</f>
        <v>T1-2009</v>
      </c>
      <c r="B1" s="86"/>
      <c r="C1" s="1159" t="s">
        <v>2106</v>
      </c>
      <c r="D1" s="86"/>
      <c r="E1" s="1256" t="s">
        <v>2107</v>
      </c>
      <c r="F1" s="78"/>
      <c r="G1" s="1566" t="s">
        <v>35</v>
      </c>
    </row>
    <row r="2" spans="1:7" ht="15">
      <c r="A2" s="578"/>
      <c r="B2" s="78"/>
      <c r="C2" s="78"/>
      <c r="D2" s="78"/>
      <c r="E2" s="78"/>
      <c r="F2" s="78"/>
      <c r="G2" s="1566"/>
    </row>
    <row r="3" spans="1:7" ht="15">
      <c r="A3" s="78" t="s">
        <v>2108</v>
      </c>
      <c r="B3" s="78"/>
      <c r="C3" s="78"/>
      <c r="D3" s="78"/>
      <c r="E3" s="78"/>
      <c r="F3" s="78"/>
      <c r="G3" s="1566"/>
    </row>
    <row r="4" spans="1:7" ht="15.75">
      <c r="A4" s="78" t="s">
        <v>521</v>
      </c>
      <c r="B4" s="78"/>
      <c r="C4" s="78"/>
      <c r="D4" s="78"/>
      <c r="E4" s="78"/>
      <c r="F4" s="78"/>
      <c r="G4" s="1566"/>
    </row>
    <row r="5" spans="1:7" ht="15">
      <c r="A5" s="578"/>
      <c r="B5" s="78"/>
      <c r="C5" s="78"/>
      <c r="D5" s="78"/>
      <c r="E5" s="78"/>
      <c r="F5" s="78"/>
      <c r="G5" s="1566"/>
    </row>
    <row r="6" spans="1:7" ht="15.75">
      <c r="A6" s="626" t="s">
        <v>1566</v>
      </c>
      <c r="B6" s="95" t="s">
        <v>651</v>
      </c>
      <c r="C6" s="78"/>
      <c r="D6" s="78"/>
      <c r="E6" s="121"/>
      <c r="F6" s="78"/>
      <c r="G6" s="1566"/>
    </row>
    <row r="7" spans="1:7" ht="15.75">
      <c r="A7" s="626"/>
      <c r="B7" s="78" t="s">
        <v>1549</v>
      </c>
      <c r="C7" s="78"/>
      <c r="D7" s="78"/>
      <c r="E7" s="352"/>
      <c r="F7" s="173" t="s">
        <v>1281</v>
      </c>
      <c r="G7" s="1566"/>
    </row>
    <row r="8" spans="1:7" ht="15.75">
      <c r="A8" s="626"/>
      <c r="B8" s="1727" t="s">
        <v>230</v>
      </c>
      <c r="C8" s="1727"/>
      <c r="D8" s="79"/>
      <c r="E8" s="367">
        <f>'Sch4-2'!E28</f>
        <v>0</v>
      </c>
      <c r="F8" s="173" t="s">
        <v>1314</v>
      </c>
      <c r="G8" s="1566"/>
    </row>
    <row r="9" spans="1:7" ht="16.5" thickBot="1">
      <c r="A9" s="626"/>
      <c r="B9" s="1727"/>
      <c r="C9" s="1727"/>
      <c r="D9" s="79"/>
      <c r="E9" s="688"/>
      <c r="F9" s="173" t="s">
        <v>1315</v>
      </c>
      <c r="G9" s="1566"/>
    </row>
    <row r="10" spans="1:7" ht="15.75">
      <c r="A10" s="626"/>
      <c r="B10" s="144"/>
      <c r="C10" s="151" t="s">
        <v>14</v>
      </c>
      <c r="D10" s="189">
        <v>180</v>
      </c>
      <c r="E10" s="617">
        <f>SUM(E7:E9)</f>
        <v>0</v>
      </c>
      <c r="F10" s="173" t="s">
        <v>1316</v>
      </c>
      <c r="G10" s="1566"/>
    </row>
    <row r="11" spans="1:7" ht="15.75">
      <c r="A11" s="627"/>
      <c r="B11" s="78" t="s">
        <v>1550</v>
      </c>
      <c r="C11" s="78"/>
      <c r="D11" s="79"/>
      <c r="E11" s="352"/>
      <c r="F11" s="173" t="s">
        <v>1317</v>
      </c>
      <c r="G11" s="1566"/>
    </row>
    <row r="12" spans="1:7" ht="15.75">
      <c r="A12" s="627"/>
      <c r="B12" s="1727" t="s">
        <v>230</v>
      </c>
      <c r="C12" s="1727"/>
      <c r="D12" s="79"/>
      <c r="E12" s="367">
        <f>'Sch4-2'!E50</f>
        <v>0</v>
      </c>
      <c r="F12" s="173" t="s">
        <v>1318</v>
      </c>
      <c r="G12" s="1566"/>
    </row>
    <row r="13" spans="1:7" ht="15.75">
      <c r="A13" s="627"/>
      <c r="B13" s="1727"/>
      <c r="C13" s="1727"/>
      <c r="D13" s="79"/>
      <c r="E13" s="367"/>
      <c r="F13" s="173" t="s">
        <v>1527</v>
      </c>
      <c r="G13" s="1566"/>
    </row>
    <row r="14" spans="1:7" ht="15">
      <c r="A14" s="627"/>
      <c r="B14" s="144"/>
      <c r="C14" s="151" t="s">
        <v>15</v>
      </c>
      <c r="D14" s="189">
        <v>120</v>
      </c>
      <c r="E14" s="619">
        <f>SUM(E10:E13)</f>
        <v>0</v>
      </c>
      <c r="F14" s="78"/>
      <c r="G14" s="1566"/>
    </row>
    <row r="15" spans="1:7" ht="22.5" customHeight="1">
      <c r="A15" s="626" t="s">
        <v>1567</v>
      </c>
      <c r="B15" s="95" t="s">
        <v>2103</v>
      </c>
      <c r="C15" s="78"/>
      <c r="D15" s="79"/>
      <c r="E15" s="78"/>
      <c r="F15" s="78"/>
      <c r="G15" s="1566"/>
    </row>
    <row r="16" spans="1:7" ht="15">
      <c r="A16" s="627"/>
      <c r="B16" s="78" t="s">
        <v>1618</v>
      </c>
      <c r="C16" s="366"/>
      <c r="D16" s="79"/>
      <c r="E16" s="352"/>
      <c r="F16" s="78"/>
      <c r="G16" s="1566"/>
    </row>
    <row r="17" spans="1:7" ht="15">
      <c r="A17" s="627"/>
      <c r="B17" s="1727" t="s">
        <v>230</v>
      </c>
      <c r="C17" s="1727"/>
      <c r="D17" s="79"/>
      <c r="E17" s="367">
        <f>'Sch4-2'!E67</f>
        <v>0</v>
      </c>
      <c r="F17" s="78"/>
      <c r="G17" s="1566"/>
    </row>
    <row r="18" spans="1:7" ht="15">
      <c r="A18" s="627"/>
      <c r="B18" s="1727"/>
      <c r="C18" s="1727"/>
      <c r="D18" s="79"/>
      <c r="E18" s="352"/>
      <c r="F18" s="78"/>
      <c r="G18" s="1566"/>
    </row>
    <row r="19" spans="1:7" ht="15">
      <c r="A19" s="627"/>
      <c r="B19" s="76" t="s">
        <v>2109</v>
      </c>
      <c r="C19" s="366"/>
      <c r="D19" s="79"/>
      <c r="E19" s="352"/>
      <c r="F19" s="78"/>
      <c r="G19" s="1566"/>
    </row>
    <row r="20" spans="1:7" ht="15">
      <c r="A20" s="627"/>
      <c r="B20" s="75"/>
      <c r="C20" s="90" t="s">
        <v>179</v>
      </c>
      <c r="D20" s="189">
        <v>121</v>
      </c>
      <c r="E20" s="619">
        <f>SUM(E16:E19)</f>
        <v>0</v>
      </c>
      <c r="F20" s="78"/>
      <c r="G20" s="1566"/>
    </row>
    <row r="21" spans="1:7" ht="22.5" customHeight="1">
      <c r="A21" s="626" t="s">
        <v>1568</v>
      </c>
      <c r="B21" s="95" t="s">
        <v>851</v>
      </c>
      <c r="C21" s="78"/>
      <c r="D21" s="79"/>
      <c r="E21" s="78"/>
      <c r="F21" s="78"/>
      <c r="G21" s="1566"/>
    </row>
    <row r="22" spans="1:7" ht="15">
      <c r="A22" s="627"/>
      <c r="B22" s="1727" t="s">
        <v>230</v>
      </c>
      <c r="C22" s="1727"/>
      <c r="D22" s="79"/>
      <c r="E22" s="367">
        <f>'Sch4-2'!E76</f>
        <v>0</v>
      </c>
      <c r="F22" s="78"/>
      <c r="G22" s="1566"/>
    </row>
    <row r="23" spans="1:7" ht="15">
      <c r="A23" s="627"/>
      <c r="B23" s="1727"/>
      <c r="C23" s="1727"/>
      <c r="D23" s="79"/>
      <c r="E23" s="352"/>
      <c r="F23" s="78"/>
      <c r="G23" s="1566"/>
    </row>
    <row r="24" spans="1:7" ht="15">
      <c r="A24" s="627"/>
      <c r="B24" s="144"/>
      <c r="C24" s="90" t="s">
        <v>180</v>
      </c>
      <c r="D24" s="189">
        <v>122</v>
      </c>
      <c r="E24" s="619">
        <f>SUM(E22:E23)</f>
        <v>0</v>
      </c>
      <c r="F24" s="78"/>
      <c r="G24" s="1566"/>
    </row>
    <row r="25" spans="1:7" ht="21.75" customHeight="1">
      <c r="A25" s="626" t="s">
        <v>1804</v>
      </c>
      <c r="B25" s="95" t="s">
        <v>534</v>
      </c>
      <c r="C25" s="78"/>
      <c r="D25" s="79"/>
      <c r="E25" s="78"/>
      <c r="F25" s="78"/>
      <c r="G25" s="1566"/>
    </row>
    <row r="26" spans="1:7" ht="15">
      <c r="A26" s="627"/>
      <c r="B26" s="75" t="s">
        <v>1427</v>
      </c>
      <c r="C26" s="368" t="s">
        <v>230</v>
      </c>
      <c r="D26" s="79"/>
      <c r="E26" s="352">
        <f>'Sch4-2'!E78+'Sch4-2'!E79</f>
        <v>0</v>
      </c>
      <c r="F26" s="78"/>
      <c r="G26" s="1566"/>
    </row>
    <row r="27" spans="1:7" ht="15">
      <c r="A27" s="627"/>
      <c r="B27" s="76" t="s">
        <v>1428</v>
      </c>
      <c r="C27" s="363" t="s">
        <v>230</v>
      </c>
      <c r="D27" s="79"/>
      <c r="E27" s="352">
        <f>'Sch4-2'!E80+'Sch4-2'!E81</f>
        <v>0</v>
      </c>
      <c r="F27" s="78"/>
      <c r="G27" s="1566"/>
    </row>
    <row r="28" spans="1:7" ht="15">
      <c r="A28" s="627"/>
      <c r="B28" s="76"/>
      <c r="C28" s="90" t="s">
        <v>181</v>
      </c>
      <c r="D28" s="189">
        <v>221</v>
      </c>
      <c r="E28" s="619">
        <f>SUM(E26:E27)</f>
        <v>0</v>
      </c>
      <c r="F28" s="78"/>
      <c r="G28" s="1566"/>
    </row>
    <row r="29" spans="1:7" ht="15">
      <c r="A29" s="627"/>
      <c r="B29" s="78"/>
      <c r="C29" s="78"/>
      <c r="D29" s="78"/>
      <c r="E29" s="78"/>
      <c r="F29" s="78"/>
      <c r="G29" s="1566"/>
    </row>
    <row r="30" spans="1:7" ht="15">
      <c r="A30" s="627"/>
      <c r="B30" s="78" t="s">
        <v>2095</v>
      </c>
      <c r="C30" s="79"/>
      <c r="D30" s="79"/>
      <c r="E30" s="79"/>
      <c r="F30" s="78" t="s">
        <v>1659</v>
      </c>
      <c r="G30" s="1566"/>
    </row>
    <row r="31" spans="1:7" ht="15">
      <c r="A31" s="627"/>
      <c r="B31" s="78"/>
      <c r="C31" s="78"/>
      <c r="D31" s="78"/>
      <c r="E31" s="78" t="s">
        <v>821</v>
      </c>
      <c r="F31" s="78"/>
      <c r="G31" s="1566"/>
    </row>
  </sheetData>
  <sheetProtection password="EC35" sheet="1" objects="1" scenarios="1"/>
  <mergeCells count="9">
    <mergeCell ref="G1:G31"/>
    <mergeCell ref="B22:C22"/>
    <mergeCell ref="B23:C23"/>
    <mergeCell ref="B12:C12"/>
    <mergeCell ref="B13:C13"/>
    <mergeCell ref="B17:C17"/>
    <mergeCell ref="B18:C18"/>
    <mergeCell ref="B8:C8"/>
    <mergeCell ref="B9:C9"/>
  </mergeCell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3"/>
  <rowBreaks count="1" manualBreakCount="1">
    <brk id="63" max="65535" man="1"/>
  </rowBreaks>
  <legacyDrawing r:id="rId2"/>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G84"/>
  <sheetViews>
    <sheetView zoomScalePageLayoutView="0" workbookViewId="0" topLeftCell="A1">
      <selection activeCell="A1" sqref="A1"/>
    </sheetView>
  </sheetViews>
  <sheetFormatPr defaultColWidth="9.77734375" defaultRowHeight="15"/>
  <cols>
    <col min="1" max="1" width="6.10546875" style="579" customWidth="1"/>
    <col min="2" max="2" width="23.3359375" style="579" customWidth="1"/>
    <col min="3" max="3" width="57.88671875" style="579" customWidth="1"/>
    <col min="4" max="4" width="5.21484375" style="579" customWidth="1"/>
    <col min="5" max="5" width="12.77734375" style="579" customWidth="1"/>
    <col min="6" max="6" width="3.4453125" style="579" customWidth="1"/>
    <col min="7" max="16384" width="9.77734375" style="579" customWidth="1"/>
  </cols>
  <sheetData>
    <row r="1" spans="1:7" ht="20.25">
      <c r="A1" s="74" t="str">
        <f>"T1-"&amp;yeartext</f>
        <v>T1-2009</v>
      </c>
      <c r="B1" s="86"/>
      <c r="C1" s="1255" t="s">
        <v>185</v>
      </c>
      <c r="D1" s="86"/>
      <c r="E1" s="188"/>
      <c r="F1" s="78"/>
      <c r="G1" s="1566" t="s">
        <v>35</v>
      </c>
    </row>
    <row r="2" spans="1:7" ht="15">
      <c r="A2" s="578"/>
      <c r="B2" s="78"/>
      <c r="C2" s="78"/>
      <c r="D2" s="78"/>
      <c r="E2" s="78"/>
      <c r="F2" s="78"/>
      <c r="G2" s="1566"/>
    </row>
    <row r="3" spans="1:7" ht="15">
      <c r="A3" s="78" t="s">
        <v>2108</v>
      </c>
      <c r="B3" s="78"/>
      <c r="C3" s="78"/>
      <c r="D3" s="78"/>
      <c r="E3" s="78"/>
      <c r="F3" s="78"/>
      <c r="G3" s="1566"/>
    </row>
    <row r="4" spans="1:7" ht="15">
      <c r="A4" s="78" t="s">
        <v>2394</v>
      </c>
      <c r="B4" s="78"/>
      <c r="C4" s="78"/>
      <c r="D4" s="78"/>
      <c r="E4" s="78"/>
      <c r="F4" s="78"/>
      <c r="G4" s="1566"/>
    </row>
    <row r="5" spans="1:7" ht="15">
      <c r="A5" s="578"/>
      <c r="B5" s="78"/>
      <c r="C5" s="78"/>
      <c r="D5" s="78"/>
      <c r="E5" s="78"/>
      <c r="F5" s="78"/>
      <c r="G5" s="1566"/>
    </row>
    <row r="6" spans="1:7" ht="15.75">
      <c r="A6" s="626" t="s">
        <v>1566</v>
      </c>
      <c r="B6" s="95" t="s">
        <v>651</v>
      </c>
      <c r="C6" s="78"/>
      <c r="D6" s="78"/>
      <c r="E6" s="79"/>
      <c r="F6" s="78"/>
      <c r="G6" s="1566"/>
    </row>
    <row r="7" spans="1:7" ht="15.75">
      <c r="A7" s="626"/>
      <c r="B7" s="78" t="s">
        <v>1549</v>
      </c>
      <c r="C7" s="78"/>
      <c r="D7" s="78"/>
      <c r="E7" s="79" t="s">
        <v>1710</v>
      </c>
      <c r="F7" s="78"/>
      <c r="G7" s="1566"/>
    </row>
    <row r="8" spans="1:7" ht="15">
      <c r="A8" s="628">
        <v>1</v>
      </c>
      <c r="B8" s="1731">
        <f>IF(('T4PS'!E23)&gt;0,'T4PS'!E17,"")</f>
      </c>
      <c r="C8" s="1731"/>
      <c r="D8" s="79"/>
      <c r="E8" s="364">
        <f>IF('T4PS'!E23&gt;0,'T4PS'!E23,"")</f>
      </c>
      <c r="F8" s="78"/>
      <c r="G8" s="1566"/>
    </row>
    <row r="9" spans="1:7" ht="15">
      <c r="A9" s="628">
        <f>A8+1</f>
        <v>2</v>
      </c>
      <c r="B9" s="1732">
        <f>IF('T4PS'!F23&gt;0,'T4PS'!F17,"")</f>
      </c>
      <c r="C9" s="1732"/>
      <c r="D9" s="79"/>
      <c r="E9" s="365">
        <f>IF('T4PS'!F23&gt;0,'T4PS'!F23,"")</f>
      </c>
      <c r="F9" s="78"/>
      <c r="G9" s="1566"/>
    </row>
    <row r="10" spans="1:7" ht="15">
      <c r="A10" s="628">
        <f aca="true" t="shared" si="0" ref="A10:A27">A9+1</f>
        <v>3</v>
      </c>
      <c r="B10" s="1732">
        <f>IF('T4PS'!G23&gt;0,'T4PS'!G17,"")</f>
      </c>
      <c r="C10" s="1732"/>
      <c r="D10" s="79"/>
      <c r="E10" s="365">
        <f>IF('T4PS'!G23&gt;0,'T4PS'!G23,"")</f>
      </c>
      <c r="F10" s="78"/>
      <c r="G10" s="1566"/>
    </row>
    <row r="11" spans="1:7" ht="15">
      <c r="A11" s="628">
        <f t="shared" si="0"/>
        <v>4</v>
      </c>
      <c r="B11" s="1732">
        <f>IF('T4PS'!H23&gt;0,'T4PS'!H17,"")</f>
      </c>
      <c r="C11" s="1732"/>
      <c r="D11" s="79"/>
      <c r="E11" s="365">
        <f>IF('T4PS'!H23&gt;0,'T4PS'!H23,"")</f>
      </c>
      <c r="F11" s="78"/>
      <c r="G11" s="1566"/>
    </row>
    <row r="12" spans="1:7" ht="15">
      <c r="A12" s="628">
        <f t="shared" si="0"/>
        <v>5</v>
      </c>
      <c r="B12" s="1732">
        <f>IF('T4PS'!I23&gt;0,'T4PS'!I17,"")</f>
      </c>
      <c r="C12" s="1732"/>
      <c r="D12" s="79"/>
      <c r="E12" s="365">
        <f>IF('T4PS'!I23&gt;0,'T4PS'!I23,"")</f>
      </c>
      <c r="F12" s="78"/>
      <c r="G12" s="1566"/>
    </row>
    <row r="13" spans="1:7" ht="15">
      <c r="A13" s="628">
        <f t="shared" si="0"/>
        <v>6</v>
      </c>
      <c r="B13" s="1728"/>
      <c r="C13" s="1728"/>
      <c r="D13" s="79"/>
      <c r="E13" s="93"/>
      <c r="F13" s="78"/>
      <c r="G13" s="1566"/>
    </row>
    <row r="14" spans="1:7" ht="15">
      <c r="A14" s="628">
        <f t="shared" si="0"/>
        <v>7</v>
      </c>
      <c r="B14" s="1728"/>
      <c r="C14" s="1728"/>
      <c r="D14" s="79"/>
      <c r="E14" s="93"/>
      <c r="F14" s="78"/>
      <c r="G14" s="1566"/>
    </row>
    <row r="15" spans="1:7" ht="15">
      <c r="A15" s="628">
        <f t="shared" si="0"/>
        <v>8</v>
      </c>
      <c r="B15" s="1728"/>
      <c r="C15" s="1728"/>
      <c r="D15" s="79"/>
      <c r="E15" s="93"/>
      <c r="F15" s="78"/>
      <c r="G15" s="1566"/>
    </row>
    <row r="16" spans="1:7" ht="15">
      <c r="A16" s="628">
        <f t="shared" si="0"/>
        <v>9</v>
      </c>
      <c r="B16" s="1728"/>
      <c r="C16" s="1728"/>
      <c r="D16" s="79"/>
      <c r="E16" s="93"/>
      <c r="F16" s="78"/>
      <c r="G16" s="1566"/>
    </row>
    <row r="17" spans="1:7" ht="15">
      <c r="A17" s="628">
        <f t="shared" si="0"/>
        <v>10</v>
      </c>
      <c r="B17" s="1728"/>
      <c r="C17" s="1728"/>
      <c r="D17" s="79"/>
      <c r="E17" s="93"/>
      <c r="F17" s="78"/>
      <c r="G17" s="1566"/>
    </row>
    <row r="18" spans="1:7" ht="15">
      <c r="A18" s="628">
        <f t="shared" si="0"/>
        <v>11</v>
      </c>
      <c r="B18" s="1728"/>
      <c r="C18" s="1728"/>
      <c r="D18" s="79"/>
      <c r="E18" s="93"/>
      <c r="F18" s="78"/>
      <c r="G18" s="1566"/>
    </row>
    <row r="19" spans="1:7" ht="15">
      <c r="A19" s="628">
        <f t="shared" si="0"/>
        <v>12</v>
      </c>
      <c r="B19" s="1728"/>
      <c r="C19" s="1728"/>
      <c r="D19" s="79"/>
      <c r="E19" s="93"/>
      <c r="F19" s="78"/>
      <c r="G19" s="1566"/>
    </row>
    <row r="20" spans="1:7" ht="15">
      <c r="A20" s="628">
        <f t="shared" si="0"/>
        <v>13</v>
      </c>
      <c r="B20" s="1728"/>
      <c r="C20" s="1728"/>
      <c r="D20" s="79"/>
      <c r="E20" s="93"/>
      <c r="F20" s="78"/>
      <c r="G20" s="1566"/>
    </row>
    <row r="21" spans="1:7" ht="15">
      <c r="A21" s="628">
        <f t="shared" si="0"/>
        <v>14</v>
      </c>
      <c r="B21" s="1728"/>
      <c r="C21" s="1728"/>
      <c r="D21" s="79"/>
      <c r="E21" s="93"/>
      <c r="F21" s="78"/>
      <c r="G21" s="1566"/>
    </row>
    <row r="22" spans="1:7" ht="15">
      <c r="A22" s="628">
        <f t="shared" si="0"/>
        <v>15</v>
      </c>
      <c r="B22" s="1728"/>
      <c r="C22" s="1728"/>
      <c r="D22" s="79"/>
      <c r="E22" s="93"/>
      <c r="F22" s="78"/>
      <c r="G22" s="1566"/>
    </row>
    <row r="23" spans="1:7" ht="15">
      <c r="A23" s="628">
        <f t="shared" si="0"/>
        <v>16</v>
      </c>
      <c r="B23" s="1728"/>
      <c r="C23" s="1728"/>
      <c r="D23" s="79"/>
      <c r="E23" s="93"/>
      <c r="F23" s="78"/>
      <c r="G23" s="1566"/>
    </row>
    <row r="24" spans="1:7" ht="15">
      <c r="A24" s="628">
        <f t="shared" si="0"/>
        <v>17</v>
      </c>
      <c r="B24" s="1728"/>
      <c r="C24" s="1728"/>
      <c r="D24" s="79"/>
      <c r="E24" s="93"/>
      <c r="F24" s="78"/>
      <c r="G24" s="1566"/>
    </row>
    <row r="25" spans="1:7" ht="15">
      <c r="A25" s="628">
        <f t="shared" si="0"/>
        <v>18</v>
      </c>
      <c r="B25" s="1728"/>
      <c r="C25" s="1728"/>
      <c r="D25" s="79"/>
      <c r="E25" s="93"/>
      <c r="F25" s="78"/>
      <c r="G25" s="1566"/>
    </row>
    <row r="26" spans="1:7" ht="15">
      <c r="A26" s="628">
        <f t="shared" si="0"/>
        <v>19</v>
      </c>
      <c r="B26" s="1728"/>
      <c r="C26" s="1728"/>
      <c r="D26" s="79"/>
      <c r="E26" s="93"/>
      <c r="F26" s="78"/>
      <c r="G26" s="1566"/>
    </row>
    <row r="27" spans="1:7" ht="15">
      <c r="A27" s="628">
        <f t="shared" si="0"/>
        <v>20</v>
      </c>
      <c r="B27" s="1728"/>
      <c r="C27" s="1728"/>
      <c r="D27" s="79"/>
      <c r="E27" s="93"/>
      <c r="F27" s="78"/>
      <c r="G27" s="1566"/>
    </row>
    <row r="28" spans="1:7" ht="15">
      <c r="A28" s="628"/>
      <c r="B28" s="455"/>
      <c r="C28" s="1096" t="s">
        <v>16</v>
      </c>
      <c r="D28" s="189">
        <v>180</v>
      </c>
      <c r="E28" s="367">
        <f>SUM(E8:E27)</f>
        <v>0</v>
      </c>
      <c r="F28" s="78"/>
      <c r="G28" s="1566"/>
    </row>
    <row r="29" spans="1:7" ht="15.75">
      <c r="A29" s="626"/>
      <c r="B29" s="78" t="s">
        <v>1550</v>
      </c>
      <c r="C29" s="78"/>
      <c r="D29" s="78"/>
      <c r="E29" s="79"/>
      <c r="F29" s="78"/>
      <c r="G29" s="1566"/>
    </row>
    <row r="30" spans="1:7" ht="15">
      <c r="A30" s="628">
        <v>21</v>
      </c>
      <c r="B30" s="1731">
        <f>IF(('T4PS'!E30)&gt;0,'T4PS'!E17,"")</f>
      </c>
      <c r="C30" s="1731"/>
      <c r="D30" s="79"/>
      <c r="E30" s="364">
        <f>IF('T4PS'!E30&gt;0,'T4PS'!E30,"")</f>
      </c>
      <c r="F30" s="78"/>
      <c r="G30" s="1566"/>
    </row>
    <row r="31" spans="1:7" ht="15">
      <c r="A31" s="628">
        <f>A30+1</f>
        <v>22</v>
      </c>
      <c r="B31" s="1732">
        <f>IF('T4PS'!F30&gt;0,'T4PS'!F17,"")</f>
      </c>
      <c r="C31" s="1732"/>
      <c r="D31" s="79"/>
      <c r="E31" s="365">
        <f>IF('T4PS'!F30&gt;0,'T4PS'!F30,"")</f>
      </c>
      <c r="F31" s="78"/>
      <c r="G31" s="1566"/>
    </row>
    <row r="32" spans="1:7" ht="15">
      <c r="A32" s="628">
        <f aca="true" t="shared" si="1" ref="A32:A49">A31+1</f>
        <v>23</v>
      </c>
      <c r="B32" s="1732">
        <f>IF('T4PS'!G30&gt;0,'T4PS'!G17,"")</f>
      </c>
      <c r="C32" s="1732"/>
      <c r="D32" s="79"/>
      <c r="E32" s="365">
        <f>IF('T4PS'!G30&gt;0,'T4PS'!G30,"")</f>
      </c>
      <c r="F32" s="78"/>
      <c r="G32" s="1566"/>
    </row>
    <row r="33" spans="1:7" ht="15">
      <c r="A33" s="628">
        <f t="shared" si="1"/>
        <v>24</v>
      </c>
      <c r="B33" s="1732">
        <f>IF('T4PS'!H30&gt;0,'T4PS'!H17,"")</f>
      </c>
      <c r="C33" s="1732"/>
      <c r="D33" s="79"/>
      <c r="E33" s="365">
        <f>IF('T4PS'!H30&gt;0,'T4PS'!H30,"")</f>
      </c>
      <c r="F33" s="78"/>
      <c r="G33" s="1566"/>
    </row>
    <row r="34" spans="1:7" ht="15">
      <c r="A34" s="628">
        <f t="shared" si="1"/>
        <v>25</v>
      </c>
      <c r="B34" s="1732">
        <f>IF('T4PS'!I30&gt;0,'T4PS'!I17,"")</f>
      </c>
      <c r="C34" s="1732"/>
      <c r="D34" s="79"/>
      <c r="E34" s="365">
        <f>IF('T4PS'!I30&gt;0,'T4PS'!I30,"")</f>
      </c>
      <c r="F34" s="78"/>
      <c r="G34" s="1566"/>
    </row>
    <row r="35" spans="1:7" ht="15">
      <c r="A35" s="628">
        <f t="shared" si="1"/>
        <v>26</v>
      </c>
      <c r="B35" s="1728"/>
      <c r="C35" s="1728"/>
      <c r="D35" s="79"/>
      <c r="E35" s="93"/>
      <c r="F35" s="78"/>
      <c r="G35" s="1566"/>
    </row>
    <row r="36" spans="1:7" ht="15">
      <c r="A36" s="628">
        <f t="shared" si="1"/>
        <v>27</v>
      </c>
      <c r="B36" s="1728"/>
      <c r="C36" s="1728"/>
      <c r="D36" s="79"/>
      <c r="E36" s="93"/>
      <c r="F36" s="78"/>
      <c r="G36" s="1566"/>
    </row>
    <row r="37" spans="1:7" ht="15">
      <c r="A37" s="628">
        <f t="shared" si="1"/>
        <v>28</v>
      </c>
      <c r="B37" s="1728"/>
      <c r="C37" s="1728"/>
      <c r="D37" s="79"/>
      <c r="E37" s="93"/>
      <c r="F37" s="78"/>
      <c r="G37" s="1566"/>
    </row>
    <row r="38" spans="1:7" ht="15">
      <c r="A38" s="628">
        <f t="shared" si="1"/>
        <v>29</v>
      </c>
      <c r="B38" s="1728"/>
      <c r="C38" s="1728"/>
      <c r="D38" s="79"/>
      <c r="E38" s="93"/>
      <c r="F38" s="78"/>
      <c r="G38" s="1566"/>
    </row>
    <row r="39" spans="1:7" ht="15">
      <c r="A39" s="628">
        <f t="shared" si="1"/>
        <v>30</v>
      </c>
      <c r="B39" s="1728"/>
      <c r="C39" s="1728"/>
      <c r="D39" s="79"/>
      <c r="E39" s="93"/>
      <c r="F39" s="78"/>
      <c r="G39" s="1566"/>
    </row>
    <row r="40" spans="1:7" ht="15">
      <c r="A40" s="628">
        <f t="shared" si="1"/>
        <v>31</v>
      </c>
      <c r="B40" s="1728"/>
      <c r="C40" s="1728"/>
      <c r="D40" s="79"/>
      <c r="E40" s="93"/>
      <c r="F40" s="78"/>
      <c r="G40" s="1566"/>
    </row>
    <row r="41" spans="1:7" ht="15">
      <c r="A41" s="628">
        <f t="shared" si="1"/>
        <v>32</v>
      </c>
      <c r="B41" s="1728"/>
      <c r="C41" s="1728"/>
      <c r="D41" s="79"/>
      <c r="E41" s="93"/>
      <c r="F41" s="78"/>
      <c r="G41" s="1566"/>
    </row>
    <row r="42" spans="1:7" ht="15">
      <c r="A42" s="628">
        <f t="shared" si="1"/>
        <v>33</v>
      </c>
      <c r="B42" s="1728"/>
      <c r="C42" s="1728"/>
      <c r="D42" s="79"/>
      <c r="E42" s="93"/>
      <c r="F42" s="78"/>
      <c r="G42" s="1566"/>
    </row>
    <row r="43" spans="1:7" ht="15">
      <c r="A43" s="628">
        <f t="shared" si="1"/>
        <v>34</v>
      </c>
      <c r="B43" s="1728"/>
      <c r="C43" s="1728"/>
      <c r="D43" s="79"/>
      <c r="E43" s="93"/>
      <c r="F43" s="78"/>
      <c r="G43" s="1566"/>
    </row>
    <row r="44" spans="1:7" ht="15">
      <c r="A44" s="628">
        <f t="shared" si="1"/>
        <v>35</v>
      </c>
      <c r="B44" s="1728"/>
      <c r="C44" s="1728"/>
      <c r="D44" s="79"/>
      <c r="E44" s="93"/>
      <c r="F44" s="78"/>
      <c r="G44" s="1566"/>
    </row>
    <row r="45" spans="1:7" ht="15">
      <c r="A45" s="628">
        <f t="shared" si="1"/>
        <v>36</v>
      </c>
      <c r="B45" s="1728"/>
      <c r="C45" s="1728"/>
      <c r="D45" s="79"/>
      <c r="E45" s="93"/>
      <c r="F45" s="78"/>
      <c r="G45" s="1566"/>
    </row>
    <row r="46" spans="1:7" ht="15">
      <c r="A46" s="628">
        <f t="shared" si="1"/>
        <v>37</v>
      </c>
      <c r="B46" s="1728"/>
      <c r="C46" s="1728"/>
      <c r="D46" s="79"/>
      <c r="E46" s="93"/>
      <c r="F46" s="78"/>
      <c r="G46" s="1566"/>
    </row>
    <row r="47" spans="1:7" ht="15">
      <c r="A47" s="628">
        <f t="shared" si="1"/>
        <v>38</v>
      </c>
      <c r="B47" s="1728"/>
      <c r="C47" s="1728"/>
      <c r="D47" s="79"/>
      <c r="E47" s="93"/>
      <c r="F47" s="78"/>
      <c r="G47" s="1566"/>
    </row>
    <row r="48" spans="1:7" ht="15">
      <c r="A48" s="628">
        <f t="shared" si="1"/>
        <v>39</v>
      </c>
      <c r="B48" s="1728"/>
      <c r="C48" s="1728"/>
      <c r="D48" s="79"/>
      <c r="E48" s="93"/>
      <c r="F48" s="78"/>
      <c r="G48" s="1566"/>
    </row>
    <row r="49" spans="1:7" ht="15">
      <c r="A49" s="628">
        <f t="shared" si="1"/>
        <v>40</v>
      </c>
      <c r="B49" s="1728"/>
      <c r="C49" s="1728"/>
      <c r="D49" s="79"/>
      <c r="E49" s="93"/>
      <c r="F49" s="78"/>
      <c r="G49" s="1566"/>
    </row>
    <row r="50" spans="1:7" ht="15">
      <c r="A50" s="628"/>
      <c r="B50" s="455"/>
      <c r="C50" s="1096" t="s">
        <v>13</v>
      </c>
      <c r="D50" s="79"/>
      <c r="E50" s="367">
        <f>SUM(E30:E49)</f>
        <v>0</v>
      </c>
      <c r="F50" s="78"/>
      <c r="G50" s="1566"/>
    </row>
    <row r="51" spans="1:7" ht="15">
      <c r="A51" s="628"/>
      <c r="B51" s="455"/>
      <c r="C51" s="1096" t="s">
        <v>178</v>
      </c>
      <c r="D51" s="189">
        <v>120</v>
      </c>
      <c r="E51" s="367">
        <f>E28+E50</f>
        <v>0</v>
      </c>
      <c r="F51" s="78"/>
      <c r="G51" s="1566"/>
    </row>
    <row r="52" spans="1:7" ht="15">
      <c r="A52" s="628"/>
      <c r="B52" s="78" t="s">
        <v>1996</v>
      </c>
      <c r="C52" s="455"/>
      <c r="D52" s="189"/>
      <c r="E52" s="78"/>
      <c r="F52" s="78"/>
      <c r="G52" s="1566"/>
    </row>
    <row r="53" spans="1:7" ht="15">
      <c r="A53" s="628"/>
      <c r="B53" s="455"/>
      <c r="C53" s="455"/>
      <c r="D53" s="189"/>
      <c r="E53" s="78"/>
      <c r="F53" s="78"/>
      <c r="G53" s="1566"/>
    </row>
    <row r="54" spans="1:7" ht="20.25">
      <c r="A54" s="628"/>
      <c r="B54" s="455"/>
      <c r="C54" s="202" t="s">
        <v>186</v>
      </c>
      <c r="D54" s="86"/>
      <c r="E54" s="202"/>
      <c r="F54" s="78"/>
      <c r="G54" s="1566"/>
    </row>
    <row r="55" spans="1:7" ht="15">
      <c r="A55" s="628"/>
      <c r="B55" s="455"/>
      <c r="C55" s="455"/>
      <c r="D55" s="189"/>
      <c r="E55" s="78"/>
      <c r="F55" s="78"/>
      <c r="G55" s="1566"/>
    </row>
    <row r="56" spans="1:7" ht="22.5" customHeight="1">
      <c r="A56" s="626" t="s">
        <v>1567</v>
      </c>
      <c r="B56" s="95" t="s">
        <v>2103</v>
      </c>
      <c r="C56" s="78"/>
      <c r="D56" s="79"/>
      <c r="E56" s="78"/>
      <c r="F56" s="78"/>
      <c r="G56" s="1566"/>
    </row>
    <row r="57" spans="1:7" ht="15">
      <c r="A57" s="627"/>
      <c r="B57" s="78" t="s">
        <v>1618</v>
      </c>
      <c r="C57" s="454"/>
      <c r="D57" s="79"/>
      <c r="E57" s="104"/>
      <c r="F57" s="78"/>
      <c r="G57" s="1566"/>
    </row>
    <row r="58" spans="1:7" ht="15">
      <c r="A58" s="627"/>
      <c r="B58" s="1729"/>
      <c r="C58" s="1729"/>
      <c r="D58" s="79"/>
      <c r="E58" s="93"/>
      <c r="F58" s="78"/>
      <c r="G58" s="1566"/>
    </row>
    <row r="59" spans="1:7" ht="15">
      <c r="A59" s="627"/>
      <c r="B59" s="1729"/>
      <c r="C59" s="1729"/>
      <c r="D59" s="79"/>
      <c r="E59" s="93"/>
      <c r="F59" s="78"/>
      <c r="G59" s="1566"/>
    </row>
    <row r="60" spans="1:7" ht="15">
      <c r="A60" s="627"/>
      <c r="B60" s="1729"/>
      <c r="C60" s="1729"/>
      <c r="D60" s="79"/>
      <c r="E60" s="93"/>
      <c r="F60" s="78"/>
      <c r="G60" s="1566"/>
    </row>
    <row r="61" spans="1:7" ht="15">
      <c r="A61" s="627"/>
      <c r="B61" s="1729"/>
      <c r="C61" s="1729"/>
      <c r="D61" s="79"/>
      <c r="E61" s="93"/>
      <c r="F61" s="78"/>
      <c r="G61" s="1566"/>
    </row>
    <row r="62" spans="1:7" ht="15">
      <c r="A62" s="627"/>
      <c r="B62" s="1729"/>
      <c r="C62" s="1729"/>
      <c r="D62" s="79"/>
      <c r="E62" s="93"/>
      <c r="F62" s="78"/>
      <c r="G62" s="1566"/>
    </row>
    <row r="63" spans="1:7" ht="15">
      <c r="A63" s="627"/>
      <c r="B63" s="76" t="s">
        <v>2109</v>
      </c>
      <c r="C63" s="454"/>
      <c r="D63" s="79"/>
      <c r="E63" s="93"/>
      <c r="F63" s="78"/>
      <c r="G63" s="1566"/>
    </row>
    <row r="64" spans="1:7" ht="15">
      <c r="A64" s="627"/>
      <c r="B64" s="1730"/>
      <c r="C64" s="1730"/>
      <c r="D64" s="79"/>
      <c r="E64" s="93"/>
      <c r="F64" s="78"/>
      <c r="G64" s="1566"/>
    </row>
    <row r="65" spans="1:7" ht="15">
      <c r="A65" s="627"/>
      <c r="B65" s="1730"/>
      <c r="C65" s="1730"/>
      <c r="D65" s="79"/>
      <c r="E65" s="93"/>
      <c r="F65" s="78"/>
      <c r="G65" s="1566"/>
    </row>
    <row r="66" spans="1:7" ht="15">
      <c r="A66" s="627"/>
      <c r="B66" s="1730"/>
      <c r="C66" s="1730"/>
      <c r="D66" s="79"/>
      <c r="E66" s="93"/>
      <c r="F66" s="78"/>
      <c r="G66" s="1566"/>
    </row>
    <row r="67" spans="1:7" ht="15">
      <c r="A67" s="627"/>
      <c r="B67" s="75"/>
      <c r="C67" s="90" t="s">
        <v>182</v>
      </c>
      <c r="D67" s="189">
        <v>121</v>
      </c>
      <c r="E67" s="367">
        <f>SUM(E57:E66)</f>
        <v>0</v>
      </c>
      <c r="F67" s="78"/>
      <c r="G67" s="1566"/>
    </row>
    <row r="68" spans="1:7" ht="22.5" customHeight="1">
      <c r="A68" s="626" t="s">
        <v>1568</v>
      </c>
      <c r="B68" s="95" t="s">
        <v>851</v>
      </c>
      <c r="C68" s="78"/>
      <c r="D68" s="79"/>
      <c r="E68" s="78"/>
      <c r="F68" s="78"/>
      <c r="G68" s="1566"/>
    </row>
    <row r="69" spans="1:7" ht="15">
      <c r="A69" s="627"/>
      <c r="B69" s="1729"/>
      <c r="C69" s="1729"/>
      <c r="D69" s="79"/>
      <c r="E69" s="104"/>
      <c r="F69" s="78"/>
      <c r="G69" s="1566"/>
    </row>
    <row r="70" spans="1:7" ht="15">
      <c r="A70" s="627"/>
      <c r="B70" s="1729"/>
      <c r="C70" s="1729"/>
      <c r="D70" s="79"/>
      <c r="E70" s="104"/>
      <c r="F70" s="78"/>
      <c r="G70" s="1566"/>
    </row>
    <row r="71" spans="1:7" ht="15">
      <c r="A71" s="627"/>
      <c r="B71" s="1729"/>
      <c r="C71" s="1729"/>
      <c r="D71" s="79"/>
      <c r="E71" s="104"/>
      <c r="F71" s="78"/>
      <c r="G71" s="1566"/>
    </row>
    <row r="72" spans="1:7" ht="15">
      <c r="A72" s="627"/>
      <c r="B72" s="1729"/>
      <c r="C72" s="1729"/>
      <c r="D72" s="79"/>
      <c r="E72" s="104"/>
      <c r="F72" s="78"/>
      <c r="G72" s="1566"/>
    </row>
    <row r="73" spans="1:7" ht="15">
      <c r="A73" s="627"/>
      <c r="B73" s="1729"/>
      <c r="C73" s="1729"/>
      <c r="D73" s="79"/>
      <c r="E73" s="104"/>
      <c r="F73" s="78"/>
      <c r="G73" s="1566"/>
    </row>
    <row r="74" spans="1:7" ht="15">
      <c r="A74" s="627"/>
      <c r="B74" s="1729"/>
      <c r="C74" s="1729"/>
      <c r="D74" s="79"/>
      <c r="E74" s="104"/>
      <c r="F74" s="78"/>
      <c r="G74" s="1566"/>
    </row>
    <row r="75" spans="1:7" ht="15">
      <c r="A75" s="627"/>
      <c r="B75" s="1729"/>
      <c r="C75" s="1729"/>
      <c r="D75" s="79"/>
      <c r="E75" s="93"/>
      <c r="F75" s="78"/>
      <c r="G75" s="1566"/>
    </row>
    <row r="76" spans="1:7" ht="15">
      <c r="A76" s="627"/>
      <c r="B76" s="144"/>
      <c r="C76" s="151" t="s">
        <v>183</v>
      </c>
      <c r="D76" s="189">
        <v>122</v>
      </c>
      <c r="E76" s="367">
        <f>SUM(E69:E75)</f>
        <v>0</v>
      </c>
      <c r="F76" s="78"/>
      <c r="G76" s="1566"/>
    </row>
    <row r="77" spans="1:7" ht="21.75" customHeight="1">
      <c r="A77" s="626" t="s">
        <v>1804</v>
      </c>
      <c r="B77" s="95" t="s">
        <v>534</v>
      </c>
      <c r="C77" s="78"/>
      <c r="D77" s="79"/>
      <c r="E77" s="78"/>
      <c r="F77" s="78"/>
      <c r="G77" s="1566"/>
    </row>
    <row r="78" spans="1:7" ht="15.75" customHeight="1">
      <c r="A78" s="627"/>
      <c r="B78" s="75" t="s">
        <v>1427</v>
      </c>
      <c r="C78" s="454"/>
      <c r="D78" s="79"/>
      <c r="E78" s="104"/>
      <c r="F78" s="78"/>
      <c r="G78" s="1566"/>
    </row>
    <row r="79" spans="1:7" ht="15.75" customHeight="1">
      <c r="A79" s="627"/>
      <c r="B79" s="75" t="s">
        <v>1427</v>
      </c>
      <c r="C79" s="454"/>
      <c r="D79" s="79"/>
      <c r="E79" s="104"/>
      <c r="F79" s="78"/>
      <c r="G79" s="1566"/>
    </row>
    <row r="80" spans="1:7" ht="15.75" customHeight="1">
      <c r="A80" s="627"/>
      <c r="B80" s="76" t="s">
        <v>1428</v>
      </c>
      <c r="C80" s="454"/>
      <c r="D80" s="79"/>
      <c r="E80" s="104"/>
      <c r="F80" s="78"/>
      <c r="G80" s="1566"/>
    </row>
    <row r="81" spans="1:7" ht="15">
      <c r="A81" s="627"/>
      <c r="B81" s="76" t="s">
        <v>1428</v>
      </c>
      <c r="C81" s="454"/>
      <c r="D81" s="79"/>
      <c r="E81" s="93"/>
      <c r="F81" s="78"/>
      <c r="G81" s="1566"/>
    </row>
    <row r="82" spans="1:7" ht="15">
      <c r="A82" s="627"/>
      <c r="B82" s="82"/>
      <c r="C82" s="152" t="s">
        <v>184</v>
      </c>
      <c r="D82" s="189">
        <v>221</v>
      </c>
      <c r="E82" s="367">
        <f>SUM(E78:E81)</f>
        <v>0</v>
      </c>
      <c r="F82" s="78"/>
      <c r="G82" s="1566"/>
    </row>
    <row r="83" spans="1:7" ht="15">
      <c r="A83" s="627"/>
      <c r="B83" s="78" t="s">
        <v>1996</v>
      </c>
      <c r="C83" s="79"/>
      <c r="D83" s="79"/>
      <c r="E83" s="79"/>
      <c r="F83" s="78" t="s">
        <v>1659</v>
      </c>
      <c r="G83" s="1566"/>
    </row>
    <row r="84" spans="1:7" ht="15">
      <c r="A84" s="627"/>
      <c r="B84" s="78"/>
      <c r="C84" s="78"/>
      <c r="D84" s="78"/>
      <c r="E84" s="78" t="s">
        <v>821</v>
      </c>
      <c r="F84" s="78"/>
      <c r="G84" s="1566"/>
    </row>
  </sheetData>
  <sheetProtection password="EC35" sheet="1" objects="1" scenarios="1"/>
  <mergeCells count="56">
    <mergeCell ref="B27:C27"/>
    <mergeCell ref="G1:G84"/>
    <mergeCell ref="B17:C17"/>
    <mergeCell ref="B18:C18"/>
    <mergeCell ref="B65:C65"/>
    <mergeCell ref="B66:C66"/>
    <mergeCell ref="B19:C19"/>
    <mergeCell ref="B48:C48"/>
    <mergeCell ref="B43:C43"/>
    <mergeCell ref="B44:C44"/>
    <mergeCell ref="B45:C45"/>
    <mergeCell ref="B46:C46"/>
    <mergeCell ref="B41:C41"/>
    <mergeCell ref="B42:C42"/>
    <mergeCell ref="B31:C31"/>
    <mergeCell ref="B33:C33"/>
    <mergeCell ref="B35:C35"/>
    <mergeCell ref="B36:C36"/>
    <mergeCell ref="B37:C37"/>
    <mergeCell ref="B38:C38"/>
    <mergeCell ref="B20:C20"/>
    <mergeCell ref="B32:C32"/>
    <mergeCell ref="B12:C12"/>
    <mergeCell ref="B13:C13"/>
    <mergeCell ref="B14:C14"/>
    <mergeCell ref="B15:C15"/>
    <mergeCell ref="B30:C30"/>
    <mergeCell ref="B24:C24"/>
    <mergeCell ref="B25:C25"/>
    <mergeCell ref="B26:C26"/>
    <mergeCell ref="B8:C8"/>
    <mergeCell ref="B9:C9"/>
    <mergeCell ref="B10:C10"/>
    <mergeCell ref="B11:C11"/>
    <mergeCell ref="B16:C16"/>
    <mergeCell ref="B39:C39"/>
    <mergeCell ref="B34:C34"/>
    <mergeCell ref="B21:C21"/>
    <mergeCell ref="B22:C22"/>
    <mergeCell ref="B23:C23"/>
    <mergeCell ref="B49:C49"/>
    <mergeCell ref="B61:C61"/>
    <mergeCell ref="B74:C74"/>
    <mergeCell ref="B59:C59"/>
    <mergeCell ref="B60:C60"/>
    <mergeCell ref="B58:C58"/>
    <mergeCell ref="B40:C40"/>
    <mergeCell ref="B75:C75"/>
    <mergeCell ref="B69:C69"/>
    <mergeCell ref="B70:C70"/>
    <mergeCell ref="B71:C71"/>
    <mergeCell ref="B72:C72"/>
    <mergeCell ref="B47:C47"/>
    <mergeCell ref="B62:C62"/>
    <mergeCell ref="B64:C64"/>
    <mergeCell ref="B73:C73"/>
  </mergeCell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1"/>
  <rowBreaks count="1" manualBreakCount="1">
    <brk id="52" max="255" man="1"/>
  </rowBreaks>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I38"/>
  <sheetViews>
    <sheetView zoomScalePageLayoutView="0" workbookViewId="0" topLeftCell="A1">
      <selection activeCell="A3" sqref="A3"/>
    </sheetView>
  </sheetViews>
  <sheetFormatPr defaultColWidth="9.77734375" defaultRowHeight="15"/>
  <cols>
    <col min="1" max="1" width="10.77734375" style="579" customWidth="1"/>
    <col min="2" max="2" width="25.77734375" style="579" customWidth="1"/>
    <col min="3" max="3" width="14.77734375" style="579" customWidth="1"/>
    <col min="4" max="4" width="12.77734375" style="579" customWidth="1"/>
    <col min="5" max="5" width="10.10546875" style="579" customWidth="1"/>
    <col min="6" max="6" width="15.99609375" style="579" customWidth="1"/>
    <col min="7" max="7" width="9.88671875" style="579" customWidth="1"/>
    <col min="8" max="8" width="11.10546875" style="579" customWidth="1"/>
    <col min="9" max="9" width="10.10546875" style="579" customWidth="1"/>
    <col min="10" max="10" width="11.77734375" style="579" customWidth="1"/>
    <col min="11" max="16384" width="9.77734375" style="579" customWidth="1"/>
  </cols>
  <sheetData>
    <row r="1" spans="1:9" ht="23.25">
      <c r="A1" s="135" t="str">
        <f>"T1-"&amp;yeartext</f>
        <v>T1-2009</v>
      </c>
      <c r="B1" s="166"/>
      <c r="C1" s="1253" t="s">
        <v>2096</v>
      </c>
      <c r="D1" s="166"/>
      <c r="E1" s="166"/>
      <c r="F1" s="166"/>
      <c r="G1" s="166"/>
      <c r="H1" s="1185" t="s">
        <v>997</v>
      </c>
      <c r="I1" s="1566" t="s">
        <v>35</v>
      </c>
    </row>
    <row r="2" spans="1:9" ht="5.25" customHeight="1">
      <c r="A2" s="78"/>
      <c r="B2" s="78"/>
      <c r="C2" s="78"/>
      <c r="D2" s="78"/>
      <c r="E2" s="78"/>
      <c r="F2" s="78"/>
      <c r="G2" s="78"/>
      <c r="H2" s="78"/>
      <c r="I2" s="1566"/>
    </row>
    <row r="3" spans="1:9" ht="15">
      <c r="A3" s="78"/>
      <c r="B3" s="78"/>
      <c r="C3" s="78"/>
      <c r="D3" s="78"/>
      <c r="E3" s="78"/>
      <c r="F3" s="78"/>
      <c r="G3" s="78"/>
      <c r="H3" s="78"/>
      <c r="I3" s="1566"/>
    </row>
    <row r="4" spans="1:9" ht="15">
      <c r="A4" s="78" t="s">
        <v>1557</v>
      </c>
      <c r="B4" s="78"/>
      <c r="C4" s="78"/>
      <c r="D4" s="78"/>
      <c r="E4" s="78"/>
      <c r="F4" s="78"/>
      <c r="G4" s="78"/>
      <c r="H4" s="78"/>
      <c r="I4" s="1566"/>
    </row>
    <row r="5" spans="1:9" ht="15">
      <c r="A5" s="78" t="s">
        <v>346</v>
      </c>
      <c r="B5" s="78"/>
      <c r="C5" s="78"/>
      <c r="D5" s="78"/>
      <c r="E5" s="78"/>
      <c r="F5" s="78"/>
      <c r="G5" s="78"/>
      <c r="H5" s="78"/>
      <c r="I5" s="1566"/>
    </row>
    <row r="6" spans="1:9" ht="5.25" customHeight="1">
      <c r="A6" s="78"/>
      <c r="B6" s="78"/>
      <c r="C6" s="78"/>
      <c r="D6" s="78"/>
      <c r="E6" s="78"/>
      <c r="F6" s="78"/>
      <c r="G6" s="78"/>
      <c r="H6" s="78"/>
      <c r="I6" s="1566"/>
    </row>
    <row r="7" spans="1:9" ht="15.75">
      <c r="A7" s="95" t="s">
        <v>73</v>
      </c>
      <c r="B7" s="78"/>
      <c r="C7" s="78"/>
      <c r="D7" s="78"/>
      <c r="E7" s="78"/>
      <c r="F7" s="78"/>
      <c r="G7" s="78"/>
      <c r="H7" s="78"/>
      <c r="I7" s="1566"/>
    </row>
    <row r="8" spans="1:9" ht="15.75">
      <c r="A8" s="190" t="s">
        <v>72</v>
      </c>
      <c r="B8" s="78"/>
      <c r="C8" s="78"/>
      <c r="D8" s="78"/>
      <c r="E8" s="78"/>
      <c r="F8" s="78"/>
      <c r="G8" s="78"/>
      <c r="H8" s="78"/>
      <c r="I8" s="1566"/>
    </row>
    <row r="9" spans="1:9" ht="50.25" customHeight="1">
      <c r="A9" s="191" t="s">
        <v>1278</v>
      </c>
      <c r="B9" s="86" t="s">
        <v>1053</v>
      </c>
      <c r="C9" s="78"/>
      <c r="D9" s="78"/>
      <c r="E9" s="794" t="s">
        <v>1830</v>
      </c>
      <c r="F9" s="78"/>
      <c r="G9" s="78"/>
      <c r="H9" s="78"/>
      <c r="I9" s="1566"/>
    </row>
    <row r="10" spans="1:9" ht="15">
      <c r="A10" s="190" t="str">
        <f>"If your martial status changed in "&amp;yeartext&amp;", give the date of the change:"</f>
        <v>If your martial status changed in 2009, give the date of the change:</v>
      </c>
      <c r="B10" s="78"/>
      <c r="C10" s="78"/>
      <c r="D10" s="78"/>
      <c r="E10" s="1390"/>
      <c r="F10" s="1389"/>
      <c r="G10" s="78"/>
      <c r="H10" s="78"/>
      <c r="I10" s="1566"/>
    </row>
    <row r="11" spans="1:9" ht="15">
      <c r="A11" s="190" t="s">
        <v>2123</v>
      </c>
      <c r="B11" s="78"/>
      <c r="C11" s="78"/>
      <c r="D11" s="78"/>
      <c r="E11" s="78"/>
      <c r="F11" s="78"/>
      <c r="G11" s="78"/>
      <c r="H11" s="78"/>
      <c r="I11" s="1566"/>
    </row>
    <row r="12" spans="1:9" ht="15">
      <c r="A12" s="190"/>
      <c r="B12" s="78"/>
      <c r="C12" s="78"/>
      <c r="D12" s="78"/>
      <c r="E12" s="78"/>
      <c r="F12" s="78"/>
      <c r="G12" s="78"/>
      <c r="H12" s="78"/>
      <c r="I12" s="1566"/>
    </row>
    <row r="13" spans="1:9" ht="15">
      <c r="A13" s="696" t="s">
        <v>636</v>
      </c>
      <c r="B13" s="193"/>
      <c r="C13" s="195" t="s">
        <v>637</v>
      </c>
      <c r="D13" s="195" t="s">
        <v>638</v>
      </c>
      <c r="E13" s="195" t="s">
        <v>2389</v>
      </c>
      <c r="F13" s="1735" t="s">
        <v>2124</v>
      </c>
      <c r="G13" s="1736"/>
      <c r="H13" s="181" t="s">
        <v>1710</v>
      </c>
      <c r="I13" s="1566"/>
    </row>
    <row r="14" spans="1:9" ht="15">
      <c r="A14" s="696" t="s">
        <v>639</v>
      </c>
      <c r="B14" s="193"/>
      <c r="C14" s="196" t="s">
        <v>640</v>
      </c>
      <c r="D14" s="196" t="s">
        <v>641</v>
      </c>
      <c r="E14" s="196" t="str">
        <f>"in "&amp;yeartext</f>
        <v>in 2009</v>
      </c>
      <c r="F14" s="1737"/>
      <c r="G14" s="1738"/>
      <c r="H14" s="200" t="s">
        <v>2387</v>
      </c>
      <c r="I14" s="1566"/>
    </row>
    <row r="15" spans="1:9" ht="15">
      <c r="A15" s="192" t="s">
        <v>642</v>
      </c>
      <c r="B15" s="695"/>
      <c r="C15" s="697" t="s">
        <v>635</v>
      </c>
      <c r="D15" s="197"/>
      <c r="E15" s="197"/>
      <c r="F15" s="1739"/>
      <c r="G15" s="1740"/>
      <c r="H15" s="140"/>
      <c r="I15" s="1566"/>
    </row>
    <row r="16" spans="1:9" ht="24.75" customHeight="1">
      <c r="A16" s="1691"/>
      <c r="B16" s="1692"/>
      <c r="C16" s="64">
        <v>36982</v>
      </c>
      <c r="D16" s="198"/>
      <c r="E16" s="199"/>
      <c r="F16" s="1741"/>
      <c r="G16" s="1742"/>
      <c r="H16" s="1186">
        <f>Sch1!K12</f>
        <v>0</v>
      </c>
      <c r="I16" s="1566"/>
    </row>
    <row r="17" spans="1:9" ht="15">
      <c r="A17" s="190"/>
      <c r="B17" s="78"/>
      <c r="C17" s="78"/>
      <c r="D17" s="78"/>
      <c r="E17" s="78"/>
      <c r="F17" s="78"/>
      <c r="G17" s="78"/>
      <c r="H17" s="78"/>
      <c r="I17" s="1566"/>
    </row>
    <row r="18" spans="1:9" ht="15">
      <c r="A18" s="190"/>
      <c r="B18" s="78"/>
      <c r="C18" s="78"/>
      <c r="D18" s="78"/>
      <c r="E18" s="78"/>
      <c r="F18" s="78"/>
      <c r="G18" s="78"/>
      <c r="H18" s="78"/>
      <c r="I18" s="1566"/>
    </row>
    <row r="19" spans="1:9" ht="18">
      <c r="A19" s="191" t="s">
        <v>1629</v>
      </c>
      <c r="B19" s="78"/>
      <c r="C19" s="78"/>
      <c r="D19" s="78"/>
      <c r="E19" s="78"/>
      <c r="F19" s="78"/>
      <c r="G19" s="78"/>
      <c r="H19" s="78"/>
      <c r="I19" s="1566"/>
    </row>
    <row r="20" spans="1:9" ht="15">
      <c r="A20" s="190"/>
      <c r="B20" s="78"/>
      <c r="C20" s="78"/>
      <c r="D20" s="78"/>
      <c r="E20" s="78"/>
      <c r="F20" s="78"/>
      <c r="G20" s="78"/>
      <c r="H20" s="78"/>
      <c r="I20" s="1566"/>
    </row>
    <row r="21" spans="1:9" ht="15">
      <c r="A21" s="696" t="s">
        <v>636</v>
      </c>
      <c r="B21" s="193"/>
      <c r="C21" s="195" t="s">
        <v>1560</v>
      </c>
      <c r="D21" s="195" t="s">
        <v>638</v>
      </c>
      <c r="E21" s="195" t="s">
        <v>2389</v>
      </c>
      <c r="F21" s="792" t="s">
        <v>2125</v>
      </c>
      <c r="G21" s="181" t="s">
        <v>855</v>
      </c>
      <c r="H21" s="181" t="s">
        <v>1710</v>
      </c>
      <c r="I21" s="1566"/>
    </row>
    <row r="22" spans="1:9" ht="15">
      <c r="A22" s="696" t="s">
        <v>639</v>
      </c>
      <c r="B22" s="194"/>
      <c r="C22" s="196" t="s">
        <v>1630</v>
      </c>
      <c r="D22" s="196" t="s">
        <v>641</v>
      </c>
      <c r="E22" s="196" t="str">
        <f>"in "&amp;yeartext</f>
        <v>in 2009</v>
      </c>
      <c r="F22" s="196" t="s">
        <v>1246</v>
      </c>
      <c r="G22" s="200" t="s">
        <v>1440</v>
      </c>
      <c r="H22" s="200" t="s">
        <v>2387</v>
      </c>
      <c r="I22" s="1566"/>
    </row>
    <row r="23" spans="1:9" ht="15">
      <c r="A23" s="192" t="s">
        <v>642</v>
      </c>
      <c r="B23" s="695"/>
      <c r="C23" s="697"/>
      <c r="D23" s="197"/>
      <c r="E23" s="197"/>
      <c r="F23" s="197"/>
      <c r="G23" s="140"/>
      <c r="H23" s="140"/>
      <c r="I23" s="1566"/>
    </row>
    <row r="24" spans="1:9" ht="49.5" customHeight="1">
      <c r="A24" s="1733"/>
      <c r="B24" s="1734"/>
      <c r="C24" s="1564"/>
      <c r="D24" s="1391"/>
      <c r="E24" s="1392"/>
      <c r="F24" s="1393"/>
      <c r="G24" s="1394"/>
      <c r="H24" s="1395"/>
      <c r="I24" s="1566"/>
    </row>
    <row r="25" spans="1:9" ht="15">
      <c r="A25" s="190"/>
      <c r="B25" s="78"/>
      <c r="C25" s="78"/>
      <c r="D25" s="78"/>
      <c r="E25" s="78"/>
      <c r="F25" s="78"/>
      <c r="G25" s="795"/>
      <c r="H25" s="793"/>
      <c r="I25" s="1566"/>
    </row>
    <row r="26" spans="1:9" ht="15">
      <c r="A26" s="190"/>
      <c r="B26" s="78"/>
      <c r="C26" s="78"/>
      <c r="D26" s="78"/>
      <c r="E26" s="78"/>
      <c r="F26" s="78"/>
      <c r="G26" s="795"/>
      <c r="H26" s="793"/>
      <c r="I26" s="1566"/>
    </row>
    <row r="27" spans="1:9" ht="18">
      <c r="A27" s="191"/>
      <c r="B27" s="78"/>
      <c r="C27" s="78"/>
      <c r="D27" s="78"/>
      <c r="E27" s="78"/>
      <c r="F27" s="78"/>
      <c r="G27" s="78"/>
      <c r="H27" s="78"/>
      <c r="I27" s="1566"/>
    </row>
    <row r="28" spans="1:9" ht="15">
      <c r="A28" s="696" t="s">
        <v>636</v>
      </c>
      <c r="B28" s="193"/>
      <c r="C28" s="195" t="s">
        <v>1560</v>
      </c>
      <c r="D28" s="195" t="s">
        <v>638</v>
      </c>
      <c r="E28" s="195" t="s">
        <v>2389</v>
      </c>
      <c r="F28" s="792" t="s">
        <v>2125</v>
      </c>
      <c r="G28" s="181" t="s">
        <v>855</v>
      </c>
      <c r="H28" s="181" t="s">
        <v>1710</v>
      </c>
      <c r="I28" s="1566"/>
    </row>
    <row r="29" spans="1:9" ht="15">
      <c r="A29" s="696" t="s">
        <v>639</v>
      </c>
      <c r="B29" s="194"/>
      <c r="C29" s="196" t="s">
        <v>1630</v>
      </c>
      <c r="D29" s="196" t="s">
        <v>641</v>
      </c>
      <c r="E29" s="196" t="str">
        <f>"in "&amp;yeartext</f>
        <v>in 2009</v>
      </c>
      <c r="F29" s="196" t="s">
        <v>1246</v>
      </c>
      <c r="G29" s="200" t="s">
        <v>1440</v>
      </c>
      <c r="H29" s="200" t="s">
        <v>2387</v>
      </c>
      <c r="I29" s="1566"/>
    </row>
    <row r="30" spans="1:9" ht="15">
      <c r="A30" s="192" t="s">
        <v>642</v>
      </c>
      <c r="B30" s="695"/>
      <c r="C30" s="697"/>
      <c r="D30" s="197"/>
      <c r="E30" s="197"/>
      <c r="F30" s="197"/>
      <c r="G30" s="140"/>
      <c r="H30" s="140"/>
      <c r="I30" s="1566"/>
    </row>
    <row r="31" spans="1:9" ht="49.5" customHeight="1">
      <c r="A31" s="1733"/>
      <c r="B31" s="1734"/>
      <c r="C31" s="1564"/>
      <c r="D31" s="1391"/>
      <c r="E31" s="1392"/>
      <c r="F31" s="1393"/>
      <c r="G31" s="1394"/>
      <c r="H31" s="1395"/>
      <c r="I31" s="1566"/>
    </row>
    <row r="32" spans="1:9" ht="15">
      <c r="A32" s="190"/>
      <c r="B32" s="78"/>
      <c r="C32" s="78"/>
      <c r="D32" s="78"/>
      <c r="E32" s="78"/>
      <c r="F32" s="78"/>
      <c r="G32" s="795"/>
      <c r="H32" s="793"/>
      <c r="I32" s="1566"/>
    </row>
    <row r="33" spans="1:9" ht="15">
      <c r="A33" s="190"/>
      <c r="B33" s="78"/>
      <c r="C33" s="78"/>
      <c r="D33" s="78"/>
      <c r="E33" s="78"/>
      <c r="F33" s="78"/>
      <c r="G33" s="795"/>
      <c r="H33" s="793"/>
      <c r="I33" s="1566"/>
    </row>
    <row r="34" spans="1:9" ht="15">
      <c r="A34" s="190"/>
      <c r="B34" s="78"/>
      <c r="C34" s="78"/>
      <c r="D34" s="78"/>
      <c r="E34" s="78"/>
      <c r="F34" s="78"/>
      <c r="G34" s="78"/>
      <c r="H34" s="78"/>
      <c r="I34" s="1566"/>
    </row>
    <row r="35" spans="1:9" ht="15">
      <c r="A35" s="78"/>
      <c r="B35" s="78"/>
      <c r="C35" s="78"/>
      <c r="D35" s="78"/>
      <c r="E35" s="78"/>
      <c r="F35" s="78"/>
      <c r="G35" s="78"/>
      <c r="H35" s="78"/>
      <c r="I35" s="1566"/>
    </row>
    <row r="36" spans="1:9" ht="15">
      <c r="A36" s="78"/>
      <c r="B36" s="78"/>
      <c r="C36" s="78"/>
      <c r="D36" s="78"/>
      <c r="E36" s="78"/>
      <c r="F36" s="78"/>
      <c r="G36" s="78"/>
      <c r="H36" s="78"/>
      <c r="I36" s="1566"/>
    </row>
    <row r="37" spans="1:9" ht="15">
      <c r="A37" s="78" t="s">
        <v>643</v>
      </c>
      <c r="B37" s="78"/>
      <c r="C37" s="78"/>
      <c r="D37" s="78"/>
      <c r="E37" s="78"/>
      <c r="F37" s="78"/>
      <c r="G37" s="78"/>
      <c r="H37" s="78"/>
      <c r="I37" s="1566"/>
    </row>
    <row r="38" spans="1:9" ht="15">
      <c r="A38" s="78"/>
      <c r="B38" s="78"/>
      <c r="C38" s="78"/>
      <c r="D38" s="78"/>
      <c r="E38" s="78"/>
      <c r="F38" s="78"/>
      <c r="G38" s="78"/>
      <c r="H38" s="78"/>
      <c r="I38" s="1566"/>
    </row>
  </sheetData>
  <sheetProtection password="EC35" sheet="1" objects="1" scenarios="1"/>
  <mergeCells count="6">
    <mergeCell ref="I1:I38"/>
    <mergeCell ref="A16:B16"/>
    <mergeCell ref="A24:B24"/>
    <mergeCell ref="A31:B31"/>
    <mergeCell ref="F13:G15"/>
    <mergeCell ref="F16:G16"/>
  </mergeCells>
  <printOptions horizontalCentered="1"/>
  <pageMargins left="0.15748031496062992" right="0.15748031496062992" top="0.5118110236220472" bottom="0.5118110236220472" header="0.5118110236220472" footer="0.5118110236220472"/>
  <pageSetup fitToHeight="0"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A2:F75"/>
  <sheetViews>
    <sheetView zoomScalePageLayoutView="0" workbookViewId="0" topLeftCell="A1">
      <selection activeCell="A1" sqref="A1"/>
    </sheetView>
  </sheetViews>
  <sheetFormatPr defaultColWidth="8.88671875" defaultRowHeight="15"/>
  <cols>
    <col min="1" max="1" width="54.10546875" style="949" customWidth="1"/>
    <col min="2" max="2" width="13.77734375" style="947" customWidth="1"/>
    <col min="3" max="3" width="64.10546875" style="948" customWidth="1"/>
    <col min="4" max="4" width="2.4453125" style="0" customWidth="1"/>
    <col min="5" max="5" width="8.4453125" style="0" customWidth="1"/>
  </cols>
  <sheetData>
    <row r="2" spans="1:5" ht="39" customHeight="1">
      <c r="A2" s="1219" t="str">
        <f>"What's new by Canada Revenue Agency for "&amp;yeartext&amp;"?"</f>
        <v>What's new by Canada Revenue Agency for 2009?</v>
      </c>
      <c r="B2" s="1571" t="s">
        <v>2009</v>
      </c>
      <c r="C2" s="1572"/>
      <c r="E2" s="1566" t="s">
        <v>1773</v>
      </c>
    </row>
    <row r="3" spans="1:5" ht="60">
      <c r="A3" s="953" t="s">
        <v>2455</v>
      </c>
      <c r="B3" s="1525" t="s">
        <v>2476</v>
      </c>
      <c r="C3" s="128"/>
      <c r="E3" s="1566"/>
    </row>
    <row r="4" spans="1:5" ht="15">
      <c r="A4" s="953"/>
      <c r="B4" s="952"/>
      <c r="C4" s="128"/>
      <c r="E4" s="1566"/>
    </row>
    <row r="5" spans="1:5" ht="15.75">
      <c r="A5" s="1523" t="s">
        <v>2456</v>
      </c>
      <c r="B5" s="1525" t="s">
        <v>2475</v>
      </c>
      <c r="C5" s="1187"/>
      <c r="E5" s="1566"/>
    </row>
    <row r="6" spans="1:5" ht="60">
      <c r="A6" s="953" t="s">
        <v>2457</v>
      </c>
      <c r="B6" s="1188"/>
      <c r="C6" s="1187"/>
      <c r="E6" s="1566"/>
    </row>
    <row r="7" spans="1:5" ht="15" customHeight="1">
      <c r="A7" s="953"/>
      <c r="B7" s="1188"/>
      <c r="C7" s="1187"/>
      <c r="E7" s="1566"/>
    </row>
    <row r="8" spans="1:5" ht="15" customHeight="1">
      <c r="A8" s="1523" t="s">
        <v>2458</v>
      </c>
      <c r="B8" s="1525" t="s">
        <v>2477</v>
      </c>
      <c r="C8" s="1187"/>
      <c r="E8" s="1566"/>
    </row>
    <row r="9" spans="1:5" ht="30" customHeight="1">
      <c r="A9" s="953" t="s">
        <v>2459</v>
      </c>
      <c r="B9" s="1573"/>
      <c r="C9" s="1569"/>
      <c r="E9" s="1566"/>
    </row>
    <row r="10" spans="1:5" ht="15" customHeight="1">
      <c r="A10" s="953"/>
      <c r="B10" s="1188"/>
      <c r="C10" s="1187"/>
      <c r="E10" s="1566"/>
    </row>
    <row r="11" spans="1:5" ht="15" customHeight="1">
      <c r="A11" s="1523" t="s">
        <v>192</v>
      </c>
      <c r="B11" s="1525" t="s">
        <v>2478</v>
      </c>
      <c r="C11" s="1187"/>
      <c r="E11" s="1566"/>
    </row>
    <row r="12" spans="1:5" ht="30">
      <c r="A12" s="953" t="s">
        <v>2460</v>
      </c>
      <c r="B12" s="1188"/>
      <c r="C12" s="1187"/>
      <c r="E12" s="1566"/>
    </row>
    <row r="13" spans="1:5" ht="15">
      <c r="A13" s="953"/>
      <c r="B13" s="952"/>
      <c r="C13" s="128"/>
      <c r="E13" s="1566"/>
    </row>
    <row r="14" spans="1:5" ht="15.75">
      <c r="A14" s="1524" t="s">
        <v>1284</v>
      </c>
      <c r="B14" s="1525" t="s">
        <v>2479</v>
      </c>
      <c r="C14" s="1187"/>
      <c r="E14" s="1566"/>
    </row>
    <row r="15" spans="1:5" ht="30">
      <c r="A15" s="950" t="s">
        <v>2461</v>
      </c>
      <c r="B15" s="952"/>
      <c r="C15" s="128"/>
      <c r="E15" s="1566"/>
    </row>
    <row r="16" spans="1:5" ht="15">
      <c r="A16" s="951"/>
      <c r="B16" s="1567"/>
      <c r="C16" s="1568"/>
      <c r="E16" s="1566"/>
    </row>
    <row r="17" spans="1:5" ht="15.75">
      <c r="A17" s="1524" t="s">
        <v>1052</v>
      </c>
      <c r="B17" s="1525" t="s">
        <v>2480</v>
      </c>
      <c r="C17" s="128"/>
      <c r="E17" s="1566"/>
    </row>
    <row r="18" spans="1:5" ht="30">
      <c r="A18" s="950" t="s">
        <v>2462</v>
      </c>
      <c r="B18" s="1567"/>
      <c r="C18" s="1570"/>
      <c r="E18" s="1566"/>
    </row>
    <row r="19" spans="1:5" ht="15">
      <c r="A19" s="951"/>
      <c r="B19" s="1567"/>
      <c r="C19" s="1570"/>
      <c r="E19" s="1566"/>
    </row>
    <row r="20" spans="1:5" ht="15.75">
      <c r="A20" s="1524" t="s">
        <v>1718</v>
      </c>
      <c r="B20" s="1525" t="s">
        <v>2481</v>
      </c>
      <c r="C20" s="1522"/>
      <c r="E20" s="1566"/>
    </row>
    <row r="21" spans="1:5" ht="30">
      <c r="A21" s="950" t="s">
        <v>2463</v>
      </c>
      <c r="B21" s="1220"/>
      <c r="C21" s="1221"/>
      <c r="E21" s="1566"/>
    </row>
    <row r="22" spans="1:5" ht="15">
      <c r="A22" s="951"/>
      <c r="B22" s="1567"/>
      <c r="C22" s="1569"/>
      <c r="E22" s="1566"/>
    </row>
    <row r="23" spans="1:5" ht="15.75">
      <c r="A23" s="1524" t="s">
        <v>2464</v>
      </c>
      <c r="B23" s="1525" t="s">
        <v>2482</v>
      </c>
      <c r="C23" s="1427"/>
      <c r="E23" s="1566"/>
    </row>
    <row r="24" spans="1:5" ht="60">
      <c r="A24" s="950" t="s">
        <v>2465</v>
      </c>
      <c r="B24" s="1567"/>
      <c r="C24" s="1568"/>
      <c r="E24" s="1566"/>
    </row>
    <row r="25" spans="1:5" ht="15">
      <c r="A25" s="951"/>
      <c r="B25" s="952"/>
      <c r="C25" s="128"/>
      <c r="E25" s="1566"/>
    </row>
    <row r="26" spans="1:5" ht="15.75">
      <c r="A26" s="1524" t="s">
        <v>2466</v>
      </c>
      <c r="B26" s="1525" t="s">
        <v>2483</v>
      </c>
      <c r="C26" s="1428"/>
      <c r="E26" s="1566"/>
    </row>
    <row r="27" spans="1:5" ht="45">
      <c r="A27" s="950" t="s">
        <v>2467</v>
      </c>
      <c r="B27" s="1567"/>
      <c r="C27" s="1569"/>
      <c r="E27" s="1566"/>
    </row>
    <row r="28" spans="1:5" ht="15">
      <c r="A28" s="951"/>
      <c r="B28" s="1567"/>
      <c r="C28" s="1568"/>
      <c r="E28" s="1566"/>
    </row>
    <row r="29" spans="1:5" ht="15.75">
      <c r="A29" s="1524" t="s">
        <v>222</v>
      </c>
      <c r="B29" s="1525" t="s">
        <v>2484</v>
      </c>
      <c r="C29" s="1427"/>
      <c r="E29" s="1566"/>
    </row>
    <row r="30" spans="1:5" ht="60">
      <c r="A30" s="950" t="s">
        <v>2468</v>
      </c>
      <c r="B30" s="1426"/>
      <c r="C30" s="1427"/>
      <c r="E30" s="1566"/>
    </row>
    <row r="31" spans="1:5" ht="15">
      <c r="A31" s="951"/>
      <c r="B31" s="1426"/>
      <c r="C31" s="1427"/>
      <c r="E31" s="1566"/>
    </row>
    <row r="32" spans="1:5" ht="15.75">
      <c r="A32" s="1524" t="s">
        <v>2469</v>
      </c>
      <c r="B32" s="1525" t="s">
        <v>2485</v>
      </c>
      <c r="C32" s="128"/>
      <c r="E32" s="1566"/>
    </row>
    <row r="33" spans="1:5" ht="15">
      <c r="A33" s="951" t="s">
        <v>2470</v>
      </c>
      <c r="B33" s="952"/>
      <c r="C33" s="128"/>
      <c r="E33" s="1566"/>
    </row>
    <row r="34" spans="1:5" ht="15">
      <c r="A34" s="951"/>
      <c r="B34" s="1567"/>
      <c r="C34" s="1568"/>
      <c r="E34" s="1566"/>
    </row>
    <row r="35" spans="1:5" ht="15.75">
      <c r="A35" s="1524" t="s">
        <v>2471</v>
      </c>
      <c r="B35" s="1525" t="s">
        <v>2486</v>
      </c>
      <c r="C35" s="128"/>
      <c r="E35" s="1566"/>
    </row>
    <row r="36" spans="1:5" ht="45">
      <c r="A36" s="950" t="s">
        <v>2472</v>
      </c>
      <c r="B36" s="1567"/>
      <c r="C36" s="1569"/>
      <c r="E36" s="1566"/>
    </row>
    <row r="37" spans="1:5" ht="15">
      <c r="A37" s="951"/>
      <c r="B37" s="1567"/>
      <c r="C37" s="1569"/>
      <c r="E37" s="1566"/>
    </row>
    <row r="38" spans="1:5" ht="15.75">
      <c r="A38" s="1524" t="s">
        <v>2473</v>
      </c>
      <c r="B38" s="1525" t="s">
        <v>2487</v>
      </c>
      <c r="C38" s="128"/>
      <c r="E38" s="1566"/>
    </row>
    <row r="39" spans="1:5" ht="90">
      <c r="A39" s="950" t="s">
        <v>2474</v>
      </c>
      <c r="B39" s="1567"/>
      <c r="C39" s="1568"/>
      <c r="E39" s="1566"/>
    </row>
    <row r="40" spans="1:5" ht="15">
      <c r="A40" s="951"/>
      <c r="B40" s="1567"/>
      <c r="C40" s="1568"/>
      <c r="E40" s="1566"/>
    </row>
    <row r="41" spans="1:5" ht="15">
      <c r="A41" s="951"/>
      <c r="B41" s="952"/>
      <c r="C41" s="128"/>
      <c r="E41" s="1566"/>
    </row>
    <row r="42" spans="1:5" ht="21" customHeight="1">
      <c r="A42" s="1433" t="s">
        <v>2231</v>
      </c>
      <c r="B42" s="952"/>
      <c r="C42" s="128"/>
      <c r="E42" s="1566"/>
    </row>
    <row r="43" spans="1:5" ht="15">
      <c r="A43" s="953"/>
      <c r="B43" s="1567"/>
      <c r="C43" s="1569"/>
      <c r="E43" s="1566"/>
    </row>
    <row r="44" spans="1:6" ht="15">
      <c r="A44" s="953" t="s">
        <v>2191</v>
      </c>
      <c r="B44" s="1432" t="s">
        <v>2192</v>
      </c>
      <c r="C44" s="128"/>
      <c r="E44" s="1566"/>
      <c r="F44" s="1429"/>
    </row>
    <row r="45" spans="1:5" ht="15">
      <c r="A45" s="951" t="s">
        <v>2193</v>
      </c>
      <c r="B45" s="1432" t="s">
        <v>2212</v>
      </c>
      <c r="C45" s="1187"/>
      <c r="E45" s="1566"/>
    </row>
    <row r="46" spans="1:5" ht="15">
      <c r="A46" s="953" t="s">
        <v>2194</v>
      </c>
      <c r="B46" s="1432" t="s">
        <v>2213</v>
      </c>
      <c r="C46" s="1427"/>
      <c r="E46" s="1566"/>
    </row>
    <row r="47" spans="1:5" ht="15">
      <c r="A47" s="951" t="s">
        <v>2195</v>
      </c>
      <c r="B47" s="1432" t="s">
        <v>2214</v>
      </c>
      <c r="C47" s="1187"/>
      <c r="E47" s="1566"/>
    </row>
    <row r="48" spans="1:5" ht="15">
      <c r="A48" s="951" t="s">
        <v>2196</v>
      </c>
      <c r="B48" s="1432" t="s">
        <v>2215</v>
      </c>
      <c r="C48" s="1427"/>
      <c r="E48" s="1566"/>
    </row>
    <row r="49" spans="1:5" ht="15">
      <c r="A49" s="951" t="s">
        <v>2197</v>
      </c>
      <c r="B49" s="1432" t="s">
        <v>2216</v>
      </c>
      <c r="C49" s="1187"/>
      <c r="E49" s="1566"/>
    </row>
    <row r="50" spans="1:5" ht="15">
      <c r="A50" s="951" t="s">
        <v>2198</v>
      </c>
      <c r="B50" s="1432" t="s">
        <v>2217</v>
      </c>
      <c r="C50" s="1427"/>
      <c r="E50" s="1566"/>
    </row>
    <row r="51" spans="1:5" ht="15">
      <c r="A51" s="951" t="s">
        <v>2199</v>
      </c>
      <c r="B51" s="1432" t="s">
        <v>2218</v>
      </c>
      <c r="C51" s="1187"/>
      <c r="E51" s="1566"/>
    </row>
    <row r="52" spans="1:5" ht="15">
      <c r="A52" s="951" t="s">
        <v>2200</v>
      </c>
      <c r="B52" s="1432" t="s">
        <v>2219</v>
      </c>
      <c r="C52" s="1187"/>
      <c r="E52" s="1566"/>
    </row>
    <row r="53" spans="1:5" ht="15">
      <c r="A53" s="951" t="s">
        <v>2201</v>
      </c>
      <c r="B53" s="1432" t="s">
        <v>2220</v>
      </c>
      <c r="C53" s="1428"/>
      <c r="E53" s="1566"/>
    </row>
    <row r="54" spans="1:5" ht="15">
      <c r="A54" s="951" t="s">
        <v>2203</v>
      </c>
      <c r="B54" s="1432" t="s">
        <v>2221</v>
      </c>
      <c r="C54" s="1427"/>
      <c r="E54" s="1566"/>
    </row>
    <row r="55" spans="1:5" ht="15">
      <c r="A55" s="951" t="s">
        <v>2202</v>
      </c>
      <c r="B55" s="1432" t="s">
        <v>2222</v>
      </c>
      <c r="C55" s="1187"/>
      <c r="E55" s="1566"/>
    </row>
    <row r="56" spans="1:5" ht="15">
      <c r="A56" s="951" t="s">
        <v>2204</v>
      </c>
      <c r="B56" s="1432" t="s">
        <v>2223</v>
      </c>
      <c r="C56" s="1428"/>
      <c r="E56" s="1566"/>
    </row>
    <row r="57" spans="1:5" ht="15">
      <c r="A57" s="951" t="s">
        <v>2205</v>
      </c>
      <c r="B57" s="1432" t="s">
        <v>2224</v>
      </c>
      <c r="C57" s="1427"/>
      <c r="E57" s="1566"/>
    </row>
    <row r="58" spans="1:5" ht="15">
      <c r="A58" s="951" t="s">
        <v>2207</v>
      </c>
      <c r="B58" s="1432" t="s">
        <v>2225</v>
      </c>
      <c r="C58" s="1187"/>
      <c r="E58" s="1566"/>
    </row>
    <row r="59" spans="1:5" ht="15">
      <c r="A59" s="951" t="s">
        <v>2206</v>
      </c>
      <c r="B59" s="1432" t="s">
        <v>2226</v>
      </c>
      <c r="C59" s="1187"/>
      <c r="E59" s="1566"/>
    </row>
    <row r="60" spans="1:5" ht="15">
      <c r="A60" s="951" t="s">
        <v>2208</v>
      </c>
      <c r="B60" s="1432" t="s">
        <v>2227</v>
      </c>
      <c r="C60" s="1187"/>
      <c r="E60" s="1566"/>
    </row>
    <row r="61" spans="1:5" ht="15">
      <c r="A61" s="951" t="s">
        <v>2209</v>
      </c>
      <c r="B61" s="1432" t="s">
        <v>2228</v>
      </c>
      <c r="C61" s="1427"/>
      <c r="E61" s="1566"/>
    </row>
    <row r="62" spans="1:5" ht="15">
      <c r="A62" s="951" t="s">
        <v>2210</v>
      </c>
      <c r="B62" s="1432" t="s">
        <v>2229</v>
      </c>
      <c r="C62" s="1428"/>
      <c r="E62" s="1566"/>
    </row>
    <row r="63" spans="1:5" ht="15">
      <c r="A63" s="951" t="s">
        <v>2211</v>
      </c>
      <c r="B63" s="1432" t="s">
        <v>2230</v>
      </c>
      <c r="C63" s="1187"/>
      <c r="E63" s="1566"/>
    </row>
    <row r="64" spans="1:5" ht="15">
      <c r="A64" s="951"/>
      <c r="B64" s="1426"/>
      <c r="C64" s="1427"/>
      <c r="E64" s="1566"/>
    </row>
    <row r="65" spans="1:5" ht="15">
      <c r="A65" s="951"/>
      <c r="B65" s="952"/>
      <c r="C65" s="128"/>
      <c r="E65" s="1566"/>
    </row>
    <row r="66" spans="1:5" ht="15">
      <c r="A66" s="951"/>
      <c r="B66" s="1567"/>
      <c r="C66" s="1568"/>
      <c r="E66" s="1566"/>
    </row>
    <row r="67" spans="1:5" ht="15">
      <c r="A67" s="951"/>
      <c r="B67" s="952"/>
      <c r="C67" s="128"/>
      <c r="E67" s="1566"/>
    </row>
    <row r="68" spans="1:5" ht="15">
      <c r="A68" s="951"/>
      <c r="B68" s="1567"/>
      <c r="C68" s="1569"/>
      <c r="E68" s="1566"/>
    </row>
    <row r="69" spans="1:5" ht="15">
      <c r="A69" s="951"/>
      <c r="B69" s="1567"/>
      <c r="C69" s="1568"/>
      <c r="E69" s="1566"/>
    </row>
    <row r="70" spans="1:5" ht="15">
      <c r="A70" s="951"/>
      <c r="B70" s="952"/>
      <c r="C70" s="128"/>
      <c r="E70" s="1566"/>
    </row>
    <row r="71" spans="1:5" ht="15">
      <c r="A71" s="951"/>
      <c r="B71" s="1567"/>
      <c r="C71" s="1569"/>
      <c r="E71" s="1566"/>
    </row>
    <row r="72" spans="1:5" ht="15">
      <c r="A72" s="951"/>
      <c r="B72" s="952"/>
      <c r="C72" s="128"/>
      <c r="E72" s="1566"/>
    </row>
    <row r="73" spans="1:5" ht="15">
      <c r="A73" s="951"/>
      <c r="B73" s="952"/>
      <c r="C73" s="128"/>
      <c r="E73" s="1566"/>
    </row>
    <row r="74" spans="1:5" ht="15">
      <c r="A74" s="951"/>
      <c r="B74" s="952"/>
      <c r="C74" s="128"/>
      <c r="E74" s="1566"/>
    </row>
    <row r="75" spans="1:5" ht="15">
      <c r="A75" s="951"/>
      <c r="B75" s="952"/>
      <c r="C75" s="128"/>
      <c r="E75" s="1566"/>
    </row>
  </sheetData>
  <sheetProtection password="EC35" sheet="1" objects="1" scenarios="1"/>
  <mergeCells count="20">
    <mergeCell ref="E2:E75"/>
    <mergeCell ref="B66:C66"/>
    <mergeCell ref="B69:C69"/>
    <mergeCell ref="B2:C2"/>
    <mergeCell ref="B71:C71"/>
    <mergeCell ref="B24:C24"/>
    <mergeCell ref="B39:C39"/>
    <mergeCell ref="B36:C36"/>
    <mergeCell ref="B9:C9"/>
    <mergeCell ref="B27:C27"/>
    <mergeCell ref="B16:C16"/>
    <mergeCell ref="B28:C28"/>
    <mergeCell ref="B40:C40"/>
    <mergeCell ref="B68:C68"/>
    <mergeCell ref="B18:C18"/>
    <mergeCell ref="B19:C19"/>
    <mergeCell ref="B22:C22"/>
    <mergeCell ref="B43:C43"/>
    <mergeCell ref="B34:C34"/>
    <mergeCell ref="B37:C37"/>
  </mergeCells>
  <hyperlinks>
    <hyperlink ref="B44" r:id="rId1" display="http://www.cra.gc.ca/access"/>
    <hyperlink ref="B45" r:id="rId2" display="http://www.cra.gc.ca/charities"/>
    <hyperlink ref="B46" r:id="rId3" display="http://www.cra.gc.ca/benefits-calculator"/>
    <hyperlink ref="B47" r:id="rId4" display="http://www.cra.gc.ca/commonadjustments"/>
    <hyperlink ref="B48" r:id="rId5" display="http://www.cra.gc.ca/efile-individuals"/>
    <hyperlink ref="B49" r:id="rId6" display="http://www.cra.gc.ca/electronicpayments"/>
    <hyperlink ref="B50" r:id="rId7" display="http://www.cra.gc.ca/forms"/>
    <hyperlink ref="B51" r:id="rId8" display="http://www.cra.gc.ca/dates-ind"/>
    <hyperlink ref="B52" r:id="rId9" display="http://www.cra.gc.ca/international"/>
    <hyperlink ref="B53" r:id="rId10" display="http://www.cra.gc.ca/myaccount"/>
    <hyperlink ref="B54" r:id="rId11" display="http://www.netfile.gc.ca"/>
    <hyperlink ref="B55" r:id="rId12" display="http://www.cra.gc.ca/disability"/>
    <hyperlink ref="B56" r:id="rId13" display="http://www.cra.gc.ca/rrsp"/>
    <hyperlink ref="B57" r:id="rId14" display="http://www.cra.gc.ca/reviews"/>
    <hyperlink ref="B58" r:id="rId15" display="http://www.cra.gc.ca/students"/>
    <hyperlink ref="B59" r:id="rId16" display="http://www.cra.gc.ca/tips"/>
    <hyperlink ref="B60" r:id="rId17" display="http://www.cra.gc.ca/tso"/>
    <hyperlink ref="B61" r:id="rId18" display="http://www.cra.gc.ca/treaties"/>
    <hyperlink ref="B62" r:id="rId19" display="http://www.cra.gc.ca/telefile"/>
    <hyperlink ref="B63" r:id="rId20" display="http://www.cra.gc.ca/travelcosts"/>
    <hyperlink ref="B5" r:id="rId21" display="http://www.cra-arc.gc.ca/tx/ndvdls/tpcs/rdsp-reei/menu-eng.html"/>
    <hyperlink ref="B3" r:id="rId22" display="http://www.cra-arc.gc.ca/tx/ndvdls/tpcs/ncm-tx/rtrn/cmpltng/whtsnw-eng.html"/>
    <hyperlink ref="B11" r:id="rId23" display="http://www.cra-arc.gc.ca/tx/ndvdls/tpcs/ncm-tx/rtrn/cmpltng/ddctns/lns300-350/300-eng.html"/>
    <hyperlink ref="B8" r:id="rId24" display="http://www.cra-arc.gc.ca/tx/ndvdls/tpcs/ncm-tx/rtrn/cmpltng/rprtng-ncm/lns101-170/130/s-thr-eng.html"/>
    <hyperlink ref="B17" r:id="rId25" display="http://www.cra-arc.gc.ca/tx/ndvdls/tpcs/ncm-tx/rtrn/cmpltng/ddctns/lns300-350/303/menu-eng.html"/>
    <hyperlink ref="B14" r:id="rId26" display="http://www.cra-arc.gc.ca/tx/ndvdls/tpcs/ncm-tx/rtrn/cmpltng/ddctns/lns300-350/301/menu-eng.html"/>
    <hyperlink ref="B20" r:id="rId27" display="http://www.cra-arc.gc.ca/tx/ndvdls/tpcs/ncm-tx/rtrn/cmpltng/ddctns/lns300-350/305/menu-eng.html"/>
    <hyperlink ref="B23" r:id="rId28" display="http://www.cra-arc.gc.ca/tx/ndvdls/tpcs/ncm-tx/rtrn/cmpltng/ddctns/lns360-390/368-eng.html"/>
    <hyperlink ref="B26" r:id="rId29" display="http://www.cra-arc.gc.ca/tx/ndvdls/tpcs/ncm-tx/rtrn/cmpltng/ddctns/lns360-390/369/menu-eng.html"/>
    <hyperlink ref="B29" r:id="rId30" display="http://www.cra-arc.gc.ca/tx/ndvdls/tpcs/ncm-tx/rtrn/cmpltng/ddctns/lns409-485/412/menu-eng.html"/>
    <hyperlink ref="B32" r:id="rId31" display="http://www.cra-arc.gc.ca/esrvc-srvce/tx/mypymnt/menu-eng.html"/>
    <hyperlink ref="B35" r:id="rId32" display="http://www.cra-arc.gc.ca/tx/ndvdls/tpcs/rrsp-reer/hbp-rap/menu-eng.html?=slnk"/>
    <hyperlink ref="B38" r:id="rId33" display="http://www.cra-arc.gc.ca/E/pub/tg/t4040/README.html"/>
  </hyperlinks>
  <printOptions/>
  <pageMargins left="0.75" right="0.75" top="1" bottom="1" header="0.5" footer="0.5"/>
  <pageSetup horizontalDpi="600" verticalDpi="600" orientation="portrait" scale="80" r:id="rId34"/>
</worksheet>
</file>

<file path=xl/worksheets/sheet20.xml><?xml version="1.0" encoding="utf-8"?>
<worksheet xmlns="http://schemas.openxmlformats.org/spreadsheetml/2006/main" xmlns:r="http://schemas.openxmlformats.org/officeDocument/2006/relationships">
  <sheetPr>
    <pageSetUpPr fitToPage="1"/>
  </sheetPr>
  <dimension ref="A1:U125"/>
  <sheetViews>
    <sheetView zoomScale="80" zoomScaleNormal="80" zoomScalePageLayoutView="0" workbookViewId="0" topLeftCell="A1">
      <selection activeCell="A1" sqref="A1"/>
    </sheetView>
  </sheetViews>
  <sheetFormatPr defaultColWidth="8.88671875" defaultRowHeight="15"/>
  <cols>
    <col min="1" max="2" width="24.77734375" style="0" customWidth="1"/>
    <col min="3" max="3" width="4.3359375" style="1087" customWidth="1"/>
    <col min="4" max="4" width="3.88671875" style="0" bestFit="1" customWidth="1"/>
    <col min="5" max="5" width="3.77734375" style="0" customWidth="1"/>
    <col min="6" max="6" width="3.3359375" style="0" customWidth="1"/>
    <col min="7" max="7" width="4.3359375" style="0" customWidth="1"/>
    <col min="8" max="8" width="3.77734375" style="0" customWidth="1"/>
    <col min="9" max="9" width="3.3359375" style="0" customWidth="1"/>
    <col min="10" max="10" width="12.77734375" style="0" customWidth="1"/>
    <col min="11" max="11" width="4.77734375" style="0" customWidth="1"/>
    <col min="12" max="12" width="3.77734375" style="0" customWidth="1"/>
    <col min="13" max="13" width="12.77734375" style="0" customWidth="1"/>
    <col min="14" max="14" width="4.77734375" style="0" customWidth="1"/>
    <col min="15" max="15" width="2.77734375" style="0" customWidth="1"/>
    <col min="17" max="20" width="11.77734375" style="0" customWidth="1"/>
  </cols>
  <sheetData>
    <row r="1" spans="1:16" ht="25.5" customHeight="1">
      <c r="A1" s="1257" t="str">
        <f>"T1-"&amp;yeartext</f>
        <v>T1-2009</v>
      </c>
      <c r="B1" s="1258"/>
      <c r="C1" s="1259"/>
      <c r="D1" s="1260" t="s">
        <v>1981</v>
      </c>
      <c r="E1" s="1261"/>
      <c r="F1" s="578"/>
      <c r="G1" s="578"/>
      <c r="H1" s="578"/>
      <c r="I1" s="578"/>
      <c r="J1" s="578"/>
      <c r="K1" s="578"/>
      <c r="L1" s="578"/>
      <c r="M1" s="578"/>
      <c r="N1" s="1261" t="s">
        <v>155</v>
      </c>
      <c r="P1" s="1777"/>
    </row>
    <row r="2" spans="1:17" ht="19.5" customHeight="1">
      <c r="A2" s="578" t="s">
        <v>2141</v>
      </c>
      <c r="B2" s="578"/>
      <c r="C2" s="1259"/>
      <c r="D2" s="578"/>
      <c r="E2" s="578"/>
      <c r="F2" s="578"/>
      <c r="G2" s="578"/>
      <c r="H2" s="578"/>
      <c r="I2" s="578"/>
      <c r="J2" s="578"/>
      <c r="K2" s="578"/>
      <c r="L2" s="578"/>
      <c r="M2" s="578"/>
      <c r="N2" s="578"/>
      <c r="P2" s="1566"/>
      <c r="Q2" t="s">
        <v>2628</v>
      </c>
    </row>
    <row r="3" spans="1:17" ht="15">
      <c r="A3" s="1262" t="str">
        <f>"Income Tax Benefit (WITB) if you meet all of the following conditions in "&amp;yeartext&amp;":"</f>
        <v>Income Tax Benefit (WITB) if you meet all of the following conditions in 2009:</v>
      </c>
      <c r="B3" s="1262"/>
      <c r="C3" s="1259"/>
      <c r="D3" s="578"/>
      <c r="E3" s="578"/>
      <c r="F3" s="578"/>
      <c r="G3" s="578"/>
      <c r="H3" s="578"/>
      <c r="I3" s="578"/>
      <c r="J3" s="578"/>
      <c r="K3" s="578"/>
      <c r="L3" s="578"/>
      <c r="M3" s="578"/>
      <c r="N3" s="578"/>
      <c r="P3" s="1566"/>
      <c r="Q3" t="s">
        <v>238</v>
      </c>
    </row>
    <row r="4" spans="1:21" ht="24" customHeight="1">
      <c r="A4" s="1262" t="s">
        <v>1787</v>
      </c>
      <c r="B4" s="578"/>
      <c r="C4" s="1259"/>
      <c r="D4" s="578"/>
      <c r="E4" s="578"/>
      <c r="F4" s="578"/>
      <c r="G4" s="578"/>
      <c r="H4" s="578"/>
      <c r="I4" s="578"/>
      <c r="J4" s="578"/>
      <c r="K4" s="578"/>
      <c r="L4" s="578"/>
      <c r="M4" s="578"/>
      <c r="N4" s="578"/>
      <c r="P4" s="1566"/>
      <c r="Q4" s="1477" t="s">
        <v>236</v>
      </c>
      <c r="R4" s="1477" t="s">
        <v>136</v>
      </c>
      <c r="S4" s="1477" t="s">
        <v>135</v>
      </c>
      <c r="T4" s="1477" t="s">
        <v>239</v>
      </c>
      <c r="U4" s="1477" t="s">
        <v>240</v>
      </c>
    </row>
    <row r="5" spans="1:21" ht="15">
      <c r="A5" s="1262" t="s">
        <v>1788</v>
      </c>
      <c r="B5" s="1262"/>
      <c r="C5" s="1259"/>
      <c r="D5" s="578"/>
      <c r="E5" s="578"/>
      <c r="F5" s="578"/>
      <c r="G5" s="578"/>
      <c r="H5" s="578"/>
      <c r="I5" s="578"/>
      <c r="J5" s="578"/>
      <c r="K5" s="578"/>
      <c r="L5" s="578"/>
      <c r="M5" s="578"/>
      <c r="N5" s="578"/>
      <c r="P5" s="1566"/>
      <c r="Q5" s="1479" t="s">
        <v>347</v>
      </c>
      <c r="R5" s="1478"/>
      <c r="S5" s="1478"/>
      <c r="T5" s="1479" t="s">
        <v>237</v>
      </c>
      <c r="U5" s="1479" t="s">
        <v>237</v>
      </c>
    </row>
    <row r="6" spans="1:21" ht="15">
      <c r="A6" s="452" t="s">
        <v>348</v>
      </c>
      <c r="B6" s="578"/>
      <c r="C6" s="1259"/>
      <c r="D6" s="578"/>
      <c r="E6" s="578"/>
      <c r="F6" s="578"/>
      <c r="G6" s="578"/>
      <c r="H6" s="578"/>
      <c r="I6" s="578"/>
      <c r="J6" s="578"/>
      <c r="K6" s="578"/>
      <c r="L6" s="578"/>
      <c r="M6" s="578"/>
      <c r="N6" s="578"/>
      <c r="P6" s="1566"/>
      <c r="Q6" s="1473"/>
      <c r="R6" s="1473"/>
      <c r="S6" s="1473"/>
      <c r="T6" s="1473"/>
      <c r="U6" s="1473"/>
    </row>
    <row r="7" spans="1:21" ht="15">
      <c r="A7" s="578"/>
      <c r="B7" s="578"/>
      <c r="C7" s="1259"/>
      <c r="D7" s="578"/>
      <c r="E7" s="578"/>
      <c r="F7" s="578"/>
      <c r="G7" s="578"/>
      <c r="H7" s="578"/>
      <c r="I7" s="578"/>
      <c r="J7" s="578"/>
      <c r="K7" s="578"/>
      <c r="L7" s="578"/>
      <c r="M7" s="578"/>
      <c r="N7" s="578"/>
      <c r="P7" s="1566"/>
      <c r="Q7" s="1473"/>
      <c r="R7" s="1473"/>
      <c r="S7" s="1473"/>
      <c r="T7" s="1472" t="str">
        <f>Province</f>
        <v>AB</v>
      </c>
      <c r="U7" s="1472"/>
    </row>
    <row r="8" spans="1:21" ht="15">
      <c r="A8" s="1398" t="str">
        <f>"In addition, to claim the basic WITB (Step 2), your working income must be more than "&amp;U8&amp;" and more than "&amp;U9&amp;" to claim the"</f>
        <v>In addition, to claim the basic WITB (Step 2), your working income must be more than $2760 and more than $910 to claim the</v>
      </c>
      <c r="B8" s="578"/>
      <c r="C8" s="1259"/>
      <c r="D8" s="578"/>
      <c r="E8" s="578"/>
      <c r="F8" s="578"/>
      <c r="G8" s="578"/>
      <c r="H8" s="578"/>
      <c r="I8" s="578"/>
      <c r="J8" s="578"/>
      <c r="K8" s="578"/>
      <c r="L8" s="578"/>
      <c r="M8" s="578"/>
      <c r="N8" s="578"/>
      <c r="P8" s="1566"/>
      <c r="Q8" s="1474">
        <v>3000</v>
      </c>
      <c r="R8" s="1474">
        <v>2760</v>
      </c>
      <c r="S8" s="1474">
        <v>4750</v>
      </c>
      <c r="T8" s="1474">
        <f>IF(Province="BC",S8,IF(Province="AB",R8,Q8))</f>
        <v>2760</v>
      </c>
      <c r="U8" s="1475" t="str">
        <f>TEXT(T8,"$0")</f>
        <v>$2760</v>
      </c>
    </row>
    <row r="9" spans="1:21" ht="15">
      <c r="A9" s="1398" t="s">
        <v>2142</v>
      </c>
      <c r="B9" s="578"/>
      <c r="C9" s="1259"/>
      <c r="D9" s="578"/>
      <c r="E9" s="578"/>
      <c r="F9" s="578"/>
      <c r="G9" s="578"/>
      <c r="H9" s="578"/>
      <c r="I9" s="578"/>
      <c r="J9" s="578"/>
      <c r="K9" s="578"/>
      <c r="L9" s="578"/>
      <c r="M9" s="578"/>
      <c r="N9" s="578"/>
      <c r="P9" s="1566"/>
      <c r="Q9" s="1474">
        <v>1150</v>
      </c>
      <c r="R9" s="1474">
        <v>910</v>
      </c>
      <c r="S9" s="1474">
        <v>2295</v>
      </c>
      <c r="T9" s="1474">
        <f>IF(Province="BC",S9,IF(Province="AB",R9,Q9))</f>
        <v>910</v>
      </c>
      <c r="U9" s="1475" t="str">
        <f>TEXT(T9,"$0")</f>
        <v>$910</v>
      </c>
    </row>
    <row r="10" spans="1:21" ht="15.75">
      <c r="A10" s="1398" t="s">
        <v>2143</v>
      </c>
      <c r="B10" s="675"/>
      <c r="C10" s="1259"/>
      <c r="D10" s="578"/>
      <c r="E10" s="578"/>
      <c r="F10" s="578"/>
      <c r="G10" s="578"/>
      <c r="H10" s="578"/>
      <c r="I10" s="578"/>
      <c r="J10" s="578"/>
      <c r="K10" s="578"/>
      <c r="L10" s="578"/>
      <c r="M10" s="578"/>
      <c r="N10" s="578"/>
      <c r="P10" s="1566"/>
      <c r="Q10" s="1473"/>
      <c r="R10" s="1473"/>
      <c r="S10" s="1473"/>
      <c r="T10" s="1473"/>
      <c r="U10" s="1473"/>
    </row>
    <row r="11" spans="1:21" ht="37.5" customHeight="1">
      <c r="A11" s="675" t="str">
        <f>"You cannot claim the WITB if in "&amp;yeartext&amp;":"</f>
        <v>You cannot claim the WITB if in 2009:</v>
      </c>
      <c r="B11" s="675"/>
      <c r="C11" s="1259"/>
      <c r="D11" s="578"/>
      <c r="E11" s="578"/>
      <c r="F11" s="578"/>
      <c r="G11" s="578"/>
      <c r="H11" s="578"/>
      <c r="I11" s="578"/>
      <c r="J11" s="578"/>
      <c r="K11" s="578"/>
      <c r="L11" s="578"/>
      <c r="M11" s="578"/>
      <c r="N11" s="578"/>
      <c r="P11" s="1566"/>
      <c r="Q11" s="1473"/>
      <c r="R11" s="1473"/>
      <c r="S11" s="1473"/>
      <c r="T11" s="1473"/>
      <c r="U11" s="1473"/>
    </row>
    <row r="12" spans="1:21" ht="18.75" customHeight="1">
      <c r="A12" s="1262" t="s">
        <v>1789</v>
      </c>
      <c r="B12" s="1262"/>
      <c r="C12" s="1259"/>
      <c r="D12" s="578"/>
      <c r="E12" s="578"/>
      <c r="F12" s="578"/>
      <c r="G12" s="578"/>
      <c r="H12" s="578"/>
      <c r="I12" s="578"/>
      <c r="J12" s="578"/>
      <c r="K12" s="578"/>
      <c r="L12" s="578"/>
      <c r="M12" s="578"/>
      <c r="N12" s="578"/>
      <c r="P12" s="1566"/>
      <c r="Q12" s="1473"/>
      <c r="R12" s="1473"/>
      <c r="S12" s="1473"/>
      <c r="T12" s="1473"/>
      <c r="U12" s="1473"/>
    </row>
    <row r="13" spans="1:21" ht="15">
      <c r="A13" s="578" t="s">
        <v>349</v>
      </c>
      <c r="B13" s="578"/>
      <c r="C13" s="1259"/>
      <c r="D13" s="578"/>
      <c r="E13" s="578"/>
      <c r="F13" s="578"/>
      <c r="G13" s="578"/>
      <c r="H13" s="578"/>
      <c r="I13" s="578"/>
      <c r="J13" s="578"/>
      <c r="K13" s="578"/>
      <c r="L13" s="578"/>
      <c r="M13" s="578"/>
      <c r="N13" s="578"/>
      <c r="P13" s="1566"/>
      <c r="Q13" s="1473"/>
      <c r="R13" s="1473"/>
      <c r="S13" s="1473"/>
      <c r="T13" s="1473"/>
      <c r="U13" s="1473"/>
    </row>
    <row r="14" spans="1:21" ht="15">
      <c r="A14" s="1262" t="s">
        <v>1072</v>
      </c>
      <c r="B14" s="1262"/>
      <c r="C14" s="1259"/>
      <c r="D14" s="578"/>
      <c r="E14" s="578"/>
      <c r="F14" s="578"/>
      <c r="G14" s="578"/>
      <c r="H14" s="578"/>
      <c r="I14" s="578"/>
      <c r="J14" s="578"/>
      <c r="K14" s="578"/>
      <c r="L14" s="578"/>
      <c r="M14" s="578"/>
      <c r="N14" s="578"/>
      <c r="P14" s="1566"/>
      <c r="Q14" s="1473"/>
      <c r="R14" s="1473"/>
      <c r="S14" s="1473"/>
      <c r="T14" s="1473"/>
      <c r="U14" s="1473"/>
    </row>
    <row r="15" spans="1:21" ht="27.75" customHeight="1">
      <c r="A15" s="578" t="s">
        <v>2139</v>
      </c>
      <c r="B15" s="675"/>
      <c r="C15" s="1259"/>
      <c r="D15" s="578"/>
      <c r="E15" s="578"/>
      <c r="F15" s="578"/>
      <c r="G15" s="578"/>
      <c r="H15" s="578"/>
      <c r="I15" s="578"/>
      <c r="J15" s="578"/>
      <c r="K15" s="578"/>
      <c r="L15" s="578"/>
      <c r="M15" s="578"/>
      <c r="N15" s="578"/>
      <c r="P15" s="1566"/>
      <c r="Q15" s="1473"/>
      <c r="R15" s="1473"/>
      <c r="S15" s="1473"/>
      <c r="T15" s="1473"/>
      <c r="U15" s="1473"/>
    </row>
    <row r="16" spans="1:21" ht="15.75">
      <c r="A16" s="578" t="s">
        <v>2140</v>
      </c>
      <c r="B16" s="675"/>
      <c r="C16" s="1259"/>
      <c r="D16" s="578"/>
      <c r="E16" s="578"/>
      <c r="F16" s="578"/>
      <c r="G16" s="578"/>
      <c r="H16" s="578"/>
      <c r="I16" s="578"/>
      <c r="J16" s="578"/>
      <c r="K16" s="578"/>
      <c r="L16" s="578"/>
      <c r="M16" s="578"/>
      <c r="N16" s="578"/>
      <c r="P16" s="1566"/>
      <c r="Q16" s="1473"/>
      <c r="R16" s="1473"/>
      <c r="S16" s="1473"/>
      <c r="T16" s="1473"/>
      <c r="U16" s="1473"/>
    </row>
    <row r="17" spans="1:21" ht="15.75">
      <c r="A17" s="578" t="s">
        <v>241</v>
      </c>
      <c r="B17" s="675"/>
      <c r="C17" s="1259"/>
      <c r="D17" s="578"/>
      <c r="E17" s="578"/>
      <c r="F17" s="578"/>
      <c r="G17" s="578"/>
      <c r="H17" s="578"/>
      <c r="I17" s="578"/>
      <c r="J17" s="578"/>
      <c r="K17" s="578"/>
      <c r="L17" s="578"/>
      <c r="M17" s="578"/>
      <c r="N17" s="578"/>
      <c r="P17" s="1566"/>
      <c r="Q17" s="1473"/>
      <c r="R17" s="1473"/>
      <c r="S17" s="1473"/>
      <c r="T17" s="1473"/>
      <c r="U17" s="1473"/>
    </row>
    <row r="18" spans="1:21" ht="15">
      <c r="A18" s="578" t="str">
        <f>"              person if the date of death was after June 30, "&amp;yeartext&amp;"."</f>
        <v>              person if the date of death was after June 30, 2009.</v>
      </c>
      <c r="B18" s="578"/>
      <c r="C18" s="1259"/>
      <c r="D18" s="578"/>
      <c r="E18" s="578"/>
      <c r="F18" s="578"/>
      <c r="G18" s="578"/>
      <c r="H18" s="578"/>
      <c r="I18" s="578"/>
      <c r="J18" s="578"/>
      <c r="K18" s="578"/>
      <c r="L18" s="578"/>
      <c r="M18" s="578"/>
      <c r="N18" s="578"/>
      <c r="P18" s="1566"/>
      <c r="Q18" s="1473"/>
      <c r="R18" s="1473"/>
      <c r="S18" s="1473"/>
      <c r="T18" s="1473"/>
      <c r="U18" s="1473"/>
    </row>
    <row r="19" spans="1:21" ht="39" customHeight="1">
      <c r="A19" s="1263" t="s">
        <v>160</v>
      </c>
      <c r="B19" s="1258"/>
      <c r="C19" s="1259"/>
      <c r="D19" s="578"/>
      <c r="E19" s="578"/>
      <c r="F19" s="578"/>
      <c r="G19" s="578"/>
      <c r="H19" s="578"/>
      <c r="I19" s="578"/>
      <c r="J19" s="578"/>
      <c r="K19" s="578"/>
      <c r="L19" s="578"/>
      <c r="M19" s="578"/>
      <c r="N19" s="578"/>
      <c r="P19" s="1566"/>
      <c r="Q19" s="1473"/>
      <c r="R19" s="1473"/>
      <c r="S19" s="1473"/>
      <c r="T19" s="1473"/>
      <c r="U19" s="1473"/>
    </row>
    <row r="20" spans="1:21" ht="9.75" customHeight="1">
      <c r="A20" s="578"/>
      <c r="B20" s="578"/>
      <c r="C20" s="1259"/>
      <c r="D20" s="578"/>
      <c r="E20" s="578"/>
      <c r="F20" s="578"/>
      <c r="G20" s="578"/>
      <c r="H20" s="578"/>
      <c r="I20" s="578"/>
      <c r="J20" s="578"/>
      <c r="K20" s="578"/>
      <c r="L20" s="578"/>
      <c r="M20" s="578"/>
      <c r="N20" s="578"/>
      <c r="P20" s="1566"/>
      <c r="Q20" s="1473"/>
      <c r="R20" s="1473"/>
      <c r="S20" s="1473"/>
      <c r="T20" s="1473"/>
      <c r="U20" s="1473"/>
    </row>
    <row r="21" spans="1:21" ht="18">
      <c r="A21" s="586" t="s">
        <v>1073</v>
      </c>
      <c r="B21" s="586"/>
      <c r="C21" s="1268" t="s">
        <v>1082</v>
      </c>
      <c r="D21" s="578" t="s">
        <v>985</v>
      </c>
      <c r="E21" s="1269" t="s">
        <v>1019</v>
      </c>
      <c r="F21" s="1264" t="s">
        <v>1281</v>
      </c>
      <c r="G21" s="1265" t="s">
        <v>2075</v>
      </c>
      <c r="H21" s="1276" t="str">
        <f>IF(E21="X"," ","X")</f>
        <v>X</v>
      </c>
      <c r="I21" s="1264" t="s">
        <v>1314</v>
      </c>
      <c r="J21" s="578"/>
      <c r="K21" s="578"/>
      <c r="L21" s="578"/>
      <c r="M21" s="578"/>
      <c r="N21" s="578"/>
      <c r="P21" s="1566"/>
      <c r="Q21" s="1473"/>
      <c r="R21" s="1473"/>
      <c r="S21" s="1473"/>
      <c r="T21" s="1473"/>
      <c r="U21" s="1473"/>
    </row>
    <row r="22" spans="1:21" ht="15">
      <c r="A22" s="578"/>
      <c r="B22" s="578"/>
      <c r="C22" s="1259"/>
      <c r="D22" s="578"/>
      <c r="E22" s="578"/>
      <c r="F22" s="578"/>
      <c r="G22" s="578"/>
      <c r="H22" s="578"/>
      <c r="I22" s="578"/>
      <c r="J22" s="578"/>
      <c r="K22" s="578"/>
      <c r="L22" s="578"/>
      <c r="M22" s="578"/>
      <c r="N22" s="578"/>
      <c r="P22" s="1566"/>
      <c r="Q22" s="1473"/>
      <c r="R22" s="1473"/>
      <c r="S22" s="1473"/>
      <c r="T22" s="1473"/>
      <c r="U22" s="1473"/>
    </row>
    <row r="23" spans="1:21" ht="18">
      <c r="A23" s="586" t="s">
        <v>1074</v>
      </c>
      <c r="B23" s="586"/>
      <c r="C23" s="1268" t="s">
        <v>1083</v>
      </c>
      <c r="D23" s="578" t="s">
        <v>985</v>
      </c>
      <c r="E23" s="1269" t="s">
        <v>1019</v>
      </c>
      <c r="F23" s="1264" t="s">
        <v>1281</v>
      </c>
      <c r="G23" s="1265" t="s">
        <v>2075</v>
      </c>
      <c r="H23" s="1276" t="str">
        <f>IF(E23="X"," ","X")</f>
        <v>X</v>
      </c>
      <c r="I23" s="1264" t="s">
        <v>1314</v>
      </c>
      <c r="J23" s="1278"/>
      <c r="K23" s="578"/>
      <c r="L23" s="578"/>
      <c r="M23" s="578"/>
      <c r="N23" s="578"/>
      <c r="P23" s="1566"/>
      <c r="Q23" s="1473"/>
      <c r="R23" s="1473"/>
      <c r="S23" s="1473"/>
      <c r="T23" s="1473"/>
      <c r="U23" s="1473"/>
    </row>
    <row r="24" spans="1:21" ht="9.75" customHeight="1">
      <c r="A24" s="578"/>
      <c r="B24" s="578"/>
      <c r="C24" s="1259"/>
      <c r="D24" s="578"/>
      <c r="E24" s="578"/>
      <c r="F24" s="578"/>
      <c r="G24" s="578"/>
      <c r="H24" s="578"/>
      <c r="I24" s="578"/>
      <c r="J24" s="578"/>
      <c r="K24" s="578"/>
      <c r="L24" s="578"/>
      <c r="M24" s="578"/>
      <c r="N24" s="578"/>
      <c r="P24" s="1566"/>
      <c r="Q24" s="1473"/>
      <c r="R24" s="1473"/>
      <c r="S24" s="1473"/>
      <c r="T24" s="1473"/>
      <c r="U24" s="1473"/>
    </row>
    <row r="25" spans="1:21" ht="18">
      <c r="A25" s="1258" t="s">
        <v>164</v>
      </c>
      <c r="B25" s="1258"/>
      <c r="C25" s="1259"/>
      <c r="D25" s="578"/>
      <c r="E25" s="1278">
        <f>IF(OR('T1 GEN-1'!O20="X",'T1 GEN-1'!R20="X"),"ALERT: You have a spouse or common-law partner","")</f>
      </c>
      <c r="F25" s="578"/>
      <c r="G25" s="578"/>
      <c r="H25" s="578"/>
      <c r="I25" s="578"/>
      <c r="J25" s="578"/>
      <c r="K25" s="578"/>
      <c r="L25" s="578"/>
      <c r="M25" s="578"/>
      <c r="N25" s="578"/>
      <c r="P25" s="1566"/>
      <c r="Q25" s="1473"/>
      <c r="R25" s="1473"/>
      <c r="S25" s="1473"/>
      <c r="T25" s="1473"/>
      <c r="U25" s="1473"/>
    </row>
    <row r="26" spans="1:21" ht="15.75">
      <c r="A26" s="578" t="s">
        <v>165</v>
      </c>
      <c r="B26" s="578"/>
      <c r="C26" s="1259"/>
      <c r="D26" s="578"/>
      <c r="E26" s="578"/>
      <c r="F26" s="578"/>
      <c r="G26" s="578"/>
      <c r="H26" s="578"/>
      <c r="I26" s="578"/>
      <c r="J26" s="626" t="s">
        <v>406</v>
      </c>
      <c r="K26" s="578"/>
      <c r="L26" s="578"/>
      <c r="M26" s="626" t="s">
        <v>405</v>
      </c>
      <c r="N26" s="578"/>
      <c r="P26" s="1566"/>
      <c r="Q26" s="1473"/>
      <c r="R26" s="1473"/>
      <c r="S26" s="1473"/>
      <c r="T26" s="1473"/>
      <c r="U26" s="1473"/>
    </row>
    <row r="27" spans="1:21" ht="15.75">
      <c r="A27" s="578" t="str">
        <f>"December 31, "&amp;yeartext&amp;". Otherwise, complete column 1 only."</f>
        <v>December 31, 2009. Otherwise, complete column 1 only.</v>
      </c>
      <c r="B27" s="578"/>
      <c r="C27" s="1259"/>
      <c r="D27" s="578"/>
      <c r="E27" s="578"/>
      <c r="F27" s="578"/>
      <c r="G27" s="578"/>
      <c r="H27" s="578"/>
      <c r="I27" s="578"/>
      <c r="J27" s="626" t="s">
        <v>161</v>
      </c>
      <c r="K27" s="578"/>
      <c r="L27" s="578"/>
      <c r="M27" s="626" t="s">
        <v>162</v>
      </c>
      <c r="N27" s="578"/>
      <c r="P27" s="1566"/>
      <c r="Q27" s="1473"/>
      <c r="R27" s="1473"/>
      <c r="S27" s="1473"/>
      <c r="T27" s="1473"/>
      <c r="U27" s="1473"/>
    </row>
    <row r="28" spans="1:21" ht="15.75">
      <c r="A28" s="578"/>
      <c r="B28" s="578"/>
      <c r="C28" s="1259"/>
      <c r="D28" s="578"/>
      <c r="E28" s="578"/>
      <c r="F28" s="578"/>
      <c r="G28" s="578"/>
      <c r="H28" s="578"/>
      <c r="I28" s="578"/>
      <c r="J28" s="578"/>
      <c r="K28" s="578"/>
      <c r="L28" s="578"/>
      <c r="M28" s="626" t="s">
        <v>163</v>
      </c>
      <c r="N28" s="578"/>
      <c r="P28" s="1566"/>
      <c r="Q28" s="1473"/>
      <c r="R28" s="1473"/>
      <c r="S28" s="1473"/>
      <c r="T28" s="1473"/>
      <c r="U28" s="1473"/>
    </row>
    <row r="29" spans="1:21" ht="15">
      <c r="A29" s="578" t="s">
        <v>350</v>
      </c>
      <c r="B29" s="578"/>
      <c r="C29" s="1259"/>
      <c r="D29" s="578"/>
      <c r="E29" s="578"/>
      <c r="F29" s="578"/>
      <c r="G29" s="578"/>
      <c r="H29" s="578"/>
      <c r="I29" s="578"/>
      <c r="J29" s="578"/>
      <c r="K29" s="578"/>
      <c r="L29" s="578"/>
      <c r="M29" s="578"/>
      <c r="N29" s="578"/>
      <c r="P29" s="1566"/>
      <c r="Q29" s="1473"/>
      <c r="R29" s="1473"/>
      <c r="S29" s="1473"/>
      <c r="T29" s="1473"/>
      <c r="U29" s="1473"/>
    </row>
    <row r="30" spans="1:21" ht="15.75">
      <c r="A30" s="586" t="s">
        <v>1075</v>
      </c>
      <c r="B30" s="586"/>
      <c r="C30" s="606"/>
      <c r="D30" s="586"/>
      <c r="E30" s="586"/>
      <c r="F30" s="586"/>
      <c r="G30" s="586"/>
      <c r="H30" s="578"/>
      <c r="I30" s="578"/>
      <c r="J30" s="1133">
        <f>'T1 GEN-2-3-4'!I13+'T1 GEN-2-3-4'!I15</f>
        <v>0</v>
      </c>
      <c r="K30" s="1266" t="s">
        <v>1315</v>
      </c>
      <c r="L30" s="578"/>
      <c r="M30" s="1210"/>
      <c r="N30" s="1266" t="s">
        <v>1315</v>
      </c>
      <c r="P30" s="1566"/>
      <c r="Q30" s="1473"/>
      <c r="R30" s="1473"/>
      <c r="S30" s="1473"/>
      <c r="T30" s="1473"/>
      <c r="U30" s="1473"/>
    </row>
    <row r="31" spans="1:21" ht="15.75">
      <c r="A31" s="586" t="s">
        <v>697</v>
      </c>
      <c r="B31" s="586"/>
      <c r="C31" s="606"/>
      <c r="D31" s="586"/>
      <c r="E31" s="586"/>
      <c r="F31" s="586"/>
      <c r="G31" s="586"/>
      <c r="H31" s="578"/>
      <c r="I31" s="1268" t="s">
        <v>1084</v>
      </c>
      <c r="J31" s="1210"/>
      <c r="K31" s="1266" t="s">
        <v>1316</v>
      </c>
      <c r="L31" s="1268" t="s">
        <v>1085</v>
      </c>
      <c r="M31" s="1210"/>
      <c r="N31" s="1266" t="s">
        <v>1316</v>
      </c>
      <c r="P31" s="1566"/>
      <c r="Q31" s="1473"/>
      <c r="R31" s="1473"/>
      <c r="S31" s="1473"/>
      <c r="T31" s="1473"/>
      <c r="U31" s="1473"/>
    </row>
    <row r="32" spans="1:21" ht="15.75">
      <c r="A32" s="578" t="s">
        <v>695</v>
      </c>
      <c r="B32" s="578"/>
      <c r="C32" s="1259"/>
      <c r="D32" s="578"/>
      <c r="E32" s="578"/>
      <c r="F32" s="578"/>
      <c r="G32" s="578"/>
      <c r="H32" s="578"/>
      <c r="I32" s="578"/>
      <c r="J32" s="578"/>
      <c r="K32" s="1266"/>
      <c r="L32" s="578"/>
      <c r="M32" s="578"/>
      <c r="N32" s="1266"/>
      <c r="P32" s="1566"/>
      <c r="Q32" s="1473"/>
      <c r="R32" s="1473"/>
      <c r="S32" s="1473"/>
      <c r="T32" s="1473"/>
      <c r="U32" s="1473"/>
    </row>
    <row r="33" spans="1:21" ht="15.75">
      <c r="A33" s="586" t="s">
        <v>1982</v>
      </c>
      <c r="B33" s="586"/>
      <c r="C33" s="606"/>
      <c r="D33" s="586"/>
      <c r="E33" s="586"/>
      <c r="F33" s="586"/>
      <c r="G33" s="586"/>
      <c r="H33" s="578"/>
      <c r="I33" s="578"/>
      <c r="J33" s="1133">
        <f>MAX(0,'T1 GEN-2-3-4'!I34)+MAX(0,'T1 GEN-2-3-4'!I35)+MAX(0,'T1 GEN-2-3-4'!I36)+MAX(0,'T1 GEN-2-3-4'!I37)+MAX(0,'T1 GEN-2-3-4'!I38)</f>
        <v>0</v>
      </c>
      <c r="K33" s="1266" t="s">
        <v>1317</v>
      </c>
      <c r="L33" s="578"/>
      <c r="M33" s="1210"/>
      <c r="N33" s="1266" t="s">
        <v>1317</v>
      </c>
      <c r="P33" s="1566"/>
      <c r="Q33" s="1473"/>
      <c r="R33" s="1473"/>
      <c r="S33" s="1473"/>
      <c r="T33" s="1473"/>
      <c r="U33" s="1473"/>
    </row>
    <row r="34" spans="1:21" ht="15">
      <c r="A34" s="578" t="s">
        <v>2144</v>
      </c>
      <c r="B34" s="578"/>
      <c r="C34" s="1259"/>
      <c r="D34" s="578"/>
      <c r="E34" s="578"/>
      <c r="F34" s="578"/>
      <c r="G34" s="578"/>
      <c r="H34" s="578"/>
      <c r="I34" s="578"/>
      <c r="J34" s="578"/>
      <c r="K34" s="578"/>
      <c r="L34" s="578"/>
      <c r="M34" s="578"/>
      <c r="N34" s="578"/>
      <c r="P34" s="1566"/>
      <c r="Q34" s="1473"/>
      <c r="R34" s="1473"/>
      <c r="S34" s="1473"/>
      <c r="T34" s="1473"/>
      <c r="U34" s="1473"/>
    </row>
    <row r="35" spans="1:21" ht="15.75">
      <c r="A35" s="586" t="s">
        <v>696</v>
      </c>
      <c r="B35" s="586"/>
      <c r="C35" s="606"/>
      <c r="D35" s="586"/>
      <c r="E35" s="586"/>
      <c r="F35" s="586"/>
      <c r="G35" s="586"/>
      <c r="H35" s="578"/>
      <c r="I35" s="1268" t="s">
        <v>1978</v>
      </c>
      <c r="J35" s="1210"/>
      <c r="K35" s="1266" t="s">
        <v>1318</v>
      </c>
      <c r="L35" s="1268" t="s">
        <v>1979</v>
      </c>
      <c r="M35" s="1210"/>
      <c r="N35" s="1266" t="s">
        <v>1318</v>
      </c>
      <c r="P35" s="1566"/>
      <c r="Q35" s="1473"/>
      <c r="R35" s="1473"/>
      <c r="S35" s="1473"/>
      <c r="T35" s="1473"/>
      <c r="U35" s="1473"/>
    </row>
    <row r="36" spans="1:21" ht="15.75">
      <c r="A36" s="586" t="s">
        <v>2145</v>
      </c>
      <c r="B36" s="586"/>
      <c r="C36" s="606"/>
      <c r="D36" s="586"/>
      <c r="E36" s="586"/>
      <c r="F36" s="586"/>
      <c r="G36" s="586"/>
      <c r="H36" s="578"/>
      <c r="I36" s="578"/>
      <c r="J36" s="1133">
        <f>SUM(J30:J35)</f>
        <v>0</v>
      </c>
      <c r="K36" s="1266" t="s">
        <v>1527</v>
      </c>
      <c r="L36" s="1268" t="s">
        <v>1980</v>
      </c>
      <c r="M36" s="1133">
        <f>SUM(M30:M35)</f>
        <v>0</v>
      </c>
      <c r="N36" s="1266" t="s">
        <v>1527</v>
      </c>
      <c r="P36" s="1566"/>
      <c r="Q36" s="1473"/>
      <c r="R36" s="1473"/>
      <c r="S36" s="1473"/>
      <c r="T36" s="1473"/>
      <c r="U36" s="1473"/>
    </row>
    <row r="37" spans="1:21" ht="15">
      <c r="A37" s="578"/>
      <c r="B37" s="578"/>
      <c r="C37" s="1259"/>
      <c r="D37" s="578"/>
      <c r="E37" s="578"/>
      <c r="F37" s="578"/>
      <c r="G37" s="578"/>
      <c r="H37" s="578"/>
      <c r="I37" s="578"/>
      <c r="J37" s="578"/>
      <c r="K37" s="578"/>
      <c r="L37" s="578"/>
      <c r="M37" s="578"/>
      <c r="N37" s="578"/>
      <c r="P37" s="1566"/>
      <c r="Q37" s="1473"/>
      <c r="R37" s="1473"/>
      <c r="S37" s="1473"/>
      <c r="T37" s="1473"/>
      <c r="U37" s="1473"/>
    </row>
    <row r="38" spans="1:21" ht="15.75">
      <c r="A38" s="586" t="s">
        <v>1076</v>
      </c>
      <c r="B38" s="586"/>
      <c r="C38" s="606"/>
      <c r="D38" s="586"/>
      <c r="E38" s="586"/>
      <c r="F38" s="586"/>
      <c r="G38" s="586"/>
      <c r="H38" s="711" t="s">
        <v>1983</v>
      </c>
      <c r="I38" s="1265"/>
      <c r="J38" s="1133">
        <f>J36+M36</f>
        <v>0</v>
      </c>
      <c r="K38" s="1266" t="s">
        <v>1319</v>
      </c>
      <c r="L38" s="578"/>
      <c r="M38" s="578"/>
      <c r="N38" s="578"/>
      <c r="P38" s="1566"/>
      <c r="Q38" s="1473"/>
      <c r="R38" s="1473"/>
      <c r="S38" s="1473"/>
      <c r="T38" s="1473"/>
      <c r="U38" s="1473"/>
    </row>
    <row r="39" spans="1:21" ht="27.75" customHeight="1">
      <c r="A39" s="1258" t="s">
        <v>159</v>
      </c>
      <c r="B39" s="1258"/>
      <c r="C39" s="1259"/>
      <c r="D39" s="578"/>
      <c r="E39" s="578"/>
      <c r="F39" s="578"/>
      <c r="G39" s="578"/>
      <c r="H39" s="578"/>
      <c r="I39" s="578"/>
      <c r="J39" s="578"/>
      <c r="K39" s="578"/>
      <c r="L39" s="578"/>
      <c r="M39" s="578"/>
      <c r="N39" s="578"/>
      <c r="P39" s="1566"/>
      <c r="Q39" s="1473"/>
      <c r="R39" s="1473"/>
      <c r="S39" s="1473"/>
      <c r="T39" s="1473"/>
      <c r="U39" s="1473"/>
    </row>
    <row r="40" spans="1:21" ht="21.75" customHeight="1">
      <c r="A40" s="586" t="s">
        <v>2146</v>
      </c>
      <c r="B40" s="586"/>
      <c r="C40" s="606"/>
      <c r="D40" s="586"/>
      <c r="E40" s="586"/>
      <c r="F40" s="586"/>
      <c r="G40" s="586"/>
      <c r="H40" s="578"/>
      <c r="I40" s="578"/>
      <c r="J40" s="1133">
        <f>'T1 GEN-2-3-4'!K90</f>
        <v>0</v>
      </c>
      <c r="K40" s="1266" t="s">
        <v>195</v>
      </c>
      <c r="L40" s="578"/>
      <c r="M40" s="1133">
        <f>IF(E23="x",'T1 GEN-1'!U30,0)</f>
        <v>0</v>
      </c>
      <c r="N40" s="1266" t="s">
        <v>195</v>
      </c>
      <c r="P40" s="1566"/>
      <c r="Q40" s="1473"/>
      <c r="R40" s="1473"/>
      <c r="S40" s="1473"/>
      <c r="T40" s="1473"/>
      <c r="U40" s="1473"/>
    </row>
    <row r="41" spans="1:21" ht="15">
      <c r="A41" s="578" t="s">
        <v>2147</v>
      </c>
      <c r="B41" s="578"/>
      <c r="C41" s="1259"/>
      <c r="D41" s="578"/>
      <c r="E41" s="578"/>
      <c r="F41" s="578"/>
      <c r="G41" s="578"/>
      <c r="H41" s="578"/>
      <c r="I41" s="578"/>
      <c r="J41" s="578"/>
      <c r="K41" s="627"/>
      <c r="L41" s="578"/>
      <c r="M41" s="578"/>
      <c r="N41" s="627"/>
      <c r="P41" s="1566"/>
      <c r="Q41" s="1473"/>
      <c r="R41" s="1473"/>
      <c r="S41" s="1473"/>
      <c r="T41" s="1473"/>
      <c r="U41" s="1473"/>
    </row>
    <row r="42" spans="1:21" ht="15.75">
      <c r="A42" s="586" t="s">
        <v>157</v>
      </c>
      <c r="B42" s="586"/>
      <c r="C42" s="606"/>
      <c r="D42" s="586"/>
      <c r="E42" s="586"/>
      <c r="F42" s="586"/>
      <c r="G42" s="586"/>
      <c r="H42" s="578"/>
      <c r="I42" s="1268" t="s">
        <v>1975</v>
      </c>
      <c r="J42" s="1210"/>
      <c r="K42" s="1266" t="s">
        <v>1218</v>
      </c>
      <c r="L42" s="1268" t="s">
        <v>1976</v>
      </c>
      <c r="M42" s="1210"/>
      <c r="N42" s="1266" t="s">
        <v>1218</v>
      </c>
      <c r="P42" s="1566"/>
      <c r="Q42" s="1473"/>
      <c r="R42" s="1473"/>
      <c r="S42" s="1473"/>
      <c r="T42" s="1473"/>
      <c r="U42" s="1473"/>
    </row>
    <row r="43" spans="1:21" ht="15">
      <c r="A43" s="578" t="s">
        <v>2148</v>
      </c>
      <c r="B43" s="578"/>
      <c r="C43" s="1259"/>
      <c r="D43" s="578"/>
      <c r="E43" s="578"/>
      <c r="F43" s="578"/>
      <c r="G43" s="578"/>
      <c r="H43" s="578"/>
      <c r="I43" s="578"/>
      <c r="J43" s="578"/>
      <c r="K43" s="627"/>
      <c r="L43" s="578"/>
      <c r="M43" s="578"/>
      <c r="N43" s="627"/>
      <c r="P43" s="1566"/>
      <c r="Q43" s="1473"/>
      <c r="R43" s="1473"/>
      <c r="S43" s="1473"/>
      <c r="T43" s="1473"/>
      <c r="U43" s="1473"/>
    </row>
    <row r="44" spans="1:21" ht="15.75">
      <c r="A44" s="586" t="s">
        <v>2149</v>
      </c>
      <c r="B44" s="586"/>
      <c r="C44" s="606"/>
      <c r="D44" s="586"/>
      <c r="E44" s="586"/>
      <c r="F44" s="586"/>
      <c r="G44" s="586"/>
      <c r="H44" s="578"/>
      <c r="I44" s="578"/>
      <c r="J44" s="1133">
        <f>'T1 GEN-2-3-4'!I70</f>
        <v>0</v>
      </c>
      <c r="K44" s="1266" t="s">
        <v>1055</v>
      </c>
      <c r="L44" s="578"/>
      <c r="M44" s="1133">
        <f>'T1 GEN-1'!U34</f>
        <v>0</v>
      </c>
      <c r="N44" s="1266" t="s">
        <v>1055</v>
      </c>
      <c r="P44" s="1566"/>
      <c r="Q44" s="1473"/>
      <c r="R44" s="1473"/>
      <c r="S44" s="1473"/>
      <c r="T44" s="1473"/>
      <c r="U44" s="1473"/>
    </row>
    <row r="45" spans="1:21" ht="15.75">
      <c r="A45" s="586" t="s">
        <v>158</v>
      </c>
      <c r="B45" s="586"/>
      <c r="C45" s="606"/>
      <c r="D45" s="586"/>
      <c r="E45" s="586"/>
      <c r="F45" s="586"/>
      <c r="G45" s="586"/>
      <c r="H45" s="578"/>
      <c r="I45" s="578"/>
      <c r="J45" s="1133">
        <f>SUM(J40:J44)</f>
        <v>0</v>
      </c>
      <c r="K45" s="1266" t="s">
        <v>1057</v>
      </c>
      <c r="L45" s="578"/>
      <c r="M45" s="1133">
        <f>SUM(M40:M44)</f>
        <v>0</v>
      </c>
      <c r="N45" s="1266" t="s">
        <v>1057</v>
      </c>
      <c r="P45" s="1566"/>
      <c r="Q45" s="1473"/>
      <c r="R45" s="1473"/>
      <c r="S45" s="1473"/>
      <c r="T45" s="1473"/>
      <c r="U45" s="1473"/>
    </row>
    <row r="46" spans="1:21" ht="15">
      <c r="A46" s="578" t="s">
        <v>2150</v>
      </c>
      <c r="B46" s="578"/>
      <c r="C46" s="1259"/>
      <c r="D46" s="578"/>
      <c r="E46" s="578"/>
      <c r="F46" s="578"/>
      <c r="G46" s="578"/>
      <c r="H46" s="578"/>
      <c r="I46" s="578"/>
      <c r="J46" s="578"/>
      <c r="K46" s="627"/>
      <c r="L46" s="578"/>
      <c r="M46" s="578"/>
      <c r="N46" s="627"/>
      <c r="P46" s="1566"/>
      <c r="Q46" s="1473"/>
      <c r="R46" s="1473"/>
      <c r="S46" s="1473"/>
      <c r="T46" s="1473"/>
      <c r="U46" s="1473"/>
    </row>
    <row r="47" spans="1:21" ht="15.75">
      <c r="A47" s="586" t="s">
        <v>2151</v>
      </c>
      <c r="B47" s="586"/>
      <c r="C47" s="606"/>
      <c r="D47" s="586"/>
      <c r="E47" s="586"/>
      <c r="F47" s="586"/>
      <c r="G47" s="586"/>
      <c r="H47" s="578"/>
      <c r="I47" s="578"/>
      <c r="J47" s="1133">
        <f>'T1 GEN-2-3-4'!I21</f>
        <v>0</v>
      </c>
      <c r="K47" s="1266" t="s">
        <v>1059</v>
      </c>
      <c r="L47" s="578"/>
      <c r="M47" s="1133">
        <f>'T1 GEN-1'!U32</f>
        <v>0</v>
      </c>
      <c r="N47" s="1266" t="s">
        <v>1059</v>
      </c>
      <c r="P47" s="1566"/>
      <c r="Q47" s="1473"/>
      <c r="R47" s="1473"/>
      <c r="S47" s="1473"/>
      <c r="T47" s="1473"/>
      <c r="U47" s="1473"/>
    </row>
    <row r="48" spans="1:21" ht="15.75">
      <c r="A48" s="586" t="s">
        <v>1077</v>
      </c>
      <c r="B48" s="586"/>
      <c r="C48" s="606"/>
      <c r="D48" s="586"/>
      <c r="E48" s="586"/>
      <c r="F48" s="586"/>
      <c r="G48" s="586"/>
      <c r="H48" s="578"/>
      <c r="I48" s="578"/>
      <c r="J48" s="1133">
        <f>MAX(0,J45-J47)</f>
        <v>0</v>
      </c>
      <c r="K48" s="1266" t="s">
        <v>1220</v>
      </c>
      <c r="L48" s="1268" t="s">
        <v>1977</v>
      </c>
      <c r="M48" s="1133">
        <f>MAX(0,M45-M47)</f>
        <v>0</v>
      </c>
      <c r="N48" s="1266" t="s">
        <v>1220</v>
      </c>
      <c r="P48" s="1566"/>
      <c r="Q48" s="1473"/>
      <c r="R48" s="1473"/>
      <c r="S48" s="1473"/>
      <c r="T48" s="1473"/>
      <c r="U48" s="1473"/>
    </row>
    <row r="49" spans="1:21" ht="15">
      <c r="A49" s="578"/>
      <c r="B49" s="578"/>
      <c r="C49" s="1259"/>
      <c r="D49" s="578"/>
      <c r="E49" s="578"/>
      <c r="F49" s="578"/>
      <c r="G49" s="578"/>
      <c r="H49" s="578"/>
      <c r="I49" s="578"/>
      <c r="J49" s="578"/>
      <c r="K49" s="578"/>
      <c r="L49" s="578"/>
      <c r="M49" s="578"/>
      <c r="N49" s="578"/>
      <c r="P49" s="1566"/>
      <c r="Q49" s="1473"/>
      <c r="R49" s="1473"/>
      <c r="S49" s="1473"/>
      <c r="T49" s="1473"/>
      <c r="U49" s="1473"/>
    </row>
    <row r="50" spans="1:21" ht="15.75">
      <c r="A50" s="586" t="s">
        <v>1078</v>
      </c>
      <c r="B50" s="586"/>
      <c r="C50" s="606"/>
      <c r="D50" s="586"/>
      <c r="E50" s="586"/>
      <c r="F50" s="586"/>
      <c r="G50" s="586"/>
      <c r="H50" s="711" t="s">
        <v>1984</v>
      </c>
      <c r="I50" s="578"/>
      <c r="J50" s="1133">
        <f>J48+M48</f>
        <v>0</v>
      </c>
      <c r="K50" s="1266" t="s">
        <v>126</v>
      </c>
      <c r="L50" s="578"/>
      <c r="M50" s="578"/>
      <c r="N50" s="578"/>
      <c r="P50" s="1566"/>
      <c r="Q50" s="1473"/>
      <c r="R50" s="1473"/>
      <c r="S50" s="1473"/>
      <c r="T50" s="1473"/>
      <c r="U50" s="1473"/>
    </row>
    <row r="51" spans="1:21" ht="15">
      <c r="A51" s="578"/>
      <c r="B51" s="578"/>
      <c r="C51" s="1259"/>
      <c r="D51" s="578"/>
      <c r="E51" s="578"/>
      <c r="F51" s="578"/>
      <c r="G51" s="578"/>
      <c r="H51" s="578"/>
      <c r="I51" s="578"/>
      <c r="J51" s="578"/>
      <c r="K51" s="578"/>
      <c r="L51" s="578"/>
      <c r="M51" s="578"/>
      <c r="N51" s="578"/>
      <c r="P51" s="1566"/>
      <c r="Q51" s="1473"/>
      <c r="R51" s="1473"/>
      <c r="S51" s="1473"/>
      <c r="T51" s="1473"/>
      <c r="U51" s="1473"/>
    </row>
    <row r="52" spans="1:21" ht="18">
      <c r="A52" s="586" t="s">
        <v>1079</v>
      </c>
      <c r="B52" s="586"/>
      <c r="C52" s="1268" t="s">
        <v>1971</v>
      </c>
      <c r="D52" s="578" t="s">
        <v>985</v>
      </c>
      <c r="E52" s="1270" t="s">
        <v>586</v>
      </c>
      <c r="F52" s="1264" t="s">
        <v>1281</v>
      </c>
      <c r="G52" s="1265" t="s">
        <v>2075</v>
      </c>
      <c r="H52" s="1276" t="str">
        <f>IF(E52="X"," ","X")</f>
        <v> </v>
      </c>
      <c r="I52" s="1264" t="s">
        <v>1314</v>
      </c>
      <c r="J52" s="578" t="s">
        <v>2152</v>
      </c>
      <c r="K52" s="578"/>
      <c r="L52" s="578"/>
      <c r="M52" s="578"/>
      <c r="N52" s="578"/>
      <c r="P52" s="1566"/>
      <c r="Q52" s="1473"/>
      <c r="R52" s="1473"/>
      <c r="S52" s="1473"/>
      <c r="T52" s="1473"/>
      <c r="U52" s="1473"/>
    </row>
    <row r="53" spans="1:21" ht="15">
      <c r="A53" s="578" t="s">
        <v>693</v>
      </c>
      <c r="B53" s="578"/>
      <c r="C53" s="1259"/>
      <c r="D53" s="578"/>
      <c r="E53" s="578"/>
      <c r="F53" s="578"/>
      <c r="G53" s="578"/>
      <c r="H53" s="578"/>
      <c r="I53" s="578"/>
      <c r="J53" s="578"/>
      <c r="K53" s="578"/>
      <c r="L53" s="578"/>
      <c r="M53" s="578"/>
      <c r="N53" s="578"/>
      <c r="P53" s="1566"/>
      <c r="Q53" s="1473"/>
      <c r="R53" s="1473"/>
      <c r="S53" s="1473"/>
      <c r="T53" s="1473"/>
      <c r="U53" s="1473"/>
    </row>
    <row r="54" spans="1:21" ht="18">
      <c r="A54" s="586" t="s">
        <v>1080</v>
      </c>
      <c r="B54" s="586"/>
      <c r="C54" s="1268" t="s">
        <v>1972</v>
      </c>
      <c r="D54" s="578" t="s">
        <v>985</v>
      </c>
      <c r="E54" s="1269" t="s">
        <v>1019</v>
      </c>
      <c r="F54" s="1264" t="s">
        <v>1281</v>
      </c>
      <c r="G54" s="1265" t="s">
        <v>2075</v>
      </c>
      <c r="H54" s="1276" t="str">
        <f>IF(E54="X"," ","X")</f>
        <v>X</v>
      </c>
      <c r="I54" s="1264" t="s">
        <v>1314</v>
      </c>
      <c r="J54" s="578" t="s">
        <v>2153</v>
      </c>
      <c r="K54" s="578"/>
      <c r="L54" s="578"/>
      <c r="M54" s="578"/>
      <c r="N54" s="578"/>
      <c r="P54" s="1566"/>
      <c r="Q54" s="1473"/>
      <c r="R54" s="1473"/>
      <c r="S54" s="1473"/>
      <c r="T54" s="1473"/>
      <c r="U54" s="1473"/>
    </row>
    <row r="55" spans="1:21" ht="15">
      <c r="A55" s="578" t="s">
        <v>694</v>
      </c>
      <c r="B55" s="578"/>
      <c r="C55" s="1259"/>
      <c r="D55" s="578"/>
      <c r="E55" s="578"/>
      <c r="F55" s="578"/>
      <c r="G55" s="578"/>
      <c r="H55" s="578"/>
      <c r="I55" s="578"/>
      <c r="J55" s="578"/>
      <c r="K55" s="578"/>
      <c r="L55" s="578"/>
      <c r="M55" s="578"/>
      <c r="N55" s="578"/>
      <c r="P55" s="1566"/>
      <c r="Q55" s="1473"/>
      <c r="R55" s="1473"/>
      <c r="S55" s="1473"/>
      <c r="T55" s="1473"/>
      <c r="U55" s="1473"/>
    </row>
    <row r="56" spans="1:21" ht="18">
      <c r="A56" s="586" t="s">
        <v>1081</v>
      </c>
      <c r="B56" s="586"/>
      <c r="C56" s="1268" t="s">
        <v>1985</v>
      </c>
      <c r="D56" s="578" t="s">
        <v>985</v>
      </c>
      <c r="E56" s="1269" t="s">
        <v>1019</v>
      </c>
      <c r="F56" s="1264" t="s">
        <v>1281</v>
      </c>
      <c r="G56" s="1265" t="s">
        <v>2075</v>
      </c>
      <c r="H56" s="1276" t="str">
        <f>IF(E56="X"," ","X")</f>
        <v>X</v>
      </c>
      <c r="I56" s="1264" t="s">
        <v>1314</v>
      </c>
      <c r="J56" s="578" t="s">
        <v>1973</v>
      </c>
      <c r="K56" s="578"/>
      <c r="L56" s="578"/>
      <c r="M56" s="578"/>
      <c r="N56" s="578"/>
      <c r="P56" s="1566"/>
      <c r="Q56" s="1473"/>
      <c r="R56" s="1473"/>
      <c r="S56" s="1473"/>
      <c r="T56" s="1473"/>
      <c r="U56" s="1473"/>
    </row>
    <row r="57" spans="1:21" ht="15">
      <c r="A57" s="578"/>
      <c r="B57" s="578"/>
      <c r="C57" s="1259"/>
      <c r="D57" s="578"/>
      <c r="E57" s="578"/>
      <c r="F57" s="578"/>
      <c r="G57" s="578"/>
      <c r="H57" s="578"/>
      <c r="I57" s="578"/>
      <c r="J57" s="578" t="s">
        <v>1974</v>
      </c>
      <c r="K57" s="578"/>
      <c r="L57" s="578"/>
      <c r="M57" s="578"/>
      <c r="N57" s="578"/>
      <c r="P57" s="1566"/>
      <c r="Q57" s="1473"/>
      <c r="R57" s="1473"/>
      <c r="S57" s="1473"/>
      <c r="T57" s="1473"/>
      <c r="U57" s="1473"/>
    </row>
    <row r="58" spans="1:21" ht="18.75" customHeight="1">
      <c r="A58" s="578"/>
      <c r="B58" s="578"/>
      <c r="C58" s="1259"/>
      <c r="D58" s="578"/>
      <c r="E58" s="578"/>
      <c r="F58" s="578"/>
      <c r="G58" s="578"/>
      <c r="H58" s="578"/>
      <c r="I58" s="578"/>
      <c r="J58" s="578"/>
      <c r="K58" s="578"/>
      <c r="L58" s="578"/>
      <c r="M58" s="578"/>
      <c r="N58" s="1267" t="s">
        <v>2154</v>
      </c>
      <c r="P58" s="1566"/>
      <c r="Q58" s="1473"/>
      <c r="R58" s="1473"/>
      <c r="S58" s="1473"/>
      <c r="T58" s="1473"/>
      <c r="U58" s="1473"/>
    </row>
    <row r="59" spans="1:21" ht="15">
      <c r="A59" s="581" t="str">
        <f>T124</f>
        <v>5009-S6</v>
      </c>
      <c r="B59" s="581"/>
      <c r="C59" s="1259"/>
      <c r="D59" s="578"/>
      <c r="E59" s="578"/>
      <c r="F59" s="578"/>
      <c r="G59" s="578"/>
      <c r="H59" s="578"/>
      <c r="I59" s="578"/>
      <c r="J59" s="578"/>
      <c r="K59" s="578"/>
      <c r="L59" s="578"/>
      <c r="M59" s="578"/>
      <c r="N59" s="578"/>
      <c r="P59" s="1566"/>
      <c r="Q59" s="1473"/>
      <c r="R59" s="1473"/>
      <c r="S59" s="1473"/>
      <c r="T59" s="1473"/>
      <c r="U59" s="1473"/>
    </row>
    <row r="60" spans="16:21" ht="15">
      <c r="P60" s="1566"/>
      <c r="Q60" s="1473"/>
      <c r="R60" s="1473"/>
      <c r="S60" s="1473"/>
      <c r="T60" s="1473"/>
      <c r="U60" s="1473"/>
    </row>
    <row r="61" spans="1:21" ht="20.25">
      <c r="A61" s="1263" t="s">
        <v>167</v>
      </c>
      <c r="B61" s="112"/>
      <c r="C61" s="1271"/>
      <c r="D61" s="112"/>
      <c r="E61" s="112"/>
      <c r="F61" s="112"/>
      <c r="G61" s="112"/>
      <c r="H61" s="112"/>
      <c r="I61" s="112"/>
      <c r="J61" s="112"/>
      <c r="K61" s="112"/>
      <c r="L61" s="112"/>
      <c r="M61" s="112"/>
      <c r="N61" s="112"/>
      <c r="P61" s="1566"/>
      <c r="Q61" s="1473"/>
      <c r="R61" s="1473"/>
      <c r="S61" s="1473"/>
      <c r="T61" s="1473"/>
      <c r="U61" s="1473"/>
    </row>
    <row r="62" spans="1:21" ht="23.25" customHeight="1">
      <c r="A62" s="112" t="s">
        <v>352</v>
      </c>
      <c r="B62" s="112"/>
      <c r="C62" s="1271"/>
      <c r="D62" s="112"/>
      <c r="E62" s="112"/>
      <c r="F62" s="112"/>
      <c r="G62" s="112"/>
      <c r="H62" s="112"/>
      <c r="I62" s="112"/>
      <c r="J62" s="112"/>
      <c r="K62" s="112"/>
      <c r="L62" s="112"/>
      <c r="M62" s="112"/>
      <c r="N62" s="112"/>
      <c r="P62" s="1566"/>
      <c r="Q62" s="1473"/>
      <c r="R62" s="1473"/>
      <c r="S62" s="1473"/>
      <c r="T62" s="1473"/>
      <c r="U62" s="1473"/>
    </row>
    <row r="63" spans="1:21" ht="15">
      <c r="A63" s="112" t="str">
        <f>"for "&amp;yeartext&amp;" is the individual who must claim the basic WITB for the year. If you had an eligible dependant, only one individual can"</f>
        <v>for 2009 is the individual who must claim the basic WITB for the year. If you had an eligible dependant, only one individual can</v>
      </c>
      <c r="B63" s="112"/>
      <c r="C63" s="1271"/>
      <c r="D63" s="112"/>
      <c r="E63" s="112"/>
      <c r="F63" s="112"/>
      <c r="G63" s="112"/>
      <c r="H63" s="112"/>
      <c r="I63" s="112"/>
      <c r="J63" s="112"/>
      <c r="K63" s="112"/>
      <c r="L63" s="112"/>
      <c r="M63" s="112"/>
      <c r="N63" s="112"/>
      <c r="P63" s="1566"/>
      <c r="Q63" s="1473"/>
      <c r="R63" s="1473"/>
      <c r="S63" s="1473"/>
      <c r="T63" s="1473"/>
      <c r="U63" s="1473"/>
    </row>
    <row r="64" spans="1:21" ht="15">
      <c r="A64" s="112" t="s">
        <v>351</v>
      </c>
      <c r="B64" s="112"/>
      <c r="C64" s="1271"/>
      <c r="D64" s="112"/>
      <c r="E64" s="112"/>
      <c r="F64" s="112"/>
      <c r="G64" s="112"/>
      <c r="H64" s="112"/>
      <c r="I64" s="112"/>
      <c r="J64" s="112"/>
      <c r="K64" s="112"/>
      <c r="L64" s="112"/>
      <c r="M64" s="112"/>
      <c r="N64" s="112"/>
      <c r="P64" s="1566"/>
      <c r="Q64" s="1473"/>
      <c r="R64" s="1473"/>
      <c r="S64" s="1473"/>
      <c r="T64" s="1473"/>
      <c r="U64" s="1473"/>
    </row>
    <row r="65" spans="1:21" ht="15">
      <c r="A65" s="112"/>
      <c r="B65" s="112"/>
      <c r="C65" s="1271"/>
      <c r="D65" s="112"/>
      <c r="E65" s="112"/>
      <c r="F65" s="112"/>
      <c r="G65" s="112"/>
      <c r="H65" s="112"/>
      <c r="I65" s="112"/>
      <c r="J65" s="112"/>
      <c r="K65" s="112"/>
      <c r="L65" s="112"/>
      <c r="M65" s="112"/>
      <c r="N65" s="112"/>
      <c r="P65" s="1566"/>
      <c r="Q65" s="1473"/>
      <c r="R65" s="1473"/>
      <c r="S65" s="1473"/>
      <c r="T65" s="1473"/>
      <c r="U65" s="1473"/>
    </row>
    <row r="66" spans="1:21" ht="15.75">
      <c r="A66" s="125" t="s">
        <v>168</v>
      </c>
      <c r="B66" s="125"/>
      <c r="C66" s="1016"/>
      <c r="D66" s="125"/>
      <c r="E66" s="125"/>
      <c r="F66" s="125"/>
      <c r="G66" s="125"/>
      <c r="H66" s="125"/>
      <c r="I66" s="112"/>
      <c r="J66" s="1133">
        <f>J38</f>
        <v>0</v>
      </c>
      <c r="K66" s="1266" t="s">
        <v>1222</v>
      </c>
      <c r="L66" s="112"/>
      <c r="M66" s="112"/>
      <c r="N66" s="112"/>
      <c r="P66" s="1566"/>
      <c r="Q66" s="1473"/>
      <c r="R66" s="1473"/>
      <c r="S66" s="1473"/>
      <c r="T66" s="1473"/>
      <c r="U66" s="1473"/>
    </row>
    <row r="67" spans="1:21" ht="15.75">
      <c r="A67" s="125" t="s">
        <v>1523</v>
      </c>
      <c r="B67" s="125"/>
      <c r="C67" s="1016"/>
      <c r="D67" s="125"/>
      <c r="E67" s="125"/>
      <c r="F67" s="125"/>
      <c r="G67" s="125"/>
      <c r="H67" s="125"/>
      <c r="I67" s="112"/>
      <c r="J67" s="1133">
        <f>T67</f>
        <v>2760</v>
      </c>
      <c r="K67" s="1266" t="s">
        <v>1224</v>
      </c>
      <c r="L67" s="112"/>
      <c r="M67" s="112"/>
      <c r="N67" s="112"/>
      <c r="P67" s="1566"/>
      <c r="Q67" s="1473">
        <v>3000</v>
      </c>
      <c r="R67" s="1473">
        <v>2760</v>
      </c>
      <c r="S67" s="1473">
        <v>4750</v>
      </c>
      <c r="T67" s="1473">
        <f>IF(Province="BC",S67,IF(Province="AB",R67,Q67))</f>
        <v>2760</v>
      </c>
      <c r="U67" s="1473"/>
    </row>
    <row r="68" spans="1:21" ht="15.75">
      <c r="A68" s="125" t="s">
        <v>1616</v>
      </c>
      <c r="B68" s="125"/>
      <c r="C68" s="1016"/>
      <c r="D68" s="125"/>
      <c r="E68" s="125"/>
      <c r="F68" s="125"/>
      <c r="G68" s="125"/>
      <c r="H68" s="125"/>
      <c r="I68" s="112"/>
      <c r="J68" s="1133">
        <f>MAX(0,J66-J67)</f>
        <v>0</v>
      </c>
      <c r="K68" s="1266" t="s">
        <v>1225</v>
      </c>
      <c r="L68" s="112"/>
      <c r="M68" s="112"/>
      <c r="N68" s="112"/>
      <c r="P68" s="1566"/>
      <c r="Q68" s="1473"/>
      <c r="R68" s="1473"/>
      <c r="S68" s="1473"/>
      <c r="T68" s="1473"/>
      <c r="U68" s="1473"/>
    </row>
    <row r="69" spans="1:21" ht="15.75">
      <c r="A69" s="125" t="s">
        <v>1809</v>
      </c>
      <c r="B69" s="125"/>
      <c r="C69" s="1016"/>
      <c r="D69" s="125"/>
      <c r="E69" s="125"/>
      <c r="F69" s="125"/>
      <c r="G69" s="125"/>
      <c r="H69" s="125"/>
      <c r="I69" s="112"/>
      <c r="J69" s="1277">
        <f>T69</f>
        <v>0.2</v>
      </c>
      <c r="K69" s="1266" t="s">
        <v>122</v>
      </c>
      <c r="L69" s="112"/>
      <c r="M69" s="112"/>
      <c r="N69" s="112"/>
      <c r="P69" s="1566"/>
      <c r="Q69" s="1473">
        <v>0.25</v>
      </c>
      <c r="R69" s="1473">
        <v>0.2</v>
      </c>
      <c r="S69" s="1473">
        <v>0.21</v>
      </c>
      <c r="T69" s="1473">
        <f>IF(Province="BC",S69,IF(Province="AB",R69,Q69))</f>
        <v>0.2</v>
      </c>
      <c r="U69" s="1473"/>
    </row>
    <row r="70" spans="1:21" ht="15.75">
      <c r="A70" s="125" t="s">
        <v>166</v>
      </c>
      <c r="B70" s="125"/>
      <c r="C70" s="1016"/>
      <c r="D70" s="125"/>
      <c r="E70" s="125"/>
      <c r="F70" s="125"/>
      <c r="G70" s="125"/>
      <c r="H70" s="125"/>
      <c r="I70" s="112"/>
      <c r="J70" s="1133">
        <f>J68*J69</f>
        <v>0</v>
      </c>
      <c r="K70" s="1266" t="s">
        <v>1227</v>
      </c>
      <c r="L70" s="112"/>
      <c r="M70" s="112"/>
      <c r="N70" s="112"/>
      <c r="P70" s="1566"/>
      <c r="Q70" s="1473"/>
      <c r="R70" s="1473"/>
      <c r="S70" s="1473"/>
      <c r="T70" s="1473"/>
      <c r="U70" s="1473"/>
    </row>
    <row r="71" spans="1:21" ht="15">
      <c r="A71" s="112" t="str">
        <f>"If you had neither an eligible spouse nor an eligible dependant, enter "&amp;U71</f>
        <v>If you had neither an eligible spouse nor an eligible dependant, enter $1010.</v>
      </c>
      <c r="B71" s="112"/>
      <c r="C71" s="1271"/>
      <c r="D71" s="112"/>
      <c r="E71" s="112"/>
      <c r="F71" s="112"/>
      <c r="G71" s="112"/>
      <c r="H71" s="112"/>
      <c r="I71" s="112"/>
      <c r="J71" s="112"/>
      <c r="K71" s="112"/>
      <c r="L71" s="112"/>
      <c r="M71" s="112"/>
      <c r="N71" s="112"/>
      <c r="P71" s="1566"/>
      <c r="Q71" s="1473">
        <v>925</v>
      </c>
      <c r="R71" s="1473">
        <v>1010</v>
      </c>
      <c r="S71" s="1473">
        <v>1150</v>
      </c>
      <c r="T71" s="1473">
        <f>IF(Province="BC",S71,IF(Province="AB",R71,Q71))</f>
        <v>1010</v>
      </c>
      <c r="U71" s="1475" t="str">
        <f>TEXT(T71,"$0.")</f>
        <v>$1010.</v>
      </c>
    </row>
    <row r="72" spans="1:21" ht="15.75">
      <c r="A72" s="125" t="str">
        <f>"If you had an eligible spouse or an eligible dependant enter "&amp;U72</f>
        <v>If you had an eligible spouse or an eligible dependant enter $1,515.</v>
      </c>
      <c r="B72" s="125"/>
      <c r="C72" s="1016"/>
      <c r="D72" s="125"/>
      <c r="E72" s="125"/>
      <c r="F72" s="125"/>
      <c r="G72" s="125"/>
      <c r="H72" s="125"/>
      <c r="I72" s="112"/>
      <c r="J72" s="1133">
        <f>IF(AND(H23="X",H21="X"),T71,T72)</f>
        <v>1010</v>
      </c>
      <c r="K72" s="1266" t="s">
        <v>127</v>
      </c>
      <c r="L72" s="112"/>
      <c r="M72" s="112"/>
      <c r="N72" s="112"/>
      <c r="P72" s="1566"/>
      <c r="Q72" s="1473">
        <v>1680</v>
      </c>
      <c r="R72" s="1473">
        <v>1515</v>
      </c>
      <c r="S72" s="1473">
        <v>1825</v>
      </c>
      <c r="T72" s="1473">
        <f>IF(Province="BC",S72,IF(Province="AB",R72,Q72))</f>
        <v>1515</v>
      </c>
      <c r="U72" s="1475" t="str">
        <f>TEXT(T72,"$0,000.")</f>
        <v>$1,515.</v>
      </c>
    </row>
    <row r="73" spans="1:21" ht="18">
      <c r="A73" s="125" t="s">
        <v>24</v>
      </c>
      <c r="B73" s="125"/>
      <c r="C73" s="1016"/>
      <c r="D73" s="125"/>
      <c r="E73" s="125"/>
      <c r="F73" s="125"/>
      <c r="G73" s="125"/>
      <c r="H73" s="125"/>
      <c r="I73" s="112"/>
      <c r="J73" s="1133">
        <f>MIN(J72,J70)</f>
        <v>0</v>
      </c>
      <c r="K73" s="1274" t="s">
        <v>1886</v>
      </c>
      <c r="L73" s="112"/>
      <c r="M73" s="1133">
        <f>IF(E52="X",J73,0)</f>
        <v>0</v>
      </c>
      <c r="N73" s="1266" t="s">
        <v>1229</v>
      </c>
      <c r="P73" s="1566"/>
      <c r="Q73" s="1473"/>
      <c r="R73" s="1473"/>
      <c r="S73" s="1473"/>
      <c r="T73" s="1473"/>
      <c r="U73" s="1473"/>
    </row>
    <row r="74" spans="1:21" ht="15.75">
      <c r="A74" s="125" t="s">
        <v>169</v>
      </c>
      <c r="B74" s="125"/>
      <c r="C74" s="1016"/>
      <c r="D74" s="125"/>
      <c r="E74" s="125"/>
      <c r="F74" s="125"/>
      <c r="G74" s="125"/>
      <c r="H74" s="125"/>
      <c r="I74" s="112"/>
      <c r="J74" s="1133">
        <f>J50</f>
        <v>0</v>
      </c>
      <c r="K74" s="1266" t="s">
        <v>128</v>
      </c>
      <c r="L74" s="112"/>
      <c r="M74" s="112"/>
      <c r="N74" s="112"/>
      <c r="P74" s="1566"/>
      <c r="Q74" s="1473"/>
      <c r="R74" s="1473"/>
      <c r="S74" s="1473"/>
      <c r="T74" s="1473"/>
      <c r="U74" s="1473"/>
    </row>
    <row r="75" spans="1:21" ht="15">
      <c r="A75" s="112" t="s">
        <v>170</v>
      </c>
      <c r="B75" s="112"/>
      <c r="C75" s="1271"/>
      <c r="D75" s="112"/>
      <c r="E75" s="112"/>
      <c r="F75" s="112"/>
      <c r="G75" s="112"/>
      <c r="H75" s="112"/>
      <c r="I75" s="112"/>
      <c r="J75" s="112"/>
      <c r="K75" s="112"/>
      <c r="L75" s="112"/>
      <c r="M75" s="112"/>
      <c r="N75" s="112"/>
      <c r="P75" s="1566"/>
      <c r="Q75" s="1473"/>
      <c r="R75" s="1473"/>
      <c r="S75" s="1473"/>
      <c r="T75" s="1473"/>
      <c r="U75" s="1473"/>
    </row>
    <row r="76" spans="1:21" ht="15">
      <c r="A76" s="112" t="str">
        <f>"If you had neither an eligible spouse nor an eligible dependant, enter "&amp;U76</f>
        <v>If you had neither an eligible spouse nor an eligible dependant, enter $11,000.</v>
      </c>
      <c r="B76" s="112"/>
      <c r="C76" s="1271"/>
      <c r="D76" s="112"/>
      <c r="E76" s="112"/>
      <c r="F76" s="112"/>
      <c r="G76" s="112"/>
      <c r="H76" s="112"/>
      <c r="I76" s="112"/>
      <c r="J76" s="112"/>
      <c r="K76" s="112"/>
      <c r="L76" s="112"/>
      <c r="M76" s="112"/>
      <c r="N76" s="112"/>
      <c r="P76" s="1566"/>
      <c r="Q76" s="1473">
        <v>10500</v>
      </c>
      <c r="R76" s="1473">
        <v>11000</v>
      </c>
      <c r="S76" s="1473">
        <v>11500</v>
      </c>
      <c r="T76" s="1473">
        <f>IF(Province="BC",S76,IF(Province="AB",R76,Q76))</f>
        <v>11000</v>
      </c>
      <c r="U76" s="1475" t="str">
        <f>TEXT(T76,"$0,000.")</f>
        <v>$11,000.</v>
      </c>
    </row>
    <row r="77" spans="1:21" ht="15.75">
      <c r="A77" s="125" t="str">
        <f>"If you had an eligible spouse or an eligible dependant, enter "&amp;U77</f>
        <v>If you had an eligible spouse or an eligible dependant, enter $15,000.</v>
      </c>
      <c r="B77" s="125"/>
      <c r="C77" s="1016"/>
      <c r="D77" s="125"/>
      <c r="E77" s="125"/>
      <c r="F77" s="125"/>
      <c r="G77" s="125"/>
      <c r="H77" s="125"/>
      <c r="I77" s="112"/>
      <c r="J77" s="1133">
        <f>IF(AND(H23="X",H21="X"),T76,T77)</f>
        <v>11000</v>
      </c>
      <c r="K77" s="1266" t="s">
        <v>956</v>
      </c>
      <c r="L77" s="112"/>
      <c r="M77" s="112"/>
      <c r="N77" s="112"/>
      <c r="P77" s="1566"/>
      <c r="Q77" s="1473">
        <v>14500</v>
      </c>
      <c r="R77" s="1473">
        <v>15000</v>
      </c>
      <c r="S77" s="1473">
        <v>15500</v>
      </c>
      <c r="T77" s="1473">
        <f>IF(Province="BC",S77,IF(Province="AB",R77,Q77))</f>
        <v>15000</v>
      </c>
      <c r="U77" s="1475" t="str">
        <f>TEXT(T77,"$0,000.")</f>
        <v>$15,000.</v>
      </c>
    </row>
    <row r="78" spans="1:21" ht="15.75">
      <c r="A78" s="125" t="s">
        <v>353</v>
      </c>
      <c r="B78" s="125"/>
      <c r="C78" s="1016"/>
      <c r="D78" s="125"/>
      <c r="E78" s="125"/>
      <c r="F78" s="125"/>
      <c r="G78" s="125"/>
      <c r="H78" s="125"/>
      <c r="I78" s="112"/>
      <c r="J78" s="1133">
        <f>MAX(0,J74-J77)</f>
        <v>0</v>
      </c>
      <c r="K78" s="1266" t="s">
        <v>1712</v>
      </c>
      <c r="L78" s="112"/>
      <c r="M78" s="112"/>
      <c r="N78" s="112"/>
      <c r="P78" s="1566"/>
      <c r="Q78" s="1473"/>
      <c r="R78" s="1473"/>
      <c r="S78" s="1473"/>
      <c r="T78" s="1473"/>
      <c r="U78" s="1473"/>
    </row>
    <row r="79" spans="1:21" ht="15.75">
      <c r="A79" s="125" t="s">
        <v>1809</v>
      </c>
      <c r="B79" s="125"/>
      <c r="C79" s="1016"/>
      <c r="D79" s="125"/>
      <c r="E79" s="125"/>
      <c r="F79" s="125"/>
      <c r="G79" s="125"/>
      <c r="H79" s="125"/>
      <c r="I79" s="112"/>
      <c r="J79" s="1277">
        <f>T79</f>
        <v>0.15</v>
      </c>
      <c r="K79" s="1266" t="s">
        <v>958</v>
      </c>
      <c r="L79" s="112"/>
      <c r="M79" s="112"/>
      <c r="N79" s="112"/>
      <c r="P79" s="1566"/>
      <c r="Q79" s="1473">
        <v>0.15</v>
      </c>
      <c r="R79" s="1473">
        <v>0.15</v>
      </c>
      <c r="S79" s="1473">
        <v>0.17</v>
      </c>
      <c r="T79" s="1473">
        <f>IF(Province="BC",S79,IF(Province="AB",R79,Q79))</f>
        <v>0.15</v>
      </c>
      <c r="U79" s="1473"/>
    </row>
    <row r="80" spans="1:21" ht="18">
      <c r="A80" s="125" t="s">
        <v>171</v>
      </c>
      <c r="B80" s="125"/>
      <c r="C80" s="1016"/>
      <c r="D80" s="125"/>
      <c r="E80" s="125"/>
      <c r="F80" s="125"/>
      <c r="G80" s="125"/>
      <c r="H80" s="125"/>
      <c r="I80" s="112"/>
      <c r="J80" s="1133">
        <f>J78*J79</f>
        <v>0</v>
      </c>
      <c r="K80" s="1274" t="s">
        <v>1886</v>
      </c>
      <c r="L80" s="112"/>
      <c r="M80" s="1133">
        <f>IF(E52="X",J80,0)</f>
        <v>0</v>
      </c>
      <c r="N80" s="1266" t="s">
        <v>1713</v>
      </c>
      <c r="P80" s="1566"/>
      <c r="Q80" s="1473"/>
      <c r="R80" s="1473"/>
      <c r="S80" s="1473"/>
      <c r="T80" s="1473"/>
      <c r="U80" s="1473"/>
    </row>
    <row r="81" spans="1:21" ht="15.75">
      <c r="A81" s="125" t="s">
        <v>172</v>
      </c>
      <c r="B81" s="125"/>
      <c r="C81" s="1016"/>
      <c r="D81" s="125"/>
      <c r="E81" s="125"/>
      <c r="F81" s="125"/>
      <c r="G81" s="125"/>
      <c r="H81" s="125"/>
      <c r="I81" s="112"/>
      <c r="J81" s="112"/>
      <c r="K81" s="112"/>
      <c r="L81" s="112"/>
      <c r="M81" s="1133">
        <f>MAX(0,M73-M80)</f>
        <v>0</v>
      </c>
      <c r="N81" s="1266" t="s">
        <v>1714</v>
      </c>
      <c r="P81" s="1566"/>
      <c r="Q81" s="1473"/>
      <c r="R81" s="1473"/>
      <c r="S81" s="1473"/>
      <c r="T81" s="1473"/>
      <c r="U81" s="1473"/>
    </row>
    <row r="82" spans="1:21" ht="15.75">
      <c r="A82" s="112"/>
      <c r="B82" s="112"/>
      <c r="C82" s="1271"/>
      <c r="D82" s="112"/>
      <c r="E82" s="112"/>
      <c r="F82" s="112"/>
      <c r="G82" s="112"/>
      <c r="H82" s="112"/>
      <c r="I82" s="112"/>
      <c r="J82" s="1272" t="s">
        <v>354</v>
      </c>
      <c r="K82" s="112"/>
      <c r="L82" s="112"/>
      <c r="M82" s="112"/>
      <c r="N82" s="112"/>
      <c r="P82" s="1566"/>
      <c r="Q82" s="1473"/>
      <c r="R82" s="1473"/>
      <c r="S82" s="1473"/>
      <c r="T82" s="1473"/>
      <c r="U82" s="1473"/>
    </row>
    <row r="83" spans="1:21" ht="15">
      <c r="A83" s="112"/>
      <c r="B83" s="112"/>
      <c r="C83" s="1271"/>
      <c r="D83" s="112"/>
      <c r="E83" s="112"/>
      <c r="F83" s="112"/>
      <c r="G83" s="112"/>
      <c r="H83" s="112"/>
      <c r="I83" s="112"/>
      <c r="J83" s="112"/>
      <c r="K83" s="112"/>
      <c r="L83" s="112"/>
      <c r="M83" s="112"/>
      <c r="N83" s="112"/>
      <c r="P83" s="1566"/>
      <c r="Q83" s="1473"/>
      <c r="R83" s="1473"/>
      <c r="S83" s="1473"/>
      <c r="T83" s="1473"/>
      <c r="U83" s="1473"/>
    </row>
    <row r="84" spans="1:21" ht="20.25">
      <c r="A84" s="1263" t="s">
        <v>23</v>
      </c>
      <c r="B84" s="112"/>
      <c r="C84" s="1271"/>
      <c r="D84" s="112"/>
      <c r="E84" s="112"/>
      <c r="F84" s="112"/>
      <c r="G84" s="112"/>
      <c r="H84" s="112"/>
      <c r="I84" s="112"/>
      <c r="J84" s="112"/>
      <c r="K84" s="112"/>
      <c r="L84" s="112"/>
      <c r="M84" s="112"/>
      <c r="N84" s="112"/>
      <c r="P84" s="1566"/>
      <c r="Q84" s="1473"/>
      <c r="R84" s="1473"/>
      <c r="S84" s="1473"/>
      <c r="T84" s="1473"/>
      <c r="U84" s="1473"/>
    </row>
    <row r="85" spans="1:21" ht="27" customHeight="1">
      <c r="A85" s="112" t="s">
        <v>2155</v>
      </c>
      <c r="B85" s="112"/>
      <c r="C85" s="1271"/>
      <c r="D85" s="112"/>
      <c r="E85" s="112"/>
      <c r="F85" s="112"/>
      <c r="G85" s="112"/>
      <c r="H85" s="112"/>
      <c r="I85" s="112"/>
      <c r="J85" s="112"/>
      <c r="K85" s="112"/>
      <c r="L85" s="112"/>
      <c r="M85" s="112"/>
      <c r="N85" s="112"/>
      <c r="P85" s="1566"/>
      <c r="Q85" s="1473"/>
      <c r="R85" s="1473"/>
      <c r="S85" s="1473"/>
      <c r="T85" s="1473"/>
      <c r="U85" s="1473"/>
    </row>
    <row r="86" spans="1:21" ht="15.75">
      <c r="A86" s="112" t="s">
        <v>355</v>
      </c>
      <c r="B86" s="112"/>
      <c r="C86" s="1271"/>
      <c r="D86" s="112"/>
      <c r="E86" s="112"/>
      <c r="F86" s="112"/>
      <c r="G86" s="112"/>
      <c r="H86" s="112"/>
      <c r="I86" s="112"/>
      <c r="J86" s="112"/>
      <c r="K86" s="112"/>
      <c r="L86" s="112"/>
      <c r="M86" s="112"/>
      <c r="N86" s="112"/>
      <c r="P86" s="1566"/>
      <c r="Q86" s="1473"/>
      <c r="R86" s="1473"/>
      <c r="S86" s="1473"/>
      <c r="T86" s="1473"/>
      <c r="U86" s="1473"/>
    </row>
    <row r="87" spans="1:21" ht="15">
      <c r="A87" s="112" t="s">
        <v>356</v>
      </c>
      <c r="B87" s="112"/>
      <c r="C87" s="1271"/>
      <c r="D87" s="112"/>
      <c r="E87" s="112"/>
      <c r="F87" s="112"/>
      <c r="G87" s="112"/>
      <c r="H87" s="112"/>
      <c r="I87" s="112"/>
      <c r="J87" s="112"/>
      <c r="K87" s="112"/>
      <c r="L87" s="112"/>
      <c r="M87" s="112"/>
      <c r="N87" s="112"/>
      <c r="P87" s="1566"/>
      <c r="Q87" s="1473"/>
      <c r="R87" s="1473"/>
      <c r="S87" s="1473"/>
      <c r="T87" s="1473"/>
      <c r="U87" s="1473"/>
    </row>
    <row r="88" spans="1:21" ht="25.5" customHeight="1">
      <c r="A88" s="125" t="s">
        <v>511</v>
      </c>
      <c r="B88" s="125"/>
      <c r="C88" s="1016"/>
      <c r="D88" s="125"/>
      <c r="E88" s="125"/>
      <c r="F88" s="125"/>
      <c r="G88" s="125"/>
      <c r="H88" s="125"/>
      <c r="I88" s="112"/>
      <c r="J88" s="1133">
        <f>J36</f>
        <v>0</v>
      </c>
      <c r="K88" s="1266" t="s">
        <v>1715</v>
      </c>
      <c r="L88" s="112"/>
      <c r="M88" s="112"/>
      <c r="N88" s="112"/>
      <c r="P88" s="1566"/>
      <c r="Q88" s="1473"/>
      <c r="R88" s="1473"/>
      <c r="S88" s="1473"/>
      <c r="T88" s="1473"/>
      <c r="U88" s="1473"/>
    </row>
    <row r="89" spans="1:21" ht="16.5" thickBot="1">
      <c r="A89" s="126" t="s">
        <v>1523</v>
      </c>
      <c r="B89" s="126"/>
      <c r="C89" s="1275"/>
      <c r="D89" s="126"/>
      <c r="E89" s="126"/>
      <c r="F89" s="126"/>
      <c r="G89" s="126"/>
      <c r="H89" s="126"/>
      <c r="I89" s="112"/>
      <c r="J89" s="1134">
        <f>T89</f>
        <v>910</v>
      </c>
      <c r="K89" s="1266" t="s">
        <v>716</v>
      </c>
      <c r="L89" s="112"/>
      <c r="M89" s="112"/>
      <c r="N89" s="112"/>
      <c r="P89" s="1566"/>
      <c r="Q89" s="1473">
        <v>1150</v>
      </c>
      <c r="R89" s="1473">
        <v>910</v>
      </c>
      <c r="S89" s="1473">
        <v>2295</v>
      </c>
      <c r="T89" s="1473">
        <f>IF(Province="BC",S89,IF(Province="AB",R89,Q89))</f>
        <v>910</v>
      </c>
      <c r="U89" s="1473"/>
    </row>
    <row r="90" spans="1:21" ht="15.75">
      <c r="A90" s="126" t="s">
        <v>175</v>
      </c>
      <c r="B90" s="126"/>
      <c r="C90" s="1275"/>
      <c r="D90" s="126"/>
      <c r="E90" s="126"/>
      <c r="F90" s="126"/>
      <c r="G90" s="126"/>
      <c r="H90" s="126"/>
      <c r="I90" s="112"/>
      <c r="J90" s="1133">
        <f>MAX(0,J88-J89)</f>
        <v>0</v>
      </c>
      <c r="K90" s="1266" t="s">
        <v>717</v>
      </c>
      <c r="L90" s="112"/>
      <c r="M90" s="112"/>
      <c r="N90" s="112"/>
      <c r="P90" s="1566"/>
      <c r="Q90" s="1473"/>
      <c r="R90" s="1473"/>
      <c r="S90" s="1473"/>
      <c r="T90" s="1473"/>
      <c r="U90" s="1473"/>
    </row>
    <row r="91" spans="1:21" ht="16.5" thickBot="1">
      <c r="A91" s="126" t="s">
        <v>1809</v>
      </c>
      <c r="B91" s="126"/>
      <c r="C91" s="1275"/>
      <c r="D91" s="126"/>
      <c r="E91" s="126"/>
      <c r="F91" s="126"/>
      <c r="G91" s="126"/>
      <c r="H91" s="126"/>
      <c r="I91" s="112"/>
      <c r="J91" s="1399">
        <f>T91</f>
        <v>0.25</v>
      </c>
      <c r="K91" s="1266" t="s">
        <v>718</v>
      </c>
      <c r="L91" s="112"/>
      <c r="M91" s="112"/>
      <c r="N91" s="112"/>
      <c r="P91" s="1566"/>
      <c r="Q91" s="1473">
        <v>0.25</v>
      </c>
      <c r="R91" s="1473">
        <v>0.25</v>
      </c>
      <c r="S91" s="1473">
        <v>0.21</v>
      </c>
      <c r="T91" s="1473">
        <f>IF(Province="BC",S91,IF(Province="AB",R91,Q91))</f>
        <v>0.25</v>
      </c>
      <c r="U91" s="1473"/>
    </row>
    <row r="92" spans="1:21" ht="15.75">
      <c r="A92" s="126" t="s">
        <v>176</v>
      </c>
      <c r="B92" s="126"/>
      <c r="C92" s="1275"/>
      <c r="D92" s="126"/>
      <c r="E92" s="126"/>
      <c r="F92" s="126"/>
      <c r="G92" s="126"/>
      <c r="H92" s="126"/>
      <c r="I92" s="112"/>
      <c r="J92" s="1133">
        <f>J90*J91</f>
        <v>0</v>
      </c>
      <c r="K92" s="1266" t="s">
        <v>2010</v>
      </c>
      <c r="L92" s="112"/>
      <c r="M92" s="112"/>
      <c r="N92" s="112"/>
      <c r="P92" s="1566"/>
      <c r="Q92" s="1473"/>
      <c r="R92" s="1473"/>
      <c r="S92" s="1473"/>
      <c r="T92" s="1473"/>
      <c r="U92" s="1473"/>
    </row>
    <row r="93" spans="1:21" ht="18">
      <c r="A93" s="126" t="str">
        <f>"Enter the amount from line 33 or "&amp;U93&amp;", whichever is less."</f>
        <v>Enter the amount from line 33 or $462.50, whichever is less.</v>
      </c>
      <c r="B93" s="126"/>
      <c r="C93" s="1275"/>
      <c r="D93" s="126"/>
      <c r="E93" s="126"/>
      <c r="F93" s="126"/>
      <c r="G93" s="126"/>
      <c r="H93" s="126"/>
      <c r="I93" s="112"/>
      <c r="J93" s="1133">
        <f>MIN(J92,T93)</f>
        <v>0</v>
      </c>
      <c r="K93" s="1274" t="s">
        <v>1886</v>
      </c>
      <c r="L93" s="112"/>
      <c r="M93" s="1133">
        <f>IF(E54="X",J93,0)</f>
        <v>0</v>
      </c>
      <c r="N93" s="1266" t="s">
        <v>2011</v>
      </c>
      <c r="P93" s="1566"/>
      <c r="Q93" s="1473">
        <v>462.5</v>
      </c>
      <c r="R93" s="1473">
        <v>462.5</v>
      </c>
      <c r="S93" s="1473">
        <v>515</v>
      </c>
      <c r="T93" s="1473">
        <f>IF(Province="BC",S93,IF(Province="AB",R93,Q93))</f>
        <v>462.5</v>
      </c>
      <c r="U93" s="1475" t="str">
        <f>TEXT(T93,"$0.00")</f>
        <v>$462.50</v>
      </c>
    </row>
    <row r="94" spans="1:21" ht="15.75">
      <c r="A94" s="125" t="s">
        <v>169</v>
      </c>
      <c r="B94" s="125"/>
      <c r="C94" s="1016"/>
      <c r="D94" s="125"/>
      <c r="E94" s="125"/>
      <c r="F94" s="125"/>
      <c r="G94" s="125"/>
      <c r="H94" s="125"/>
      <c r="I94" s="112"/>
      <c r="J94" s="1133">
        <f>IF(E54="X",J50,0)</f>
        <v>0</v>
      </c>
      <c r="K94" s="1266" t="s">
        <v>711</v>
      </c>
      <c r="L94" s="112"/>
      <c r="M94" s="112"/>
      <c r="N94" s="112"/>
      <c r="P94" s="1566"/>
      <c r="Q94" s="1473"/>
      <c r="R94" s="1473"/>
      <c r="S94" s="1473"/>
      <c r="T94" s="1473"/>
      <c r="U94" s="1473"/>
    </row>
    <row r="95" spans="1:21" ht="15">
      <c r="A95" s="112" t="s">
        <v>170</v>
      </c>
      <c r="B95" s="112"/>
      <c r="C95" s="1271"/>
      <c r="D95" s="112"/>
      <c r="E95" s="112"/>
      <c r="F95" s="112"/>
      <c r="G95" s="112"/>
      <c r="H95" s="112"/>
      <c r="I95" s="112"/>
      <c r="J95" s="112"/>
      <c r="K95" s="112"/>
      <c r="L95" s="112"/>
      <c r="M95" s="112"/>
      <c r="N95" s="112"/>
      <c r="P95" s="1566"/>
      <c r="Q95" s="1473"/>
      <c r="R95" s="1473"/>
      <c r="S95" s="1473"/>
      <c r="T95" s="1473"/>
      <c r="U95" s="1473"/>
    </row>
    <row r="96" spans="1:21" ht="15">
      <c r="A96" s="112" t="str">
        <f>"If you had neither an eligible spouse nor an eligible dependant, enter "&amp;U96</f>
        <v>If you had neither an eligible spouse nor an eligible dependant, enter $17,733.</v>
      </c>
      <c r="B96" s="112"/>
      <c r="C96" s="1271"/>
      <c r="D96" s="112"/>
      <c r="E96" s="112"/>
      <c r="F96" s="112"/>
      <c r="G96" s="112"/>
      <c r="H96" s="112"/>
      <c r="I96" s="112"/>
      <c r="J96" s="112"/>
      <c r="K96" s="112"/>
      <c r="L96" s="112"/>
      <c r="M96" s="112"/>
      <c r="N96" s="112"/>
      <c r="P96" s="1566"/>
      <c r="Q96" s="1473">
        <v>16667</v>
      </c>
      <c r="R96" s="1473">
        <v>17733</v>
      </c>
      <c r="S96" s="1473">
        <v>18265</v>
      </c>
      <c r="T96" s="1473">
        <f>IF(Province="BC",S96,IF(Province="AB",R96,Q96))</f>
        <v>17733</v>
      </c>
      <c r="U96" s="1475" t="str">
        <f>TEXT(T96,"$0,000.")</f>
        <v>$17,733.</v>
      </c>
    </row>
    <row r="97" spans="1:21" ht="15.75">
      <c r="A97" s="125" t="str">
        <f>"If you had an eligible spouse or an eligible dependant, enter "&amp;U97</f>
        <v>If you had an eligible spouse or an eligible dependant, enter $25,100.</v>
      </c>
      <c r="B97" s="125"/>
      <c r="C97" s="1016"/>
      <c r="D97" s="125"/>
      <c r="E97" s="125"/>
      <c r="F97" s="125"/>
      <c r="G97" s="125"/>
      <c r="H97" s="125"/>
      <c r="I97" s="112"/>
      <c r="J97" s="1133">
        <f>IF(AND(H23="X",H21="X"),T96,T97)</f>
        <v>17733</v>
      </c>
      <c r="K97" s="1266" t="s">
        <v>715</v>
      </c>
      <c r="L97" s="112"/>
      <c r="M97" s="112"/>
      <c r="N97" s="112"/>
      <c r="P97" s="1566"/>
      <c r="Q97" s="1473">
        <v>25700</v>
      </c>
      <c r="R97" s="1473">
        <v>25100</v>
      </c>
      <c r="S97" s="1473">
        <v>26235</v>
      </c>
      <c r="T97" s="1473">
        <f>IF(Province="BC",S97,IF(Province="AB",R97,Q97))</f>
        <v>25100</v>
      </c>
      <c r="U97" s="1475" t="str">
        <f>TEXT(T97,"$0,000.")</f>
        <v>$25,100.</v>
      </c>
    </row>
    <row r="98" spans="1:21" ht="15.75">
      <c r="A98" s="125" t="s">
        <v>512</v>
      </c>
      <c r="B98" s="125"/>
      <c r="C98" s="1016"/>
      <c r="D98" s="125"/>
      <c r="E98" s="125"/>
      <c r="F98" s="125"/>
      <c r="G98" s="125"/>
      <c r="H98" s="125"/>
      <c r="I98" s="112"/>
      <c r="J98" s="1133">
        <f>MAX(0,J94-J97)</f>
        <v>0</v>
      </c>
      <c r="K98" s="1266" t="s">
        <v>1231</v>
      </c>
      <c r="L98" s="112"/>
      <c r="M98" s="112"/>
      <c r="N98" s="112"/>
      <c r="P98" s="1566"/>
      <c r="Q98" s="1473"/>
      <c r="R98" s="1473"/>
      <c r="S98" s="1473"/>
      <c r="T98" s="1473"/>
      <c r="U98" s="1473"/>
    </row>
    <row r="99" spans="1:21" ht="16.5" thickBot="1">
      <c r="A99" s="125" t="s">
        <v>2156</v>
      </c>
      <c r="B99" s="125"/>
      <c r="C99" s="1016"/>
      <c r="D99" s="125"/>
      <c r="E99" s="125"/>
      <c r="F99" s="125"/>
      <c r="G99" s="125"/>
      <c r="H99" s="125"/>
      <c r="I99" s="112"/>
      <c r="J99" s="1399">
        <f>IF(AND(E23="X",E56="X"),T108,T109)</f>
        <v>0.15</v>
      </c>
      <c r="K99" s="1266" t="s">
        <v>1697</v>
      </c>
      <c r="L99" s="112"/>
      <c r="M99" s="112"/>
      <c r="N99" s="112"/>
      <c r="P99" s="1566"/>
      <c r="Q99" s="1473"/>
      <c r="R99" s="1473"/>
      <c r="S99" s="1473"/>
      <c r="T99" s="1473"/>
      <c r="U99" s="1473"/>
    </row>
    <row r="100" spans="1:21" ht="18.75" thickBot="1">
      <c r="A100" s="125" t="s">
        <v>174</v>
      </c>
      <c r="B100" s="125"/>
      <c r="C100" s="1016"/>
      <c r="D100" s="125"/>
      <c r="E100" s="125"/>
      <c r="F100" s="125"/>
      <c r="G100" s="125"/>
      <c r="H100" s="125"/>
      <c r="I100" s="112"/>
      <c r="J100" s="1133">
        <f>J98*J99</f>
        <v>0</v>
      </c>
      <c r="K100" s="1274" t="s">
        <v>1886</v>
      </c>
      <c r="L100" s="112"/>
      <c r="M100" s="1400">
        <f>IF(E54="X",J100,0)</f>
        <v>0</v>
      </c>
      <c r="N100" s="1266" t="s">
        <v>666</v>
      </c>
      <c r="P100" s="1566"/>
      <c r="Q100" s="1473"/>
      <c r="R100" s="1473"/>
      <c r="S100" s="1473"/>
      <c r="T100" s="1473"/>
      <c r="U100" s="1473"/>
    </row>
    <row r="101" spans="1:21" ht="15.75">
      <c r="A101" s="125" t="s">
        <v>173</v>
      </c>
      <c r="B101" s="125"/>
      <c r="C101" s="1016"/>
      <c r="D101" s="125"/>
      <c r="E101" s="125"/>
      <c r="F101" s="125"/>
      <c r="G101" s="125"/>
      <c r="H101" s="125"/>
      <c r="I101" s="125"/>
      <c r="J101" s="125"/>
      <c r="K101" s="112"/>
      <c r="L101" s="112"/>
      <c r="M101" s="1133">
        <f>MAX(0,M93-M100)</f>
        <v>0</v>
      </c>
      <c r="N101" s="1266" t="s">
        <v>1698</v>
      </c>
      <c r="P101" s="1566"/>
      <c r="Q101" s="1473"/>
      <c r="R101" s="1473"/>
      <c r="S101" s="1473"/>
      <c r="T101" s="1473"/>
      <c r="U101" s="1473"/>
    </row>
    <row r="102" spans="1:21" ht="15">
      <c r="A102" s="112"/>
      <c r="B102" s="112"/>
      <c r="C102" s="1271"/>
      <c r="D102" s="112"/>
      <c r="E102" s="112"/>
      <c r="F102" s="112"/>
      <c r="G102" s="112"/>
      <c r="H102" s="112"/>
      <c r="I102" s="112"/>
      <c r="J102" s="1272"/>
      <c r="K102" s="112"/>
      <c r="L102" s="112"/>
      <c r="M102" s="112"/>
      <c r="N102" s="112"/>
      <c r="P102" s="1566"/>
      <c r="Q102" s="1473"/>
      <c r="R102" s="1473"/>
      <c r="S102" s="1473"/>
      <c r="T102" s="1473"/>
      <c r="U102" s="1473"/>
    </row>
    <row r="103" spans="1:21" ht="7.5" customHeight="1">
      <c r="A103" s="112"/>
      <c r="B103" s="112"/>
      <c r="C103" s="1271"/>
      <c r="D103" s="112"/>
      <c r="E103" s="112"/>
      <c r="F103" s="112"/>
      <c r="G103" s="112"/>
      <c r="H103" s="112"/>
      <c r="I103" s="112"/>
      <c r="J103" s="112"/>
      <c r="K103" s="112"/>
      <c r="L103" s="112"/>
      <c r="M103" s="112"/>
      <c r="N103" s="112"/>
      <c r="P103" s="1566"/>
      <c r="Q103" s="1473"/>
      <c r="R103" s="1473"/>
      <c r="S103" s="1473"/>
      <c r="T103" s="1473"/>
      <c r="U103" s="1473"/>
    </row>
    <row r="104" spans="1:21" ht="16.5" thickBot="1">
      <c r="A104" s="125" t="s">
        <v>357</v>
      </c>
      <c r="B104" s="125"/>
      <c r="C104" s="1016"/>
      <c r="D104" s="125"/>
      <c r="E104" s="125"/>
      <c r="F104" s="125"/>
      <c r="G104" s="125"/>
      <c r="H104" s="125"/>
      <c r="I104" s="125"/>
      <c r="J104" s="125"/>
      <c r="K104" s="125"/>
      <c r="L104" s="112"/>
      <c r="M104" s="1400">
        <f>M81</f>
        <v>0</v>
      </c>
      <c r="N104" s="1266" t="s">
        <v>668</v>
      </c>
      <c r="P104" s="1566"/>
      <c r="Q104" s="1473"/>
      <c r="R104" s="1473"/>
      <c r="S104" s="1473"/>
      <c r="T104" s="1473"/>
      <c r="U104" s="1473"/>
    </row>
    <row r="105" spans="1:21" ht="15.75">
      <c r="A105" s="126" t="s">
        <v>177</v>
      </c>
      <c r="B105" s="126"/>
      <c r="C105" s="1275"/>
      <c r="D105" s="126"/>
      <c r="E105" s="126"/>
      <c r="F105" s="126"/>
      <c r="G105" s="126"/>
      <c r="H105" s="126"/>
      <c r="I105" s="126"/>
      <c r="J105" s="126"/>
      <c r="K105" s="1521" t="s">
        <v>358</v>
      </c>
      <c r="L105" s="112"/>
      <c r="M105" s="1133">
        <f>M101+M104</f>
        <v>0</v>
      </c>
      <c r="N105" s="1266" t="s">
        <v>1728</v>
      </c>
      <c r="P105" s="1566"/>
      <c r="Q105" s="1473"/>
      <c r="R105" s="1473"/>
      <c r="S105" s="1473"/>
      <c r="T105" s="1473"/>
      <c r="U105" s="1473"/>
    </row>
    <row r="106" spans="1:21" ht="15">
      <c r="A106" s="112"/>
      <c r="B106" s="112"/>
      <c r="C106" s="1271"/>
      <c r="D106" s="112"/>
      <c r="E106" s="112"/>
      <c r="F106" s="112"/>
      <c r="G106" s="112"/>
      <c r="H106" s="112"/>
      <c r="I106" s="112"/>
      <c r="J106" s="112"/>
      <c r="K106" s="1272"/>
      <c r="L106" s="112"/>
      <c r="M106" s="112"/>
      <c r="N106" s="112"/>
      <c r="P106" s="1566"/>
      <c r="Q106" s="1473"/>
      <c r="R106" s="1473"/>
      <c r="S106" s="1473"/>
      <c r="T106" s="1473"/>
      <c r="U106" s="1473"/>
    </row>
    <row r="107" spans="1:21" ht="7.5" customHeight="1">
      <c r="A107" s="112"/>
      <c r="B107" s="112"/>
      <c r="C107" s="1271"/>
      <c r="D107" s="112"/>
      <c r="E107" s="112"/>
      <c r="F107" s="112"/>
      <c r="G107" s="112"/>
      <c r="H107" s="112"/>
      <c r="I107" s="112"/>
      <c r="J107" s="112"/>
      <c r="K107" s="112"/>
      <c r="L107" s="112"/>
      <c r="M107" s="112"/>
      <c r="N107" s="112"/>
      <c r="P107" s="1566"/>
      <c r="Q107" s="1473"/>
      <c r="R107" s="1473"/>
      <c r="S107" s="1473"/>
      <c r="T107" s="1473"/>
      <c r="U107" s="1473"/>
    </row>
    <row r="108" spans="1:21" ht="15">
      <c r="A108" s="1480" t="str">
        <f>"Note: If you had an eligible spouse and he or she also qualifies for the disability amount, the rate at line 38 is "&amp;U108&amp;".  In all other situations,"</f>
        <v>Note: If you had an eligible spouse and he or she also qualifies for the disability amount, the rate at line 38 is 7.5%.  In all other situations,</v>
      </c>
      <c r="B108" s="112"/>
      <c r="C108" s="1271"/>
      <c r="D108" s="112"/>
      <c r="E108" s="112"/>
      <c r="F108" s="112"/>
      <c r="G108" s="112"/>
      <c r="H108" s="112"/>
      <c r="I108" s="112"/>
      <c r="J108" s="112"/>
      <c r="K108" s="112"/>
      <c r="L108" s="112"/>
      <c r="M108" s="112"/>
      <c r="N108" s="112"/>
      <c r="P108" s="1566"/>
      <c r="Q108" s="1476">
        <v>0.075</v>
      </c>
      <c r="R108" s="1476">
        <v>0.075</v>
      </c>
      <c r="S108" s="1476">
        <v>0.085</v>
      </c>
      <c r="T108" s="1476">
        <f>IF(Province="BC",S108,IF(Province="AB",R108,Q108))</f>
        <v>0.075</v>
      </c>
      <c r="U108" s="1475" t="str">
        <f>TEXT(T108,".0%")</f>
        <v>7.5%</v>
      </c>
    </row>
    <row r="109" spans="1:21" ht="15">
      <c r="A109" s="112" t="str">
        <f>"          the rate is "&amp;U109</f>
        <v>          the rate is 15.%</v>
      </c>
      <c r="B109" s="112"/>
      <c r="C109" s="1271"/>
      <c r="D109" s="112"/>
      <c r="E109" s="112"/>
      <c r="F109" s="112"/>
      <c r="G109" s="112"/>
      <c r="H109" s="112"/>
      <c r="I109" s="112"/>
      <c r="J109" s="112"/>
      <c r="K109" s="112"/>
      <c r="L109" s="112"/>
      <c r="M109" s="112"/>
      <c r="N109" s="112"/>
      <c r="P109" s="1566"/>
      <c r="Q109" s="1473">
        <v>0.15</v>
      </c>
      <c r="R109" s="1473">
        <v>0.15</v>
      </c>
      <c r="S109" s="1473">
        <v>0.17</v>
      </c>
      <c r="T109" s="1473">
        <f>IF(Province="BC",S109,IF(Province="AB",R109,Q109))</f>
        <v>0.15</v>
      </c>
      <c r="U109" s="1475" t="str">
        <f>TEXT(T109,".%")</f>
        <v>15.%</v>
      </c>
    </row>
    <row r="110" spans="1:21" ht="15.75" thickBot="1">
      <c r="A110" s="112"/>
      <c r="B110" s="112"/>
      <c r="C110" s="1271"/>
      <c r="D110" s="112"/>
      <c r="E110" s="112"/>
      <c r="F110" s="112"/>
      <c r="G110" s="112"/>
      <c r="H110" s="112"/>
      <c r="I110" s="112"/>
      <c r="J110" s="112"/>
      <c r="K110" s="112"/>
      <c r="L110" s="112"/>
      <c r="M110" s="112"/>
      <c r="N110" s="112"/>
      <c r="P110" s="1566"/>
      <c r="Q110" s="1473"/>
      <c r="R110" s="1473"/>
      <c r="S110" s="1473"/>
      <c r="T110" s="1473"/>
      <c r="U110" s="1473"/>
    </row>
    <row r="111" spans="1:21" ht="15.75">
      <c r="A111" s="1778" t="s">
        <v>2157</v>
      </c>
      <c r="B111" s="1779"/>
      <c r="C111" s="1780"/>
      <c r="D111" s="1781"/>
      <c r="E111" s="1781"/>
      <c r="F111" s="1781"/>
      <c r="G111" s="1781"/>
      <c r="H111" s="1781"/>
      <c r="I111" s="1781"/>
      <c r="J111" s="1782"/>
      <c r="K111" s="1780"/>
      <c r="L111" s="1781"/>
      <c r="M111" s="1781"/>
      <c r="N111" s="1783"/>
      <c r="P111" s="1566"/>
      <c r="Q111" s="1473"/>
      <c r="R111" s="1473"/>
      <c r="S111" s="1473"/>
      <c r="T111" s="1473"/>
      <c r="U111" s="1473"/>
    </row>
    <row r="112" spans="1:21" ht="15">
      <c r="A112" s="1767"/>
      <c r="B112" s="1579"/>
      <c r="C112" s="1784" t="s">
        <v>2158</v>
      </c>
      <c r="D112" s="1785"/>
      <c r="E112" s="1785"/>
      <c r="F112" s="1785"/>
      <c r="G112" s="1785"/>
      <c r="H112" s="1785"/>
      <c r="I112" s="1785"/>
      <c r="J112" s="1756"/>
      <c r="K112" s="1784" t="s">
        <v>2160</v>
      </c>
      <c r="L112" s="1785"/>
      <c r="M112" s="1785"/>
      <c r="N112" s="1790"/>
      <c r="P112" s="1566"/>
      <c r="Q112" s="1473"/>
      <c r="R112" s="1473"/>
      <c r="S112" s="1473"/>
      <c r="T112" s="1473"/>
      <c r="U112" s="1473"/>
    </row>
    <row r="113" spans="1:21" ht="15">
      <c r="A113" s="1768"/>
      <c r="B113" s="1679"/>
      <c r="C113" s="1762" t="s">
        <v>2159</v>
      </c>
      <c r="D113" s="1723"/>
      <c r="E113" s="1723"/>
      <c r="F113" s="1723"/>
      <c r="G113" s="1723"/>
      <c r="H113" s="1723"/>
      <c r="I113" s="1723"/>
      <c r="J113" s="1724"/>
      <c r="K113" s="1762" t="s">
        <v>2159</v>
      </c>
      <c r="L113" s="1723"/>
      <c r="M113" s="1723"/>
      <c r="N113" s="1763"/>
      <c r="P113" s="1566"/>
      <c r="Q113" s="1473"/>
      <c r="R113" s="1473"/>
      <c r="S113" s="1473"/>
      <c r="T113" s="1473"/>
      <c r="U113" s="1473"/>
    </row>
    <row r="114" spans="1:21" ht="15.75">
      <c r="A114" s="1769" t="s">
        <v>2161</v>
      </c>
      <c r="B114" s="1770"/>
      <c r="C114" s="1743" t="str">
        <f>"less than "&amp;U114</f>
        <v>less than $17,733</v>
      </c>
      <c r="D114" s="1744"/>
      <c r="E114" s="1744"/>
      <c r="F114" s="1744"/>
      <c r="G114" s="1744"/>
      <c r="H114" s="1744"/>
      <c r="I114" s="1744"/>
      <c r="J114" s="1749"/>
      <c r="K114" s="1743" t="str">
        <f>"less than "&amp;U115</f>
        <v>less than $25,100</v>
      </c>
      <c r="L114" s="1744"/>
      <c r="M114" s="1744"/>
      <c r="N114" s="1745"/>
      <c r="P114" s="1566"/>
      <c r="Q114" s="1474">
        <v>16667</v>
      </c>
      <c r="R114" s="1474">
        <v>17733</v>
      </c>
      <c r="S114" s="1474">
        <v>18265</v>
      </c>
      <c r="T114" s="1473">
        <f>IF(Province="BC",S114,IF(Province="AB",R114,Q114))</f>
        <v>17733</v>
      </c>
      <c r="U114" s="1475" t="str">
        <f>TEXT(T114,"$0,0")</f>
        <v>$17,733</v>
      </c>
    </row>
    <row r="115" spans="1:21" ht="15">
      <c r="A115" s="1771" t="s">
        <v>2162</v>
      </c>
      <c r="B115" s="1724"/>
      <c r="C115" s="1746"/>
      <c r="D115" s="1747"/>
      <c r="E115" s="1747"/>
      <c r="F115" s="1747"/>
      <c r="G115" s="1747"/>
      <c r="H115" s="1747"/>
      <c r="I115" s="1747"/>
      <c r="J115" s="1753"/>
      <c r="K115" s="1746"/>
      <c r="L115" s="1747"/>
      <c r="M115" s="1747"/>
      <c r="N115" s="1748"/>
      <c r="P115" s="1566"/>
      <c r="Q115" s="1474">
        <v>25700</v>
      </c>
      <c r="R115" s="1474">
        <v>25100</v>
      </c>
      <c r="S115" s="1474">
        <v>26235</v>
      </c>
      <c r="T115" s="1473">
        <f>IF(Province="BC",S115,IF(Province="AB",R115,Q115))</f>
        <v>25100</v>
      </c>
      <c r="U115" s="1475" t="str">
        <f>TEXT(T115,"$0,0")</f>
        <v>$25,100</v>
      </c>
    </row>
    <row r="116" spans="1:21" ht="15.75">
      <c r="A116" s="1772" t="s">
        <v>2163</v>
      </c>
      <c r="B116" s="1773"/>
      <c r="C116" s="1743" t="str">
        <f>"less than "&amp;U117</f>
        <v>less than $20,817</v>
      </c>
      <c r="D116" s="1744"/>
      <c r="E116" s="1744"/>
      <c r="F116" s="1744"/>
      <c r="G116" s="1744"/>
      <c r="H116" s="1744"/>
      <c r="I116" s="1744"/>
      <c r="J116" s="1749"/>
      <c r="K116" s="1743" t="str">
        <f>"less than "&amp;U118</f>
        <v>less than $28,183</v>
      </c>
      <c r="L116" s="1744"/>
      <c r="M116" s="1744"/>
      <c r="N116" s="1745"/>
      <c r="P116" s="1566"/>
      <c r="Q116" s="1474"/>
      <c r="R116" s="1474"/>
      <c r="S116" s="1474"/>
      <c r="T116" s="1474"/>
      <c r="U116" s="1473"/>
    </row>
    <row r="117" spans="1:21" ht="15">
      <c r="A117" s="1774" t="s">
        <v>2164</v>
      </c>
      <c r="B117" s="1751"/>
      <c r="C117" s="1750"/>
      <c r="D117" s="1751"/>
      <c r="E117" s="1751"/>
      <c r="F117" s="1751"/>
      <c r="G117" s="1751"/>
      <c r="H117" s="1751"/>
      <c r="I117" s="1751"/>
      <c r="J117" s="1752"/>
      <c r="K117" s="1750"/>
      <c r="L117" s="1751"/>
      <c r="M117" s="1751"/>
      <c r="N117" s="1754"/>
      <c r="P117" s="1566"/>
      <c r="Q117" s="1474">
        <v>19750</v>
      </c>
      <c r="R117" s="1474">
        <v>20817</v>
      </c>
      <c r="S117" s="1474">
        <v>21294</v>
      </c>
      <c r="T117" s="1473">
        <f>IF(Province="BC",S117,IF(Province="AB",R117,Q117))</f>
        <v>20817</v>
      </c>
      <c r="U117" s="1475" t="str">
        <f>TEXT(T117,"$0,0")</f>
        <v>$20,817</v>
      </c>
    </row>
    <row r="118" spans="1:21" ht="15">
      <c r="A118" s="1761" t="s">
        <v>2167</v>
      </c>
      <c r="B118" s="1747"/>
      <c r="C118" s="1746"/>
      <c r="D118" s="1747"/>
      <c r="E118" s="1747"/>
      <c r="F118" s="1747"/>
      <c r="G118" s="1747"/>
      <c r="H118" s="1747"/>
      <c r="I118" s="1747"/>
      <c r="J118" s="1753"/>
      <c r="K118" s="1746"/>
      <c r="L118" s="1747"/>
      <c r="M118" s="1747"/>
      <c r="N118" s="1748"/>
      <c r="P118" s="1566"/>
      <c r="Q118" s="1474">
        <v>28783</v>
      </c>
      <c r="R118" s="1474">
        <v>28183</v>
      </c>
      <c r="S118" s="1474">
        <v>29264</v>
      </c>
      <c r="T118" s="1473">
        <f>IF(Province="BC",S118,IF(Province="AB",R118,Q118))</f>
        <v>28183</v>
      </c>
      <c r="U118" s="1475" t="str">
        <f>TEXT(T118,"$0,0")</f>
        <v>$28,183</v>
      </c>
    </row>
    <row r="119" spans="1:21" ht="15.75">
      <c r="A119" s="1769" t="s">
        <v>2163</v>
      </c>
      <c r="B119" s="1770"/>
      <c r="C119" s="1760"/>
      <c r="D119" s="1786"/>
      <c r="E119" s="1786"/>
      <c r="F119" s="1786"/>
      <c r="G119" s="1786"/>
      <c r="H119" s="1786"/>
      <c r="I119" s="1786"/>
      <c r="J119" s="1703"/>
      <c r="K119" s="1743" t="str">
        <f>"less than "&amp;U121</f>
        <v>less than $31,267</v>
      </c>
      <c r="L119" s="1744"/>
      <c r="M119" s="1744"/>
      <c r="N119" s="1745"/>
      <c r="P119" s="1566"/>
      <c r="Q119" s="1474"/>
      <c r="R119" s="1474"/>
      <c r="S119" s="1474"/>
      <c r="T119" s="1474"/>
      <c r="U119" s="1473"/>
    </row>
    <row r="120" spans="1:21" ht="15.75">
      <c r="A120" s="1755" t="s">
        <v>2165</v>
      </c>
      <c r="B120" s="1756"/>
      <c r="C120" s="1757"/>
      <c r="D120" s="1758"/>
      <c r="E120" s="1758"/>
      <c r="F120" s="1758"/>
      <c r="G120" s="1758"/>
      <c r="H120" s="1758"/>
      <c r="I120" s="1758"/>
      <c r="J120" s="1759"/>
      <c r="K120" s="1750"/>
      <c r="L120" s="1751"/>
      <c r="M120" s="1751"/>
      <c r="N120" s="1754"/>
      <c r="P120" s="1566"/>
      <c r="Q120" s="1474"/>
      <c r="R120" s="1474"/>
      <c r="S120" s="1474"/>
      <c r="T120" s="1474"/>
      <c r="U120" s="1473"/>
    </row>
    <row r="121" spans="1:21" ht="15">
      <c r="A121" s="1755" t="s">
        <v>2166</v>
      </c>
      <c r="B121" s="1756"/>
      <c r="C121" s="1760"/>
      <c r="D121" s="1579"/>
      <c r="E121" s="1579"/>
      <c r="F121" s="1579"/>
      <c r="G121" s="1579"/>
      <c r="H121" s="1579"/>
      <c r="I121" s="1579"/>
      <c r="J121" s="1703"/>
      <c r="K121" s="1750"/>
      <c r="L121" s="1751"/>
      <c r="M121" s="1751"/>
      <c r="N121" s="1754"/>
      <c r="P121" s="1566"/>
      <c r="Q121" s="1474">
        <v>31867</v>
      </c>
      <c r="R121" s="1474">
        <v>31267</v>
      </c>
      <c r="S121" s="1474">
        <v>32294</v>
      </c>
      <c r="T121" s="1473">
        <f>IF(Province="BC",S121,IF(Province="AB",R121,Q121))</f>
        <v>31267</v>
      </c>
      <c r="U121" s="1475" t="str">
        <f>TEXT(T121,"$0,0")</f>
        <v>$31,267</v>
      </c>
    </row>
    <row r="122" spans="1:16" ht="22.5" customHeight="1" thickBot="1">
      <c r="A122" s="1775" t="s">
        <v>2162</v>
      </c>
      <c r="B122" s="1776"/>
      <c r="C122" s="1787"/>
      <c r="D122" s="1788"/>
      <c r="E122" s="1788"/>
      <c r="F122" s="1788"/>
      <c r="G122" s="1788"/>
      <c r="H122" s="1788"/>
      <c r="I122" s="1788"/>
      <c r="J122" s="1789"/>
      <c r="K122" s="1764"/>
      <c r="L122" s="1765"/>
      <c r="M122" s="1765"/>
      <c r="N122" s="1766"/>
      <c r="P122" s="1566"/>
    </row>
    <row r="123" spans="1:16" ht="15">
      <c r="A123" s="112"/>
      <c r="B123" s="112"/>
      <c r="C123" s="1271"/>
      <c r="D123" s="112"/>
      <c r="E123" s="112"/>
      <c r="F123" s="112"/>
      <c r="G123" s="112"/>
      <c r="H123" s="112"/>
      <c r="I123" s="112"/>
      <c r="J123" s="112"/>
      <c r="K123" s="112"/>
      <c r="L123" s="112"/>
      <c r="M123" s="112"/>
      <c r="N123" s="112"/>
      <c r="P123" s="1566"/>
    </row>
    <row r="124" spans="1:20" ht="15">
      <c r="A124" s="1273" t="str">
        <f>T124</f>
        <v>5009-S6</v>
      </c>
      <c r="B124" s="112"/>
      <c r="C124" s="1271"/>
      <c r="D124" s="112"/>
      <c r="E124" s="112"/>
      <c r="F124" s="112"/>
      <c r="G124" s="112"/>
      <c r="H124" s="112"/>
      <c r="I124" s="112"/>
      <c r="J124" s="112"/>
      <c r="K124" s="112"/>
      <c r="L124" s="112"/>
      <c r="M124" s="112"/>
      <c r="N124" s="112"/>
      <c r="P124" s="1566"/>
      <c r="Q124" s="1466" t="s">
        <v>698</v>
      </c>
      <c r="R124" s="1466" t="s">
        <v>359</v>
      </c>
      <c r="S124" s="1466" t="s">
        <v>360</v>
      </c>
      <c r="T124" s="1473" t="str">
        <f>IF(Province="BC",S124,IF(Province="AB",R124,Q124))</f>
        <v>5009-S6</v>
      </c>
    </row>
    <row r="125" spans="1:14" ht="15">
      <c r="A125" s="112"/>
      <c r="B125" s="112"/>
      <c r="C125" s="1271"/>
      <c r="D125" s="112"/>
      <c r="E125" s="112"/>
      <c r="F125" s="112"/>
      <c r="G125" s="112"/>
      <c r="H125" s="112"/>
      <c r="I125" s="112"/>
      <c r="J125" s="112"/>
      <c r="K125" s="112"/>
      <c r="L125" s="112"/>
      <c r="M125" s="112"/>
      <c r="N125" s="112"/>
    </row>
  </sheetData>
  <sheetProtection password="EC35" sheet="1" objects="1" scenarios="1"/>
  <mergeCells count="28">
    <mergeCell ref="P1:P124"/>
    <mergeCell ref="A111:B111"/>
    <mergeCell ref="C111:J111"/>
    <mergeCell ref="K111:N111"/>
    <mergeCell ref="C112:J112"/>
    <mergeCell ref="C113:J113"/>
    <mergeCell ref="A119:B119"/>
    <mergeCell ref="C119:J119"/>
    <mergeCell ref="C122:J122"/>
    <mergeCell ref="K112:N112"/>
    <mergeCell ref="K113:N113"/>
    <mergeCell ref="K119:N122"/>
    <mergeCell ref="A112:B112"/>
    <mergeCell ref="A113:B113"/>
    <mergeCell ref="A114:B114"/>
    <mergeCell ref="A115:B115"/>
    <mergeCell ref="A116:B116"/>
    <mergeCell ref="A117:B117"/>
    <mergeCell ref="A122:B122"/>
    <mergeCell ref="C114:J115"/>
    <mergeCell ref="K114:N115"/>
    <mergeCell ref="C116:J118"/>
    <mergeCell ref="K116:N118"/>
    <mergeCell ref="A120:B120"/>
    <mergeCell ref="A121:B121"/>
    <mergeCell ref="C120:J120"/>
    <mergeCell ref="C121:J121"/>
    <mergeCell ref="A118:B118"/>
  </mergeCells>
  <dataValidations count="1">
    <dataValidation type="list" allowBlank="1" showInputMessage="1" showErrorMessage="1" sqref="E21 E23 E54 E56 E52">
      <formula1>"X,'"</formula1>
    </dataValidation>
  </dataValidations>
  <printOptions/>
  <pageMargins left="0.35" right="0.35" top="0.35" bottom="0.35" header="0.5" footer="0.5"/>
  <pageSetup fitToHeight="0" fitToWidth="1" horizontalDpi="600" verticalDpi="600" orientation="portrait" scale="72" r:id="rId4"/>
  <rowBreaks count="1" manualBreakCount="1">
    <brk id="60" max="255" man="1"/>
  </rowBreaks>
  <drawing r:id="rId3"/>
  <legacyDrawing r:id="rId2"/>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K57"/>
  <sheetViews>
    <sheetView zoomScalePageLayoutView="0" workbookViewId="0" topLeftCell="A1">
      <selection activeCell="A1" sqref="A1"/>
    </sheetView>
  </sheetViews>
  <sheetFormatPr defaultColWidth="9.77734375" defaultRowHeight="15"/>
  <cols>
    <col min="1" max="1" width="32.77734375" style="579" customWidth="1"/>
    <col min="2" max="2" width="5.77734375" style="579" customWidth="1"/>
    <col min="3" max="3" width="12.77734375" style="579" customWidth="1"/>
    <col min="4" max="4" width="5.77734375" style="579" customWidth="1"/>
    <col min="5" max="5" width="12.77734375" style="579" customWidth="1"/>
    <col min="6" max="6" width="5.77734375" style="579" customWidth="1"/>
    <col min="7" max="7" width="12.77734375" style="579" customWidth="1"/>
    <col min="8" max="8" width="5.77734375" style="579" customWidth="1"/>
    <col min="9" max="9" width="12.77734375" style="579" customWidth="1"/>
    <col min="10" max="10" width="5.77734375" style="579" customWidth="1"/>
    <col min="11" max="16384" width="9.77734375" style="579" customWidth="1"/>
  </cols>
  <sheetData>
    <row r="1" spans="1:11" ht="23.25">
      <c r="A1" s="135" t="str">
        <f>"T1-"&amp;yeartext</f>
        <v>T1-2009</v>
      </c>
      <c r="B1" s="78"/>
      <c r="C1" s="78"/>
      <c r="D1" s="1279" t="s">
        <v>644</v>
      </c>
      <c r="E1" s="78"/>
      <c r="F1" s="78"/>
      <c r="G1" s="78"/>
      <c r="H1" s="78"/>
      <c r="I1" s="78"/>
      <c r="J1" s="1185" t="s">
        <v>645</v>
      </c>
      <c r="K1" s="1566" t="s">
        <v>35</v>
      </c>
    </row>
    <row r="2" spans="1:11" ht="23.25">
      <c r="A2" s="78"/>
      <c r="B2" s="78"/>
      <c r="C2" s="78"/>
      <c r="D2" s="1279" t="s">
        <v>1514</v>
      </c>
      <c r="E2" s="78"/>
      <c r="F2" s="78"/>
      <c r="G2" s="78"/>
      <c r="H2" s="78"/>
      <c r="I2" s="78"/>
      <c r="J2" s="78"/>
      <c r="K2" s="1566"/>
    </row>
    <row r="3" spans="1:11" ht="31.5" customHeight="1">
      <c r="A3" s="1396" t="s">
        <v>1867</v>
      </c>
      <c r="B3" s="78"/>
      <c r="C3" s="78"/>
      <c r="D3" s="78"/>
      <c r="E3" s="78"/>
      <c r="F3" s="78"/>
      <c r="G3" s="78"/>
      <c r="H3" s="78"/>
      <c r="I3" s="78"/>
      <c r="J3" s="796"/>
      <c r="K3" s="1566"/>
    </row>
    <row r="4" spans="1:11" ht="18" customHeight="1">
      <c r="A4" s="78" t="str">
        <f>"●"&amp;"  You will not be deducting on your return for "&amp;yeartext&amp;" all of the unused RRSP contributions (amount B) on your "&amp;CHAR(34)&amp;yeartext&amp;" RRSP"&amp;" Deduction"</f>
        <v>●  You will not be deducting on your return for 2009 all of the unused RRSP contributions (amount B) on your "2009 RRSP Deduction</v>
      </c>
      <c r="B4" s="78"/>
      <c r="C4" s="78"/>
      <c r="D4" s="78"/>
      <c r="E4" s="78"/>
      <c r="F4" s="78"/>
      <c r="G4" s="78"/>
      <c r="H4" s="78"/>
      <c r="I4" s="78"/>
      <c r="J4" s="78"/>
      <c r="K4" s="1566"/>
    </row>
    <row r="5" spans="1:11" ht="15">
      <c r="A5" s="80" t="s">
        <v>2498</v>
      </c>
      <c r="B5" s="775"/>
      <c r="C5" s="78"/>
      <c r="D5" s="78"/>
      <c r="E5" s="78"/>
      <c r="F5" s="78"/>
      <c r="G5" s="78"/>
      <c r="H5" s="78"/>
      <c r="I5" s="1112" t="str">
        <f>"for "&amp;yeartext</f>
        <v>for 2009</v>
      </c>
      <c r="J5" s="78"/>
      <c r="K5" s="1566"/>
    </row>
    <row r="6" spans="1:11" ht="17.25" customHeight="1">
      <c r="A6" s="78" t="str">
        <f>"●"&amp;"  You will not be deducting on your return for "&amp;yeartext&amp;" all of the RRSP contributions you made from"&amp;" March 3, "&amp;yeartext&amp;", to March 1, "&amp;nextyeartext&amp;"."</f>
        <v>●  You will not be deducting on your return for 2009 all of the RRSP contributions you made from March 3, 2009, to March 1, 2010.</v>
      </c>
      <c r="B6" s="78"/>
      <c r="C6" s="78"/>
      <c r="D6" s="78"/>
      <c r="E6" s="78"/>
      <c r="F6" s="78"/>
      <c r="G6" s="78"/>
      <c r="H6" s="78"/>
      <c r="I6" s="78"/>
      <c r="J6" s="78"/>
      <c r="K6" s="1566"/>
    </row>
    <row r="7" spans="1:11" ht="15">
      <c r="A7" s="78" t="s">
        <v>101</v>
      </c>
      <c r="B7" s="78"/>
      <c r="C7" s="78"/>
      <c r="D7" s="78"/>
      <c r="E7" s="78"/>
      <c r="F7" s="78"/>
      <c r="G7" s="78"/>
      <c r="H7" s="78"/>
      <c r="I7" s="78"/>
      <c r="J7" s="78"/>
      <c r="K7" s="1566"/>
    </row>
    <row r="8" spans="1:11" ht="20.25" customHeight="1">
      <c r="A8" s="78" t="str">
        <f>"●"&amp;"  You are designating contributions made to your RRSP as a "&amp;yeartext&amp;" repayment under the Home Buyers' Plan (HBP) or the Lifelong"</f>
        <v>●  You are designating contributions made to your RRSP as a 2009 repayment under the Home Buyers' Plan (HBP) or the Lifelong</v>
      </c>
      <c r="B8" s="78"/>
      <c r="C8" s="78"/>
      <c r="D8" s="78"/>
      <c r="E8" s="78"/>
      <c r="F8" s="78"/>
      <c r="G8" s="78"/>
      <c r="H8" s="78"/>
      <c r="I8" s="78"/>
      <c r="J8" s="78"/>
      <c r="K8" s="1566"/>
    </row>
    <row r="9" spans="1:11" ht="15">
      <c r="A9" s="78" t="s">
        <v>1827</v>
      </c>
      <c r="B9" s="78"/>
      <c r="C9" s="78"/>
      <c r="D9" s="78"/>
      <c r="E9" s="78"/>
      <c r="F9" s="78"/>
      <c r="G9" s="78"/>
      <c r="H9" s="78"/>
      <c r="I9" s="78"/>
      <c r="J9" s="78"/>
      <c r="K9" s="1566"/>
    </row>
    <row r="10" spans="1:11" ht="15">
      <c r="A10" s="78" t="str">
        <f>"●"&amp;"  You withdrew funds from your RRSP in "&amp;yeartext&amp;" under the HBP or the LLP."</f>
        <v>●  You withdrew funds from your RRSP in 2009 under the HBP or the LLP.</v>
      </c>
      <c r="B10" s="78"/>
      <c r="C10" s="78"/>
      <c r="D10" s="78"/>
      <c r="E10" s="78"/>
      <c r="F10" s="78"/>
      <c r="G10" s="78"/>
      <c r="H10" s="78"/>
      <c r="I10" s="78"/>
      <c r="J10" s="78"/>
      <c r="K10" s="1566"/>
    </row>
    <row r="11" spans="1:11" ht="24.75" customHeight="1">
      <c r="A11" s="95" t="s">
        <v>2421</v>
      </c>
      <c r="B11" s="78"/>
      <c r="C11" s="78"/>
      <c r="D11" s="78"/>
      <c r="E11" s="78"/>
      <c r="F11" s="78"/>
      <c r="G11" s="78"/>
      <c r="H11" s="78"/>
      <c r="I11" s="78"/>
      <c r="J11" s="78"/>
      <c r="K11" s="1566"/>
    </row>
    <row r="12" spans="1:11" ht="15.75">
      <c r="A12" s="95" t="s">
        <v>2422</v>
      </c>
      <c r="B12" s="78"/>
      <c r="C12" s="78"/>
      <c r="D12" s="78"/>
      <c r="E12" s="104"/>
      <c r="F12" s="78"/>
      <c r="G12" s="78"/>
      <c r="H12" s="78"/>
      <c r="I12" s="78"/>
      <c r="J12" s="79" t="s">
        <v>1828</v>
      </c>
      <c r="K12" s="1566"/>
    </row>
    <row r="13" spans="1:11" ht="15">
      <c r="A13" s="78" t="s">
        <v>1829</v>
      </c>
      <c r="B13" s="78"/>
      <c r="C13" s="78"/>
      <c r="D13" s="78"/>
      <c r="E13" s="78"/>
      <c r="F13" s="78"/>
      <c r="G13" s="78"/>
      <c r="H13" s="78"/>
      <c r="I13" s="78"/>
      <c r="J13" s="78"/>
      <c r="K13" s="1566"/>
    </row>
    <row r="14" spans="1:11" ht="25.5" customHeight="1">
      <c r="A14" s="802" t="s">
        <v>1868</v>
      </c>
      <c r="B14" s="78"/>
      <c r="C14" s="78"/>
      <c r="D14" s="78"/>
      <c r="E14" s="78"/>
      <c r="F14" s="78"/>
      <c r="G14" s="78"/>
      <c r="H14" s="78"/>
      <c r="I14" s="78"/>
      <c r="J14" s="78"/>
      <c r="K14" s="1566"/>
    </row>
    <row r="15" spans="1:11" ht="15.75">
      <c r="A15" s="95" t="s">
        <v>102</v>
      </c>
      <c r="B15" s="78"/>
      <c r="C15" s="78" t="str">
        <f>CHAR(34)&amp;yeartext&amp;" RRSP Deduction Limit Statement "&amp;CHAR(34)&amp;"  on"</f>
        <v>"2009 RRSP Deduction Limit Statement "  on</v>
      </c>
      <c r="D15" s="78"/>
      <c r="E15" s="78"/>
      <c r="F15" s="78"/>
      <c r="G15" s="78" t="s">
        <v>2488</v>
      </c>
      <c r="H15" s="78"/>
      <c r="I15" s="78"/>
      <c r="J15" s="78"/>
      <c r="K15" s="1566"/>
    </row>
    <row r="16" spans="1:11" ht="15.75">
      <c r="A16" s="143" t="s">
        <v>2489</v>
      </c>
      <c r="B16" s="143"/>
      <c r="C16" s="143"/>
      <c r="D16" s="141" t="str">
        <f>"RRSP Information for "&amp;yeartext</f>
        <v>RRSP Information for 2009</v>
      </c>
      <c r="E16" s="143"/>
      <c r="F16" s="143"/>
      <c r="G16" s="143"/>
      <c r="H16" s="78"/>
      <c r="I16" s="104"/>
      <c r="J16" s="155">
        <v>1</v>
      </c>
      <c r="K16" s="1566"/>
    </row>
    <row r="17" spans="1:11" ht="15.75">
      <c r="A17" s="142" t="s">
        <v>2490</v>
      </c>
      <c r="B17" s="142"/>
      <c r="C17" s="142"/>
      <c r="D17" s="142"/>
      <c r="E17" s="142"/>
      <c r="F17" s="142"/>
      <c r="G17" s="142"/>
      <c r="H17" s="78"/>
      <c r="I17" s="78"/>
      <c r="J17" s="155"/>
      <c r="K17" s="1566"/>
    </row>
    <row r="18" spans="1:11" ht="15.75">
      <c r="A18" s="1526" t="str">
        <f>"  March 3, "&amp;yeartext&amp;" to December 31, "&amp;yeartext&amp;" (attach all receipts)"</f>
        <v>  March 3, 2009 to December 31, 2009 (attach all receipts)</v>
      </c>
      <c r="B18" s="143"/>
      <c r="C18" s="143"/>
      <c r="D18" s="143"/>
      <c r="E18" s="143"/>
      <c r="F18" s="121"/>
      <c r="G18" s="104"/>
      <c r="H18" s="155">
        <v>2</v>
      </c>
      <c r="I18" s="78"/>
      <c r="J18" s="155"/>
      <c r="K18" s="1566"/>
    </row>
    <row r="19" spans="1:11" ht="16.5" thickBot="1">
      <c r="A19" s="1526" t="str">
        <f>"  January 1, "&amp;nextyeartext&amp;", to March 1, "&amp;nextyeartext&amp;" (attach all receipts)"</f>
        <v>  January 1, 2010, to March 1, 2010 (attach all receipts)</v>
      </c>
      <c r="B19" s="143"/>
      <c r="C19" s="143"/>
      <c r="D19" s="143"/>
      <c r="E19" s="143"/>
      <c r="F19" s="121"/>
      <c r="G19" s="690"/>
      <c r="H19" s="155">
        <v>3</v>
      </c>
      <c r="I19" s="78"/>
      <c r="J19" s="155"/>
      <c r="K19" s="1566"/>
    </row>
    <row r="20" spans="1:11" ht="16.5" thickBot="1">
      <c r="A20" s="143"/>
      <c r="B20" s="143"/>
      <c r="C20" s="143"/>
      <c r="D20" s="143"/>
      <c r="E20" s="150" t="s">
        <v>1721</v>
      </c>
      <c r="F20" s="4">
        <v>245</v>
      </c>
      <c r="G20" s="352">
        <f>+G18+G19</f>
        <v>0</v>
      </c>
      <c r="H20" s="1097" t="s">
        <v>1886</v>
      </c>
      <c r="I20" s="691">
        <f>+G20</f>
        <v>0</v>
      </c>
      <c r="J20" s="155">
        <v>4</v>
      </c>
      <c r="K20" s="1566"/>
    </row>
    <row r="21" spans="1:11" ht="15.75">
      <c r="A21" s="75"/>
      <c r="B21" s="75"/>
      <c r="C21" s="75"/>
      <c r="D21" s="75"/>
      <c r="E21" s="75"/>
      <c r="F21" s="75"/>
      <c r="G21" s="90" t="s">
        <v>2491</v>
      </c>
      <c r="H21" s="78"/>
      <c r="I21" s="352">
        <f>+I16+I20</f>
        <v>0</v>
      </c>
      <c r="J21" s="155">
        <v>5</v>
      </c>
      <c r="K21" s="1566"/>
    </row>
    <row r="22" spans="1:11" ht="33" customHeight="1">
      <c r="A22" s="1791" t="s">
        <v>2492</v>
      </c>
      <c r="B22" s="1678"/>
      <c r="C22" s="1678"/>
      <c r="D22" s="1678"/>
      <c r="E22" s="1678"/>
      <c r="F22" s="1678"/>
      <c r="G22" s="1678"/>
      <c r="H22" s="78"/>
      <c r="I22" s="698"/>
      <c r="J22" s="155"/>
      <c r="K22" s="1566"/>
    </row>
    <row r="23" spans="1:11" ht="24.75" customHeight="1">
      <c r="A23" s="798" t="s">
        <v>901</v>
      </c>
      <c r="B23" s="121"/>
      <c r="C23" s="121"/>
      <c r="D23" s="121"/>
      <c r="E23" s="121"/>
      <c r="F23" s="78"/>
      <c r="G23" s="78"/>
      <c r="H23" s="78"/>
      <c r="I23" s="78"/>
      <c r="J23" s="113"/>
      <c r="K23" s="1566"/>
    </row>
    <row r="24" spans="1:11" ht="15.75">
      <c r="A24" s="121" t="str">
        <f>"Contributions made to your RRSP from January 1, "&amp;yeartext&amp;", to March 1, "&amp;nextyeartext&amp;", that you are designating as your"</f>
        <v>Contributions made to your RRSP from January 1, 2009, to March 1, 2010, that you are designating as your</v>
      </c>
      <c r="B24" s="121"/>
      <c r="C24" s="121"/>
      <c r="D24" s="121"/>
      <c r="E24" s="121"/>
      <c r="F24" s="78"/>
      <c r="G24" s="78"/>
      <c r="H24" s="78"/>
      <c r="I24" s="78"/>
      <c r="J24" s="113"/>
      <c r="K24" s="1566"/>
    </row>
    <row r="25" spans="1:11" ht="15.75">
      <c r="A25" s="121" t="str">
        <f>"repayments under the HBP and LLP for "&amp;yeartext&amp;".  "</f>
        <v>repayments under the HBP and LLP for 2009.  </v>
      </c>
      <c r="B25" s="121"/>
      <c r="C25" s="121" t="s">
        <v>107</v>
      </c>
      <c r="D25" s="121"/>
      <c r="E25" s="121"/>
      <c r="F25" s="78"/>
      <c r="G25" s="78"/>
      <c r="H25" s="78"/>
      <c r="I25" s="78"/>
      <c r="J25" s="113"/>
      <c r="K25" s="1566"/>
    </row>
    <row r="26" spans="1:11" ht="15.75">
      <c r="A26" s="121" t="str">
        <f>"repayment on your "&amp;lastyeartext&amp;" return, or that was refunded to you.  "</f>
        <v>repayment on your 2008 return, or that was refunded to you.  </v>
      </c>
      <c r="B26" s="121"/>
      <c r="C26" s="121"/>
      <c r="D26" s="121" t="s">
        <v>507</v>
      </c>
      <c r="E26" s="121"/>
      <c r="F26" s="78"/>
      <c r="G26" s="78"/>
      <c r="H26" s="78"/>
      <c r="I26" s="78"/>
      <c r="J26" s="113"/>
      <c r="K26" s="1566"/>
    </row>
    <row r="27" spans="1:11" ht="16.5" customHeight="1">
      <c r="A27" s="797" t="s">
        <v>661</v>
      </c>
      <c r="B27" s="121"/>
      <c r="C27" s="121"/>
      <c r="D27" s="121"/>
      <c r="E27" s="121"/>
      <c r="F27" s="78"/>
      <c r="G27" s="78"/>
      <c r="H27" s="78"/>
      <c r="I27" s="78"/>
      <c r="J27" s="113"/>
      <c r="K27" s="1566"/>
    </row>
    <row r="28" spans="1:11" ht="21" customHeight="1">
      <c r="A28" s="96" t="s">
        <v>1739</v>
      </c>
      <c r="B28" s="75"/>
      <c r="C28" s="75"/>
      <c r="D28" s="75"/>
      <c r="E28" s="75"/>
      <c r="F28" s="4">
        <v>246</v>
      </c>
      <c r="G28" s="104"/>
      <c r="H28" s="155">
        <v>6</v>
      </c>
      <c r="I28" s="78"/>
      <c r="J28" s="113"/>
      <c r="K28" s="1566"/>
    </row>
    <row r="29" spans="1:11" ht="16.5" thickBot="1">
      <c r="A29" s="94" t="s">
        <v>1740</v>
      </c>
      <c r="B29" s="76"/>
      <c r="C29" s="76"/>
      <c r="D29" s="76"/>
      <c r="E29" s="76"/>
      <c r="F29" s="4">
        <v>262</v>
      </c>
      <c r="G29" s="690"/>
      <c r="H29" s="155">
        <v>7</v>
      </c>
      <c r="I29" s="78"/>
      <c r="J29" s="113"/>
      <c r="K29" s="1566"/>
    </row>
    <row r="30" spans="1:11" ht="16.5" thickBot="1">
      <c r="A30" s="76"/>
      <c r="B30" s="76"/>
      <c r="C30" s="76"/>
      <c r="D30" s="76"/>
      <c r="E30" s="89" t="s">
        <v>590</v>
      </c>
      <c r="F30" s="78"/>
      <c r="G30" s="750">
        <f>G28+G29</f>
        <v>0</v>
      </c>
      <c r="H30" s="1097" t="s">
        <v>1886</v>
      </c>
      <c r="I30" s="691">
        <f>G30</f>
        <v>0</v>
      </c>
      <c r="J30" s="155">
        <v>8</v>
      </c>
      <c r="K30" s="1566"/>
    </row>
    <row r="31" spans="1:11" ht="6.75" customHeight="1">
      <c r="A31" s="121"/>
      <c r="B31" s="121"/>
      <c r="C31" s="121"/>
      <c r="D31" s="121"/>
      <c r="E31" s="101"/>
      <c r="F31" s="121"/>
      <c r="G31" s="78"/>
      <c r="H31" s="78"/>
      <c r="I31" s="78"/>
      <c r="J31" s="155"/>
      <c r="K31" s="1566"/>
    </row>
    <row r="32" spans="1:11" ht="18">
      <c r="A32" s="798" t="s">
        <v>663</v>
      </c>
      <c r="B32" s="121"/>
      <c r="C32" s="121"/>
      <c r="D32" s="121"/>
      <c r="E32" s="101"/>
      <c r="F32" s="121"/>
      <c r="G32" s="78"/>
      <c r="H32" s="78"/>
      <c r="I32" s="78"/>
      <c r="J32" s="155"/>
      <c r="K32" s="1566"/>
    </row>
    <row r="33" spans="1:11" ht="15.75">
      <c r="A33" s="75" t="s">
        <v>2493</v>
      </c>
      <c r="B33" s="75"/>
      <c r="C33" s="75"/>
      <c r="D33" s="75"/>
      <c r="E33" s="75"/>
      <c r="F33" s="75"/>
      <c r="G33" s="90" t="s">
        <v>662</v>
      </c>
      <c r="H33" s="78"/>
      <c r="I33" s="352">
        <f>I21-I30</f>
        <v>0</v>
      </c>
      <c r="J33" s="155">
        <v>9</v>
      </c>
      <c r="K33" s="1566"/>
    </row>
    <row r="34" spans="1:11" ht="15.75">
      <c r="A34" s="121" t="str">
        <f>"RRSP contributions you are deducting for "&amp;yeartext&amp;" (not to exceed the lesser of the amount on"</f>
        <v>RRSP contributions you are deducting for 2009 (not to exceed the lesser of the amount on</v>
      </c>
      <c r="B34" s="121"/>
      <c r="C34" s="121"/>
      <c r="D34" s="121"/>
      <c r="E34" s="121"/>
      <c r="F34" s="78"/>
      <c r="G34" s="79"/>
      <c r="H34" s="78"/>
      <c r="I34" s="78"/>
      <c r="J34" s="155"/>
      <c r="K34" s="1566"/>
    </row>
    <row r="35" spans="1:11" ht="15.75">
      <c r="A35" s="121" t="s">
        <v>103</v>
      </c>
      <c r="B35" s="121"/>
      <c r="C35" s="121"/>
      <c r="D35" s="121" t="str">
        <f>yeartext&amp;" amount (A) of your"</f>
        <v>2009 amount (A) of your</v>
      </c>
      <c r="E35" s="121"/>
      <c r="F35" s="78"/>
      <c r="G35" s="78"/>
      <c r="H35" s="78"/>
      <c r="I35" s="78"/>
      <c r="J35" s="113"/>
      <c r="K35" s="1566"/>
    </row>
    <row r="36" spans="1:11" ht="15.75">
      <c r="A36" s="121" t="str">
        <f>CHAR(34)&amp;yeartext&amp;" RRSP Deduction Limit Statement"&amp;CHAR(34)</f>
        <v>"2009 RRSP Deduction Limit Statement"</v>
      </c>
      <c r="B36" s="121" t="s">
        <v>2499</v>
      </c>
      <c r="C36" s="121"/>
      <c r="D36" s="121"/>
      <c r="E36" s="121"/>
      <c r="F36" s="78"/>
      <c r="G36" s="78"/>
      <c r="H36" s="78"/>
      <c r="I36" s="78"/>
      <c r="J36" s="113"/>
      <c r="K36" s="1566"/>
    </row>
    <row r="37" spans="1:11" ht="15.75">
      <c r="A37" s="143" t="s">
        <v>2494</v>
      </c>
      <c r="B37" s="143"/>
      <c r="C37" s="141" t="str">
        <f>"RRSP Information for "&amp;yeartext&amp;")"</f>
        <v>RRSP Information for 2009)</v>
      </c>
      <c r="D37" s="143"/>
      <c r="E37" s="143"/>
      <c r="F37" s="78"/>
      <c r="G37" s="104">
        <f>I33</f>
        <v>0</v>
      </c>
      <c r="H37" s="155">
        <v>10</v>
      </c>
      <c r="I37" s="78"/>
      <c r="J37" s="113"/>
      <c r="K37" s="1566"/>
    </row>
    <row r="38" spans="1:11" ht="20.25" customHeight="1" thickBot="1">
      <c r="A38" s="1527" t="s">
        <v>1663</v>
      </c>
      <c r="B38" s="121"/>
      <c r="C38" s="121"/>
      <c r="D38" s="121"/>
      <c r="E38" s="121"/>
      <c r="F38" s="4">
        <v>240</v>
      </c>
      <c r="G38" s="690"/>
      <c r="H38" s="155">
        <v>11</v>
      </c>
      <c r="I38" s="78"/>
      <c r="J38" s="113"/>
      <c r="K38" s="1566"/>
    </row>
    <row r="39" spans="1:11" ht="15.75">
      <c r="A39" s="144"/>
      <c r="B39" s="144"/>
      <c r="C39" s="144"/>
      <c r="D39" s="144"/>
      <c r="E39" s="151" t="s">
        <v>104</v>
      </c>
      <c r="F39" s="142"/>
      <c r="G39" s="352">
        <f>+G37+G38</f>
        <v>0</v>
      </c>
      <c r="H39" s="155">
        <v>12</v>
      </c>
      <c r="I39" s="78"/>
      <c r="J39" s="113"/>
      <c r="K39" s="1566"/>
    </row>
    <row r="40" spans="1:11" ht="15.75">
      <c r="A40" s="145" t="str">
        <f>yeartext&amp;" RRSP deduction:  "</f>
        <v>2009 RRSP deduction:  </v>
      </c>
      <c r="B40" s="142" t="s">
        <v>105</v>
      </c>
      <c r="C40" s="142"/>
      <c r="D40" s="142"/>
      <c r="E40" s="152"/>
      <c r="F40" s="121"/>
      <c r="G40" s="78"/>
      <c r="H40" s="106"/>
      <c r="I40" s="78"/>
      <c r="J40" s="113"/>
      <c r="K40" s="1566"/>
    </row>
    <row r="41" spans="1:11" ht="15.75">
      <c r="A41" s="146"/>
      <c r="B41" s="799" t="s">
        <v>615</v>
      </c>
      <c r="C41" s="146"/>
      <c r="D41" s="143"/>
      <c r="E41" s="146"/>
      <c r="F41" s="143"/>
      <c r="G41" s="75"/>
      <c r="H41" s="156">
        <v>208</v>
      </c>
      <c r="I41" s="619">
        <f>+MINA(I33,G39)</f>
        <v>0</v>
      </c>
      <c r="J41" s="155">
        <v>13</v>
      </c>
      <c r="K41" s="1566"/>
    </row>
    <row r="42" spans="1:11" ht="26.25" customHeight="1">
      <c r="A42" s="800" t="s">
        <v>1664</v>
      </c>
      <c r="B42" s="142"/>
      <c r="C42" s="142"/>
      <c r="D42" s="142"/>
      <c r="E42" s="147"/>
      <c r="F42" s="142"/>
      <c r="G42" s="78"/>
      <c r="H42" s="78"/>
      <c r="I42" s="78"/>
      <c r="J42" s="155"/>
      <c r="K42" s="1566"/>
    </row>
    <row r="43" spans="1:11" ht="19.5" customHeight="1">
      <c r="A43" s="801" t="s">
        <v>106</v>
      </c>
      <c r="B43" s="143"/>
      <c r="C43" s="143"/>
      <c r="D43" s="143"/>
      <c r="E43" s="143"/>
      <c r="F43" s="143"/>
      <c r="G43" s="150"/>
      <c r="H43" s="78"/>
      <c r="I43" s="352">
        <f>I33-I41</f>
        <v>0</v>
      </c>
      <c r="J43" s="155">
        <v>14</v>
      </c>
      <c r="K43" s="1566"/>
    </row>
    <row r="44" spans="1:11" ht="15.75">
      <c r="A44" s="78"/>
      <c r="B44" s="78"/>
      <c r="C44" s="78"/>
      <c r="D44" s="78"/>
      <c r="E44" s="78"/>
      <c r="F44" s="78"/>
      <c r="G44" s="79"/>
      <c r="H44" s="78"/>
      <c r="I44" s="79" t="s">
        <v>2168</v>
      </c>
      <c r="J44" s="78"/>
      <c r="K44" s="1566"/>
    </row>
    <row r="45" spans="1:11" ht="12.75" customHeight="1">
      <c r="A45" s="78"/>
      <c r="B45" s="78"/>
      <c r="C45" s="78"/>
      <c r="D45" s="78"/>
      <c r="E45" s="78"/>
      <c r="F45" s="78"/>
      <c r="G45" s="78"/>
      <c r="H45" s="78"/>
      <c r="I45" s="79" t="str">
        <f>CHAR(34)&amp;nextyeartext&amp;" RRSP Deduction Limit Statement"&amp;CHAR(34)&amp;" on your "&amp;yeartext&amp;" notice of assessment."</f>
        <v>"2010 RRSP Deduction Limit Statement" on your 2009 notice of assessment.</v>
      </c>
      <c r="J45" s="78"/>
      <c r="K45" s="1566"/>
    </row>
    <row r="46" spans="1:11" ht="9.75" customHeight="1">
      <c r="A46" s="78"/>
      <c r="B46" s="78"/>
      <c r="C46" s="78"/>
      <c r="D46" s="78"/>
      <c r="E46" s="79"/>
      <c r="F46" s="78"/>
      <c r="G46" s="79"/>
      <c r="H46" s="155"/>
      <c r="I46" s="78"/>
      <c r="J46" s="78"/>
      <c r="K46" s="1566"/>
    </row>
    <row r="47" spans="1:11" ht="18">
      <c r="A47" s="118" t="str">
        <f>"PART E - "&amp;yeartext&amp;" withdrawals under the HBP and the LLP"</f>
        <v>PART E - 2009 withdrawals under the HBP and the LLP</v>
      </c>
      <c r="B47" s="82"/>
      <c r="C47" s="82"/>
      <c r="D47" s="82"/>
      <c r="E47" s="102"/>
      <c r="F47" s="82"/>
      <c r="G47" s="102"/>
      <c r="H47" s="157"/>
      <c r="I47" s="137"/>
      <c r="J47" s="78"/>
      <c r="K47" s="1566"/>
    </row>
    <row r="48" spans="1:11" ht="6" customHeight="1">
      <c r="A48" s="699"/>
      <c r="B48" s="121"/>
      <c r="C48" s="121"/>
      <c r="D48" s="121"/>
      <c r="E48" s="101"/>
      <c r="F48" s="121"/>
      <c r="G48" s="101"/>
      <c r="H48" s="158"/>
      <c r="I48" s="138"/>
      <c r="J48" s="78"/>
      <c r="K48" s="1566"/>
    </row>
    <row r="49" spans="1:11" ht="15.75">
      <c r="A49" s="122" t="str">
        <f>"HBP: enter the amount from box 27 of all your "&amp;yeartext&amp;" T4RSP slips"</f>
        <v>HBP: enter the amount from box 27 of all your 2009 T4RSP slips</v>
      </c>
      <c r="B49" s="75"/>
      <c r="C49" s="75"/>
      <c r="D49" s="75"/>
      <c r="E49" s="90"/>
      <c r="F49" s="65">
        <v>247</v>
      </c>
      <c r="G49" s="352">
        <f>MISC!L73</f>
        <v>0</v>
      </c>
      <c r="H49" s="158">
        <v>15</v>
      </c>
      <c r="I49" s="138"/>
      <c r="J49" s="78"/>
      <c r="K49" s="1566"/>
    </row>
    <row r="50" spans="1:11" ht="15.75">
      <c r="A50" s="120" t="s">
        <v>2495</v>
      </c>
      <c r="B50" s="121"/>
      <c r="C50" s="121"/>
      <c r="D50" s="121"/>
      <c r="E50" s="101"/>
      <c r="F50" s="121"/>
      <c r="G50" s="101"/>
      <c r="H50" s="158"/>
      <c r="I50" s="138"/>
      <c r="J50" s="78"/>
      <c r="K50" s="1566"/>
    </row>
    <row r="51" spans="1:11" ht="15.75" customHeight="1">
      <c r="A51" s="122" t="s">
        <v>2500</v>
      </c>
      <c r="B51" s="75"/>
      <c r="C51" s="75"/>
      <c r="D51" s="75"/>
      <c r="E51" s="90"/>
      <c r="F51" s="65">
        <v>259</v>
      </c>
      <c r="G51" s="555" t="s">
        <v>1019</v>
      </c>
      <c r="H51" s="158">
        <v>16</v>
      </c>
      <c r="I51" s="138"/>
      <c r="J51" s="78"/>
      <c r="K51" s="1566"/>
    </row>
    <row r="52" spans="1:11" ht="9.75" customHeight="1">
      <c r="A52" s="699"/>
      <c r="B52" s="121"/>
      <c r="C52" s="121"/>
      <c r="D52" s="121"/>
      <c r="E52" s="101"/>
      <c r="F52" s="121"/>
      <c r="G52" s="101"/>
      <c r="H52" s="158"/>
      <c r="I52" s="138"/>
      <c r="J52" s="78"/>
      <c r="K52" s="1566"/>
    </row>
    <row r="53" spans="1:11" ht="15.75">
      <c r="A53" s="149" t="str">
        <f>"LLP: enter the amount from box 25 of all your "&amp;yeartext&amp;" T4RSP slips."</f>
        <v>LLP: enter the amount from box 25 of all your 2009 T4RSP slips.</v>
      </c>
      <c r="B53" s="143"/>
      <c r="C53" s="143"/>
      <c r="D53" s="143"/>
      <c r="E53" s="143"/>
      <c r="F53" s="65">
        <v>263</v>
      </c>
      <c r="G53" s="352">
        <f>MISC!L74</f>
        <v>0</v>
      </c>
      <c r="H53" s="158">
        <v>17</v>
      </c>
      <c r="I53" s="138"/>
      <c r="J53" s="106"/>
      <c r="K53" s="1566"/>
    </row>
    <row r="54" spans="1:11" ht="15.75">
      <c r="A54" s="120" t="s">
        <v>2496</v>
      </c>
      <c r="B54" s="121"/>
      <c r="C54" s="121"/>
      <c r="D54" s="121"/>
      <c r="E54" s="121"/>
      <c r="F54" s="121"/>
      <c r="G54" s="101"/>
      <c r="H54" s="121"/>
      <c r="I54" s="138"/>
      <c r="J54" s="106"/>
      <c r="K54" s="1566"/>
    </row>
    <row r="55" spans="1:11" ht="15.75" customHeight="1">
      <c r="A55" s="149" t="s">
        <v>2497</v>
      </c>
      <c r="B55" s="143"/>
      <c r="C55" s="143"/>
      <c r="D55" s="143"/>
      <c r="E55" s="143"/>
      <c r="F55" s="65">
        <v>264</v>
      </c>
      <c r="G55" s="555" t="s">
        <v>1019</v>
      </c>
      <c r="H55" s="158">
        <v>18</v>
      </c>
      <c r="I55" s="138"/>
      <c r="J55" s="78"/>
      <c r="K55" s="1566"/>
    </row>
    <row r="56" spans="1:11" ht="15">
      <c r="A56" s="122"/>
      <c r="B56" s="75"/>
      <c r="C56" s="75"/>
      <c r="D56" s="75"/>
      <c r="E56" s="75"/>
      <c r="F56" s="75"/>
      <c r="G56" s="75"/>
      <c r="H56" s="75"/>
      <c r="I56" s="140"/>
      <c r="J56" s="78"/>
      <c r="K56" s="1566"/>
    </row>
    <row r="57" spans="1:11" ht="15">
      <c r="A57" s="78" t="s">
        <v>61</v>
      </c>
      <c r="B57" s="78"/>
      <c r="C57" s="78"/>
      <c r="D57" s="78"/>
      <c r="E57" s="78"/>
      <c r="F57" s="78"/>
      <c r="G57" s="78"/>
      <c r="H57" s="78"/>
      <c r="I57" s="115"/>
      <c r="J57" s="78"/>
      <c r="K57" s="1566"/>
    </row>
  </sheetData>
  <sheetProtection password="EC35" sheet="1" objects="1" scenarios="1"/>
  <mergeCells count="2">
    <mergeCell ref="A22:G22"/>
    <mergeCell ref="K1:K57"/>
  </mergeCells>
  <dataValidations count="1">
    <dataValidation type="list" showInputMessage="1" showErrorMessage="1" sqref="G55 G51">
      <formula1>"X,','"</formula1>
    </dataValidation>
  </dataValidations>
  <printOptions horizontalCentered="1"/>
  <pageMargins left="0.15748031496062992" right="0.15748031496062992" top="0.31496062992125984" bottom="0.31496062992125984" header="0.31496062992125984" footer="0.31496062992125984"/>
  <pageSetup fitToHeight="0" fitToWidth="1" horizontalDpi="600" verticalDpi="600" orientation="portrait" scale="75" r:id="rId3"/>
  <rowBreaks count="1" manualBreakCount="1">
    <brk id="57" max="255" man="1"/>
  </rowBreaks>
  <legacyDrawing r:id="rId2"/>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K32"/>
  <sheetViews>
    <sheetView zoomScalePageLayoutView="0" workbookViewId="0" topLeftCell="A1">
      <selection activeCell="A1" sqref="A1"/>
    </sheetView>
  </sheetViews>
  <sheetFormatPr defaultColWidth="9.77734375" defaultRowHeight="15"/>
  <cols>
    <col min="1" max="1" width="26.77734375" style="579" customWidth="1"/>
    <col min="2" max="2" width="5.77734375" style="579" customWidth="1"/>
    <col min="3" max="3" width="12.77734375" style="579" customWidth="1"/>
    <col min="4" max="4" width="5.77734375" style="579" customWidth="1"/>
    <col min="5" max="5" width="12.77734375" style="579" customWidth="1"/>
    <col min="6" max="6" width="5.77734375" style="579" customWidth="1"/>
    <col min="7" max="7" width="12.77734375" style="579" customWidth="1"/>
    <col min="8" max="8" width="5.3359375" style="579" customWidth="1"/>
    <col min="9" max="9" width="12.77734375" style="579" customWidth="1"/>
    <col min="10" max="10" width="5.77734375" style="579" customWidth="1"/>
    <col min="11" max="16384" width="9.77734375" style="579" customWidth="1"/>
  </cols>
  <sheetData>
    <row r="1" spans="1:11" ht="23.25">
      <c r="A1" s="74" t="str">
        <f>"T1-"&amp;yeartext</f>
        <v>T1-2009</v>
      </c>
      <c r="B1" s="78"/>
      <c r="C1" s="202"/>
      <c r="D1" s="1255" t="s">
        <v>147</v>
      </c>
      <c r="E1" s="78"/>
      <c r="F1" s="78"/>
      <c r="G1" s="78"/>
      <c r="H1" s="78"/>
      <c r="I1" s="78"/>
      <c r="J1" s="1185" t="s">
        <v>407</v>
      </c>
      <c r="K1" s="1566" t="s">
        <v>35</v>
      </c>
    </row>
    <row r="2" spans="1:11" ht="20.25">
      <c r="A2" s="78"/>
      <c r="B2" s="78"/>
      <c r="C2" s="202"/>
      <c r="D2" s="1255" t="s">
        <v>408</v>
      </c>
      <c r="E2" s="78"/>
      <c r="F2" s="78"/>
      <c r="G2" s="78"/>
      <c r="H2" s="78"/>
      <c r="I2" s="78"/>
      <c r="J2" s="78"/>
      <c r="K2" s="1566"/>
    </row>
    <row r="3" spans="1:11" ht="15">
      <c r="A3" s="78"/>
      <c r="B3" s="78"/>
      <c r="C3" s="78"/>
      <c r="D3" s="78"/>
      <c r="E3" s="78"/>
      <c r="F3" s="78"/>
      <c r="G3" s="78"/>
      <c r="H3" s="78"/>
      <c r="I3" s="78"/>
      <c r="J3" s="78"/>
      <c r="K3" s="1566"/>
    </row>
    <row r="4" spans="1:11" ht="15">
      <c r="A4" s="78" t="s">
        <v>409</v>
      </c>
      <c r="B4" s="78"/>
      <c r="C4" s="78"/>
      <c r="D4" s="78"/>
      <c r="E4" s="78"/>
      <c r="F4" s="78"/>
      <c r="G4" s="78"/>
      <c r="H4" s="78"/>
      <c r="I4" s="78"/>
      <c r="J4" s="78"/>
      <c r="K4" s="1566"/>
    </row>
    <row r="5" spans="1:11" ht="15">
      <c r="A5" s="78" t="s">
        <v>508</v>
      </c>
      <c r="B5" s="78"/>
      <c r="C5" s="78"/>
      <c r="D5" s="78"/>
      <c r="E5" s="78"/>
      <c r="F5" s="78"/>
      <c r="G5" s="78"/>
      <c r="H5" s="78"/>
      <c r="I5" s="78"/>
      <c r="J5" s="78"/>
      <c r="K5" s="1566"/>
    </row>
    <row r="6" spans="1:11" ht="15">
      <c r="A6" s="78" t="s">
        <v>509</v>
      </c>
      <c r="B6" s="78"/>
      <c r="C6" s="78"/>
      <c r="D6" s="78"/>
      <c r="E6" s="78"/>
      <c r="F6" s="78"/>
      <c r="G6" s="78"/>
      <c r="H6" s="78"/>
      <c r="I6" s="78"/>
      <c r="J6" s="78"/>
      <c r="K6" s="1566"/>
    </row>
    <row r="7" spans="1:11" ht="15">
      <c r="A7" s="78" t="s">
        <v>510</v>
      </c>
      <c r="B7" s="78"/>
      <c r="C7" s="78"/>
      <c r="D7" s="78"/>
      <c r="E7" s="78"/>
      <c r="F7" s="78"/>
      <c r="G7" s="78"/>
      <c r="H7" s="78"/>
      <c r="I7" s="78"/>
      <c r="J7" s="78"/>
      <c r="K7" s="1566"/>
    </row>
    <row r="8" spans="1:11" ht="15">
      <c r="A8" s="78"/>
      <c r="B8" s="78"/>
      <c r="C8" s="78"/>
      <c r="D8" s="78"/>
      <c r="E8" s="78"/>
      <c r="F8" s="78"/>
      <c r="G8" s="78"/>
      <c r="H8" s="78"/>
      <c r="I8" s="78"/>
      <c r="J8" s="78"/>
      <c r="K8" s="1566"/>
    </row>
    <row r="9" spans="1:11" ht="34.5" customHeight="1">
      <c r="A9" s="1396" t="s">
        <v>616</v>
      </c>
      <c r="B9" s="78"/>
      <c r="C9" s="78"/>
      <c r="D9" s="78"/>
      <c r="E9" s="78"/>
      <c r="F9" s="78"/>
      <c r="G9" s="78"/>
      <c r="H9" s="78"/>
      <c r="I9" s="78"/>
      <c r="J9" s="78"/>
      <c r="K9" s="1566"/>
    </row>
    <row r="10" spans="1:11" ht="15">
      <c r="A10" s="78" t="s">
        <v>2126</v>
      </c>
      <c r="B10" s="78"/>
      <c r="C10" s="78"/>
      <c r="D10" s="78"/>
      <c r="E10" s="78"/>
      <c r="F10" s="78"/>
      <c r="G10" s="78"/>
      <c r="H10" s="78"/>
      <c r="I10" s="78"/>
      <c r="J10" s="78"/>
      <c r="K10" s="1566"/>
    </row>
    <row r="11" spans="1:11" ht="15.75">
      <c r="A11" s="143" t="s">
        <v>2127</v>
      </c>
      <c r="B11" s="143"/>
      <c r="C11" s="143"/>
      <c r="D11" s="143"/>
      <c r="E11" s="143"/>
      <c r="F11" s="143"/>
      <c r="G11" s="143"/>
      <c r="H11" s="78"/>
      <c r="I11" s="917">
        <f>IF(age&lt;70,'T1 GEN-2-3-4'!I26+SUM('T1 GEN-2-3-4'!I34:I38),)</f>
        <v>0</v>
      </c>
      <c r="J11" s="155">
        <v>1</v>
      </c>
      <c r="K11" s="1566"/>
    </row>
    <row r="12" spans="1:11" ht="15.75">
      <c r="A12" s="78" t="s">
        <v>65</v>
      </c>
      <c r="B12" s="78"/>
      <c r="C12" s="78"/>
      <c r="D12" s="78"/>
      <c r="E12" s="78"/>
      <c r="F12" s="78"/>
      <c r="G12" s="78"/>
      <c r="H12" s="78"/>
      <c r="I12" s="78"/>
      <c r="J12" s="113"/>
      <c r="K12" s="1566"/>
    </row>
    <row r="13" spans="1:11" ht="16.5" thickBot="1">
      <c r="A13" s="143" t="s">
        <v>2083</v>
      </c>
      <c r="B13" s="143"/>
      <c r="C13" s="143"/>
      <c r="D13" s="143"/>
      <c r="E13" s="143"/>
      <c r="F13" s="143"/>
      <c r="G13" s="143"/>
      <c r="H13" s="5">
        <v>373</v>
      </c>
      <c r="I13" s="693"/>
      <c r="J13" s="155">
        <v>2</v>
      </c>
      <c r="K13" s="1566"/>
    </row>
    <row r="14" spans="1:11" ht="15.75">
      <c r="A14" s="150"/>
      <c r="B14" s="143"/>
      <c r="C14" s="143"/>
      <c r="D14" s="143"/>
      <c r="E14" s="150"/>
      <c r="F14" s="150"/>
      <c r="G14" s="150" t="s">
        <v>1770</v>
      </c>
      <c r="H14" s="78"/>
      <c r="I14" s="352">
        <f>MAXA(0,I11+I13)</f>
        <v>0</v>
      </c>
      <c r="J14" s="155">
        <v>3</v>
      </c>
      <c r="K14" s="1566"/>
    </row>
    <row r="15" spans="1:11" ht="15.75">
      <c r="A15" s="78" t="s">
        <v>1989</v>
      </c>
      <c r="B15" s="78"/>
      <c r="C15" s="78"/>
      <c r="D15" s="78"/>
      <c r="E15" s="78"/>
      <c r="F15" s="78"/>
      <c r="G15" s="78"/>
      <c r="H15" s="101"/>
      <c r="I15" s="78"/>
      <c r="J15" s="155"/>
      <c r="K15" s="1566"/>
    </row>
    <row r="16" spans="1:11" ht="16.5" thickBot="1">
      <c r="A16" s="143" t="s">
        <v>2128</v>
      </c>
      <c r="B16" s="143"/>
      <c r="C16" s="143"/>
      <c r="D16" s="143"/>
      <c r="E16" s="143"/>
      <c r="F16" s="150"/>
      <c r="G16" s="150"/>
      <c r="H16" s="78"/>
      <c r="I16" s="691">
        <f>MISC!L75</f>
        <v>0</v>
      </c>
      <c r="J16" s="155">
        <v>4</v>
      </c>
      <c r="K16" s="1566"/>
    </row>
    <row r="17" spans="1:11" ht="15.75">
      <c r="A17" s="143"/>
      <c r="B17" s="143"/>
      <c r="C17" s="143"/>
      <c r="D17" s="143"/>
      <c r="E17" s="143"/>
      <c r="F17" s="150"/>
      <c r="G17" s="150" t="s">
        <v>2129</v>
      </c>
      <c r="H17" s="78"/>
      <c r="I17" s="352">
        <f>I14+I16</f>
        <v>0</v>
      </c>
      <c r="J17" s="155">
        <v>5</v>
      </c>
      <c r="K17" s="1566"/>
    </row>
    <row r="18" spans="1:11" ht="16.5" thickBot="1">
      <c r="A18" s="143" t="s">
        <v>1342</v>
      </c>
      <c r="B18" s="143"/>
      <c r="C18" s="143"/>
      <c r="D18" s="143"/>
      <c r="E18" s="143"/>
      <c r="F18" s="150"/>
      <c r="G18" s="143"/>
      <c r="H18" s="78"/>
      <c r="I18" s="688">
        <v>3500</v>
      </c>
      <c r="J18" s="155">
        <v>6</v>
      </c>
      <c r="K18" s="1566"/>
    </row>
    <row r="19" spans="1:11" ht="15.75">
      <c r="A19" s="78"/>
      <c r="B19" s="78"/>
      <c r="C19" s="78"/>
      <c r="D19" s="78"/>
      <c r="E19" s="78"/>
      <c r="F19" s="78"/>
      <c r="G19" s="79" t="s">
        <v>683</v>
      </c>
      <c r="H19" s="78"/>
      <c r="I19" s="78"/>
      <c r="J19" s="113"/>
      <c r="K19" s="1566"/>
    </row>
    <row r="20" spans="1:11" ht="15.75">
      <c r="A20" s="143"/>
      <c r="B20" s="143"/>
      <c r="C20" s="143"/>
      <c r="D20" s="143"/>
      <c r="E20" s="143"/>
      <c r="F20" s="150"/>
      <c r="G20" s="150" t="s">
        <v>2501</v>
      </c>
      <c r="H20" s="78"/>
      <c r="I20" s="352">
        <f>IF(I17-I18&lt;0,0,MINA(42800,I17-I18))</f>
        <v>0</v>
      </c>
      <c r="J20" s="155">
        <v>7</v>
      </c>
      <c r="K20" s="1566"/>
    </row>
    <row r="21" spans="1:11" ht="15">
      <c r="A21" s="78"/>
      <c r="B21" s="78"/>
      <c r="C21" s="78"/>
      <c r="D21" s="78"/>
      <c r="E21" s="78"/>
      <c r="F21" s="78"/>
      <c r="G21" s="78"/>
      <c r="H21" s="78"/>
      <c r="I21" s="78"/>
      <c r="J21" s="103"/>
      <c r="K21" s="1566"/>
    </row>
    <row r="22" spans="1:11" ht="15.75">
      <c r="A22" s="143"/>
      <c r="B22" s="143"/>
      <c r="C22" s="143"/>
      <c r="D22" s="143"/>
      <c r="E22" s="143"/>
      <c r="F22" s="143"/>
      <c r="G22" s="150" t="s">
        <v>2084</v>
      </c>
      <c r="H22" s="78"/>
      <c r="I22" s="352">
        <f>I20*0.099</f>
        <v>0</v>
      </c>
      <c r="J22" s="155">
        <v>8</v>
      </c>
      <c r="K22" s="1566"/>
    </row>
    <row r="23" spans="1:11" ht="15.75">
      <c r="A23" s="78" t="s">
        <v>1572</v>
      </c>
      <c r="B23" s="78"/>
      <c r="C23" s="78"/>
      <c r="D23" s="78"/>
      <c r="E23" s="78"/>
      <c r="F23" s="78"/>
      <c r="G23" s="78"/>
      <c r="H23" s="78"/>
      <c r="I23" s="78"/>
      <c r="J23" s="113"/>
      <c r="K23" s="1566"/>
    </row>
    <row r="24" spans="1:11" ht="15.75">
      <c r="A24" s="143" t="s">
        <v>45</v>
      </c>
      <c r="B24" s="143"/>
      <c r="C24" s="143"/>
      <c r="D24" s="121"/>
      <c r="E24" s="352">
        <f>MISC!L76</f>
        <v>0</v>
      </c>
      <c r="F24" s="143"/>
      <c r="G24" s="162" t="s">
        <v>46</v>
      </c>
      <c r="H24" s="78"/>
      <c r="I24" s="352">
        <f>2*E24</f>
        <v>0</v>
      </c>
      <c r="J24" s="155">
        <v>9</v>
      </c>
      <c r="K24" s="1566"/>
    </row>
    <row r="25" spans="1:11" ht="15.75">
      <c r="A25" s="95" t="s">
        <v>1241</v>
      </c>
      <c r="B25" s="78"/>
      <c r="C25" s="78"/>
      <c r="D25" s="78"/>
      <c r="E25" s="78"/>
      <c r="F25" s="78"/>
      <c r="G25" s="78"/>
      <c r="H25" s="78"/>
      <c r="I25" s="78"/>
      <c r="J25" s="113"/>
      <c r="K25" s="1566"/>
    </row>
    <row r="26" spans="1:11" ht="15.75">
      <c r="A26" s="75" t="s">
        <v>2502</v>
      </c>
      <c r="B26" s="75"/>
      <c r="C26" s="75"/>
      <c r="D26" s="75"/>
      <c r="E26" s="75"/>
      <c r="F26" s="75"/>
      <c r="G26" s="75"/>
      <c r="H26" s="78"/>
      <c r="I26" s="619">
        <f>IF(I14&gt;0,MAXA(0,I22-I24),0)</f>
        <v>0</v>
      </c>
      <c r="J26" s="155">
        <v>10</v>
      </c>
      <c r="K26" s="1566"/>
    </row>
    <row r="27" spans="1:11" ht="15.75">
      <c r="A27" s="95" t="s">
        <v>1743</v>
      </c>
      <c r="B27" s="78"/>
      <c r="C27" s="78"/>
      <c r="D27" s="78"/>
      <c r="E27" s="78"/>
      <c r="F27" s="78"/>
      <c r="G27" s="78"/>
      <c r="H27" s="78"/>
      <c r="I27" s="78"/>
      <c r="J27" s="103"/>
      <c r="K27" s="1566"/>
    </row>
    <row r="28" spans="1:11" ht="15.75">
      <c r="A28" s="75" t="s">
        <v>1771</v>
      </c>
      <c r="B28" s="75"/>
      <c r="C28" s="75"/>
      <c r="D28" s="78"/>
      <c r="E28" s="352">
        <f>I26</f>
        <v>0</v>
      </c>
      <c r="F28" s="75"/>
      <c r="G28" s="169" t="s">
        <v>2401</v>
      </c>
      <c r="H28" s="78"/>
      <c r="I28" s="619">
        <f>0.5*I26</f>
        <v>0</v>
      </c>
      <c r="J28" s="155">
        <v>11</v>
      </c>
      <c r="K28" s="1566"/>
    </row>
    <row r="29" spans="1:11" ht="15">
      <c r="A29" s="121" t="s">
        <v>1772</v>
      </c>
      <c r="B29" s="121"/>
      <c r="C29" s="121"/>
      <c r="D29" s="121"/>
      <c r="E29" s="121"/>
      <c r="F29" s="121"/>
      <c r="G29" s="121"/>
      <c r="H29" s="78"/>
      <c r="I29" s="78"/>
      <c r="J29" s="103"/>
      <c r="K29" s="1566"/>
    </row>
    <row r="30" spans="1:11" ht="15">
      <c r="A30" s="78"/>
      <c r="B30" s="78"/>
      <c r="C30" s="78"/>
      <c r="D30" s="78"/>
      <c r="E30" s="78"/>
      <c r="F30" s="78"/>
      <c r="G30" s="78"/>
      <c r="H30" s="78"/>
      <c r="I30" s="78"/>
      <c r="J30" s="103"/>
      <c r="K30" s="1566"/>
    </row>
    <row r="31" spans="1:11" ht="15">
      <c r="A31" s="201" t="s">
        <v>1344</v>
      </c>
      <c r="B31" s="78"/>
      <c r="C31" s="78"/>
      <c r="D31" s="78"/>
      <c r="E31" s="78"/>
      <c r="F31" s="78"/>
      <c r="G31" s="78"/>
      <c r="H31" s="78"/>
      <c r="I31" s="115"/>
      <c r="J31" s="103"/>
      <c r="K31" s="1566"/>
    </row>
    <row r="32" spans="1:11" ht="15">
      <c r="A32" s="78"/>
      <c r="B32" s="78"/>
      <c r="C32" s="78"/>
      <c r="D32" s="78"/>
      <c r="E32" s="78"/>
      <c r="F32" s="78"/>
      <c r="G32" s="78"/>
      <c r="H32" s="78"/>
      <c r="I32" s="78"/>
      <c r="J32" s="103" t="s">
        <v>1661</v>
      </c>
      <c r="K32" s="1566"/>
    </row>
  </sheetData>
  <sheetProtection password="EC35" sheet="1" objects="1" scenarios="1"/>
  <mergeCells count="1">
    <mergeCell ref="K1:K32"/>
  </mergeCells>
  <printOptions horizontalCentered="1"/>
  <pageMargins left="0.1968503937007874" right="0.1968503937007874" top="0.5118110236220472" bottom="0.5118110236220472" header="0.5118110236220472" footer="0.5118110236220472"/>
  <pageSetup fitToHeight="0" fitToWidth="1" horizontalDpi="600" verticalDpi="600" orientation="portrait" scale="80" r:id="rId3"/>
  <legacyDrawing r:id="rId2"/>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L31"/>
  <sheetViews>
    <sheetView zoomScalePageLayoutView="0" workbookViewId="0" topLeftCell="A1">
      <selection activeCell="A1" sqref="A1"/>
    </sheetView>
  </sheetViews>
  <sheetFormatPr defaultColWidth="9.77734375" defaultRowHeight="15"/>
  <cols>
    <col min="1" max="1" width="31.99609375" style="579" customWidth="1"/>
    <col min="2" max="2" width="6.77734375" style="579" customWidth="1"/>
    <col min="3" max="3" width="13.77734375" style="579" customWidth="1"/>
    <col min="4" max="4" width="5.4453125" style="579" customWidth="1"/>
    <col min="5" max="5" width="13.77734375" style="579" customWidth="1"/>
    <col min="6" max="6" width="5.77734375" style="579" customWidth="1"/>
    <col min="7" max="7" width="13.77734375" style="579" customWidth="1"/>
    <col min="8" max="8" width="4.77734375" style="579" customWidth="1"/>
    <col min="9" max="9" width="13.77734375" style="579" customWidth="1"/>
    <col min="10" max="10" width="6.77734375" style="579" customWidth="1"/>
    <col min="11" max="11" width="4.77734375" style="579" customWidth="1"/>
    <col min="12" max="12" width="10.3359375" style="579" customWidth="1"/>
    <col min="13" max="15" width="13.77734375" style="579" customWidth="1"/>
    <col min="16" max="16384" width="9.77734375" style="579" customWidth="1"/>
  </cols>
  <sheetData>
    <row r="1" spans="1:12" ht="23.25">
      <c r="A1" s="135" t="str">
        <f>"T1-"&amp;yeartext</f>
        <v>T1-2009</v>
      </c>
      <c r="B1" s="78"/>
      <c r="C1" s="1253" t="s">
        <v>47</v>
      </c>
      <c r="D1" s="78"/>
      <c r="E1" s="78"/>
      <c r="F1" s="78"/>
      <c r="G1" s="78"/>
      <c r="H1" s="78"/>
      <c r="I1" s="78"/>
      <c r="J1" s="1185" t="s">
        <v>2130</v>
      </c>
      <c r="K1" s="1185"/>
      <c r="L1" s="1566" t="s">
        <v>35</v>
      </c>
    </row>
    <row r="2" spans="1:12" ht="15">
      <c r="A2" s="78"/>
      <c r="B2" s="78"/>
      <c r="C2" s="78"/>
      <c r="D2" s="78"/>
      <c r="E2" s="78"/>
      <c r="F2" s="78"/>
      <c r="G2" s="78"/>
      <c r="H2" s="78"/>
      <c r="I2" s="78"/>
      <c r="J2" s="78"/>
      <c r="K2" s="78"/>
      <c r="L2" s="1566"/>
    </row>
    <row r="3" spans="1:12" ht="15.75">
      <c r="A3" s="95" t="s">
        <v>811</v>
      </c>
      <c r="B3" s="78"/>
      <c r="C3" s="78"/>
      <c r="D3" s="78"/>
      <c r="E3" s="78"/>
      <c r="F3" s="78"/>
      <c r="G3" s="78"/>
      <c r="H3" s="78"/>
      <c r="I3" s="78"/>
      <c r="J3" s="78"/>
      <c r="K3" s="78"/>
      <c r="L3" s="1566"/>
    </row>
    <row r="4" spans="1:12" ht="15">
      <c r="A4" s="78" t="s">
        <v>1631</v>
      </c>
      <c r="B4" s="78"/>
      <c r="C4" s="78"/>
      <c r="D4" s="78"/>
      <c r="E4" s="78"/>
      <c r="F4" s="78"/>
      <c r="G4" s="78"/>
      <c r="H4" s="78"/>
      <c r="I4" s="78"/>
      <c r="J4" s="78"/>
      <c r="K4" s="78"/>
      <c r="L4" s="1566"/>
    </row>
    <row r="5" spans="1:12" ht="15.75">
      <c r="A5" s="267"/>
      <c r="B5" s="78"/>
      <c r="C5" s="78"/>
      <c r="D5" s="78"/>
      <c r="E5" s="78"/>
      <c r="F5" s="113"/>
      <c r="G5" s="78"/>
      <c r="H5" s="78"/>
      <c r="I5" s="78"/>
      <c r="J5" s="78"/>
      <c r="K5" s="78"/>
      <c r="L5" s="1566"/>
    </row>
    <row r="6" spans="1:12" ht="20.25" customHeight="1" thickBot="1">
      <c r="A6" s="75" t="s">
        <v>812</v>
      </c>
      <c r="B6" s="75"/>
      <c r="C6" s="75"/>
      <c r="D6" s="75"/>
      <c r="E6" s="75"/>
      <c r="F6" s="75"/>
      <c r="G6" s="169"/>
      <c r="H6" s="78"/>
      <c r="I6" s="1254">
        <f>MISC!L77</f>
        <v>0</v>
      </c>
      <c r="J6" s="155">
        <v>1</v>
      </c>
      <c r="K6" s="155"/>
      <c r="L6" s="1566"/>
    </row>
    <row r="7" spans="1:12" ht="15.75" thickTop="1">
      <c r="A7" s="82"/>
      <c r="B7" s="82"/>
      <c r="C7" s="82"/>
      <c r="D7" s="82"/>
      <c r="E7" s="82"/>
      <c r="F7" s="82"/>
      <c r="G7" s="82"/>
      <c r="H7" s="78"/>
      <c r="I7" s="78"/>
      <c r="J7" s="78"/>
      <c r="K7" s="78"/>
      <c r="L7" s="1566"/>
    </row>
    <row r="8" spans="1:12" ht="15.75">
      <c r="A8" s="75" t="s">
        <v>1002</v>
      </c>
      <c r="B8" s="75"/>
      <c r="C8" s="75"/>
      <c r="D8" s="75"/>
      <c r="E8" s="352">
        <f>'T1 GEN-2-3-4'!K90</f>
        <v>0</v>
      </c>
      <c r="F8" s="75"/>
      <c r="G8" s="169" t="s">
        <v>203</v>
      </c>
      <c r="H8" s="78"/>
      <c r="I8" s="352">
        <f>E8*0.75</f>
        <v>0</v>
      </c>
      <c r="J8" s="155">
        <v>2</v>
      </c>
      <c r="K8" s="155"/>
      <c r="L8" s="1566"/>
    </row>
    <row r="9" spans="1:12" ht="30" customHeight="1">
      <c r="A9" s="99" t="s">
        <v>1455</v>
      </c>
      <c r="B9" s="121"/>
      <c r="C9" s="121"/>
      <c r="D9" s="121"/>
      <c r="E9" s="121"/>
      <c r="F9" s="121"/>
      <c r="G9" s="121"/>
      <c r="H9" s="78"/>
      <c r="I9" s="78"/>
      <c r="J9" s="78"/>
      <c r="K9" s="78"/>
      <c r="L9" s="1566"/>
    </row>
    <row r="10" spans="1:12" ht="15.75">
      <c r="A10" s="99" t="s">
        <v>1535</v>
      </c>
      <c r="B10" s="121"/>
      <c r="C10" s="121"/>
      <c r="D10" s="121"/>
      <c r="E10" s="121"/>
      <c r="F10" s="121"/>
      <c r="G10" s="121"/>
      <c r="H10" s="121"/>
      <c r="I10" s="78"/>
      <c r="J10" s="78"/>
      <c r="K10" s="78"/>
      <c r="L10" s="1566"/>
    </row>
    <row r="11" spans="1:12" ht="9.75" customHeight="1">
      <c r="A11" s="121"/>
      <c r="B11" s="121"/>
      <c r="C11" s="121"/>
      <c r="D11" s="121"/>
      <c r="E11" s="121"/>
      <c r="F11" s="121"/>
      <c r="G11" s="121"/>
      <c r="H11" s="121"/>
      <c r="I11" s="78"/>
      <c r="J11" s="78"/>
      <c r="K11" s="78"/>
      <c r="L11" s="1566"/>
    </row>
    <row r="12" spans="1:12" ht="15">
      <c r="A12" s="121" t="s">
        <v>204</v>
      </c>
      <c r="B12" s="121"/>
      <c r="C12" s="121"/>
      <c r="D12" s="203"/>
      <c r="E12" s="121"/>
      <c r="F12" s="121"/>
      <c r="G12" s="121"/>
      <c r="H12" s="121"/>
      <c r="I12" s="78"/>
      <c r="J12" s="78"/>
      <c r="K12" s="78"/>
      <c r="L12" s="1566"/>
    </row>
    <row r="13" spans="1:12" ht="15.75">
      <c r="A13" s="75" t="s">
        <v>2029</v>
      </c>
      <c r="B13" s="75"/>
      <c r="C13" s="75"/>
      <c r="D13" s="66">
        <v>337</v>
      </c>
      <c r="E13" s="352">
        <f>MISC!L78</f>
        <v>0</v>
      </c>
      <c r="F13" s="158">
        <v>3</v>
      </c>
      <c r="G13" s="121"/>
      <c r="H13" s="78"/>
      <c r="I13" s="78"/>
      <c r="J13" s="78"/>
      <c r="K13" s="78"/>
      <c r="L13" s="1566"/>
    </row>
    <row r="14" spans="1:12" ht="18" customHeight="1">
      <c r="A14" s="121" t="s">
        <v>1854</v>
      </c>
      <c r="B14" s="121"/>
      <c r="C14" s="121"/>
      <c r="D14" s="121"/>
      <c r="E14" s="121"/>
      <c r="F14" s="123"/>
      <c r="G14" s="121"/>
      <c r="H14" s="78"/>
      <c r="I14" s="78"/>
      <c r="J14" s="78"/>
      <c r="K14" s="78"/>
      <c r="L14" s="1566"/>
    </row>
    <row r="15" spans="1:12" ht="16.5" thickBot="1">
      <c r="A15" s="75" t="s">
        <v>1536</v>
      </c>
      <c r="B15" s="75"/>
      <c r="C15" s="75"/>
      <c r="D15" s="66">
        <v>339</v>
      </c>
      <c r="E15" s="691">
        <f>MISC!L79</f>
        <v>0</v>
      </c>
      <c r="F15" s="158">
        <v>4</v>
      </c>
      <c r="G15" s="121"/>
      <c r="H15" s="78"/>
      <c r="I15" s="78"/>
      <c r="J15" s="78"/>
      <c r="K15" s="78"/>
      <c r="L15" s="1566"/>
    </row>
    <row r="16" spans="1:12" ht="16.5" thickBot="1">
      <c r="A16" s="76"/>
      <c r="B16" s="76"/>
      <c r="C16" s="89" t="s">
        <v>2131</v>
      </c>
      <c r="D16" s="76"/>
      <c r="E16" s="352">
        <f>E13+E15</f>
        <v>0</v>
      </c>
      <c r="F16" s="75"/>
      <c r="G16" s="169" t="s">
        <v>206</v>
      </c>
      <c r="H16" s="78"/>
      <c r="I16" s="691">
        <f>0.25*E16</f>
        <v>0</v>
      </c>
      <c r="J16" s="155">
        <v>5</v>
      </c>
      <c r="K16" s="155"/>
      <c r="L16" s="1566"/>
    </row>
    <row r="17" spans="1:12" ht="15.75">
      <c r="A17" s="82"/>
      <c r="B17" s="82"/>
      <c r="C17" s="82"/>
      <c r="D17" s="82"/>
      <c r="E17" s="82"/>
      <c r="F17" s="82"/>
      <c r="G17" s="102" t="s">
        <v>1966</v>
      </c>
      <c r="H17" s="78"/>
      <c r="I17" s="78"/>
      <c r="J17" s="155"/>
      <c r="K17" s="155"/>
      <c r="L17" s="1566"/>
    </row>
    <row r="18" spans="1:12" ht="15.75">
      <c r="A18" s="75"/>
      <c r="B18" s="75"/>
      <c r="C18" s="75"/>
      <c r="D18" s="75"/>
      <c r="E18" s="75"/>
      <c r="F18" s="75"/>
      <c r="G18" s="90" t="s">
        <v>233</v>
      </c>
      <c r="H18" s="78"/>
      <c r="I18" s="352">
        <f>MINA(I8+I16,E8)</f>
        <v>0</v>
      </c>
      <c r="J18" s="155">
        <v>6</v>
      </c>
      <c r="K18" s="155"/>
      <c r="L18" s="1566"/>
    </row>
    <row r="19" spans="1:12" ht="14.25" customHeight="1">
      <c r="A19" s="82"/>
      <c r="B19" s="82"/>
      <c r="C19" s="82"/>
      <c r="D19" s="82"/>
      <c r="E19" s="82"/>
      <c r="F19" s="82"/>
      <c r="G19" s="102"/>
      <c r="H19" s="78"/>
      <c r="I19" s="78"/>
      <c r="J19" s="155"/>
      <c r="K19" s="155"/>
      <c r="L19" s="1566"/>
    </row>
    <row r="20" spans="1:12" ht="17.25" customHeight="1">
      <c r="A20" s="121" t="s">
        <v>1472</v>
      </c>
      <c r="B20" s="121"/>
      <c r="C20" s="121"/>
      <c r="D20" s="121"/>
      <c r="E20" s="121"/>
      <c r="F20" s="121"/>
      <c r="G20" s="121"/>
      <c r="H20" s="78"/>
      <c r="I20" s="78"/>
      <c r="J20" s="78"/>
      <c r="K20" s="78"/>
      <c r="L20" s="1566"/>
    </row>
    <row r="21" spans="1:12" ht="15.75">
      <c r="A21" s="75" t="s">
        <v>875</v>
      </c>
      <c r="B21" s="75"/>
      <c r="C21" s="75"/>
      <c r="D21" s="66">
        <v>340</v>
      </c>
      <c r="E21" s="352">
        <f>MINA(I6,I18)</f>
        <v>0</v>
      </c>
      <c r="F21" s="121"/>
      <c r="G21" s="121"/>
      <c r="H21" s="78"/>
      <c r="I21" s="78"/>
      <c r="J21" s="78"/>
      <c r="K21" s="78"/>
      <c r="L21" s="1566"/>
    </row>
    <row r="22" spans="1:12" ht="15">
      <c r="A22" s="82" t="s">
        <v>485</v>
      </c>
      <c r="B22" s="82"/>
      <c r="C22" s="82"/>
      <c r="D22" s="82"/>
      <c r="E22" s="82"/>
      <c r="F22" s="121"/>
      <c r="G22" s="121"/>
      <c r="H22" s="78"/>
      <c r="I22" s="78"/>
      <c r="J22" s="78"/>
      <c r="K22" s="78"/>
      <c r="L22" s="1566"/>
    </row>
    <row r="23" spans="1:12" ht="15.75">
      <c r="A23" s="75" t="s">
        <v>1823</v>
      </c>
      <c r="B23" s="75"/>
      <c r="C23" s="75"/>
      <c r="D23" s="66">
        <v>342</v>
      </c>
      <c r="E23" s="352">
        <f>MISC!L80</f>
        <v>0</v>
      </c>
      <c r="F23" s="121"/>
      <c r="G23" s="121"/>
      <c r="H23" s="78"/>
      <c r="I23" s="78"/>
      <c r="J23" s="78"/>
      <c r="K23" s="78"/>
      <c r="L23" s="1566"/>
    </row>
    <row r="24" spans="1:12" ht="15.75">
      <c r="A24" s="76"/>
      <c r="B24" s="76"/>
      <c r="C24" s="89" t="s">
        <v>2503</v>
      </c>
      <c r="D24" s="204">
        <v>344</v>
      </c>
      <c r="E24" s="367">
        <f>E21+E23</f>
        <v>0</v>
      </c>
      <c r="F24" s="121"/>
      <c r="G24" s="121"/>
      <c r="H24" s="78"/>
      <c r="I24" s="78"/>
      <c r="J24" s="78"/>
      <c r="K24" s="78"/>
      <c r="L24" s="1566"/>
    </row>
    <row r="25" spans="1:12" ht="15.75">
      <c r="A25" s="76" t="s">
        <v>2134</v>
      </c>
      <c r="B25" s="76"/>
      <c r="C25" s="76"/>
      <c r="D25" s="204">
        <v>345</v>
      </c>
      <c r="E25" s="367">
        <f>MINA(200,E24)</f>
        <v>0</v>
      </c>
      <c r="F25" s="75"/>
      <c r="G25" s="1397" t="s">
        <v>2132</v>
      </c>
      <c r="H25" s="2">
        <v>346</v>
      </c>
      <c r="I25" s="352">
        <f>0.15*E25</f>
        <v>0</v>
      </c>
      <c r="J25" s="155">
        <v>7</v>
      </c>
      <c r="K25" s="155"/>
      <c r="L25" s="1566"/>
    </row>
    <row r="26" spans="1:12" ht="15.75">
      <c r="A26" s="76"/>
      <c r="B26" s="76"/>
      <c r="C26" s="89" t="s">
        <v>834</v>
      </c>
      <c r="D26" s="204">
        <v>347</v>
      </c>
      <c r="E26" s="367">
        <f>E24-E25</f>
        <v>0</v>
      </c>
      <c r="F26" s="76"/>
      <c r="G26" s="205" t="s">
        <v>835</v>
      </c>
      <c r="H26" s="2">
        <v>348</v>
      </c>
      <c r="I26" s="367">
        <f>0.29*E26</f>
        <v>0</v>
      </c>
      <c r="J26" s="155">
        <v>8</v>
      </c>
      <c r="K26" s="155"/>
      <c r="L26" s="1566"/>
    </row>
    <row r="27" spans="1:12" ht="15.75">
      <c r="A27" s="102"/>
      <c r="B27" s="82"/>
      <c r="C27" s="82"/>
      <c r="D27" s="82"/>
      <c r="E27" s="82"/>
      <c r="F27" s="170"/>
      <c r="G27" s="102" t="s">
        <v>2133</v>
      </c>
      <c r="H27" s="78"/>
      <c r="I27" s="78"/>
      <c r="J27" s="113"/>
      <c r="K27" s="113"/>
      <c r="L27" s="1566"/>
    </row>
    <row r="28" spans="1:12" ht="15.75">
      <c r="A28" s="75"/>
      <c r="B28" s="75"/>
      <c r="C28" s="75"/>
      <c r="D28" s="75"/>
      <c r="E28" s="75"/>
      <c r="F28" s="75"/>
      <c r="G28" s="90" t="s">
        <v>1306</v>
      </c>
      <c r="H28" s="78"/>
      <c r="I28" s="619">
        <f>I25+I26</f>
        <v>0</v>
      </c>
      <c r="J28" s="155">
        <v>9</v>
      </c>
      <c r="K28" s="155"/>
      <c r="L28" s="1566"/>
    </row>
    <row r="29" spans="1:12" ht="15">
      <c r="A29" s="78"/>
      <c r="B29" s="78"/>
      <c r="C29" s="78"/>
      <c r="D29" s="78"/>
      <c r="E29" s="78"/>
      <c r="F29" s="78"/>
      <c r="G29" s="78"/>
      <c r="H29" s="78"/>
      <c r="I29" s="78"/>
      <c r="J29" s="78"/>
      <c r="K29" s="78"/>
      <c r="L29" s="1566"/>
    </row>
    <row r="30" spans="1:12" ht="15">
      <c r="A30" s="78"/>
      <c r="B30" s="78"/>
      <c r="C30" s="78"/>
      <c r="D30" s="78"/>
      <c r="E30" s="78"/>
      <c r="F30" s="78"/>
      <c r="G30" s="78"/>
      <c r="H30" s="78"/>
      <c r="I30" s="115"/>
      <c r="J30" s="78"/>
      <c r="K30" s="78"/>
      <c r="L30" s="1566"/>
    </row>
    <row r="31" spans="1:12" ht="15">
      <c r="A31" s="78" t="s">
        <v>836</v>
      </c>
      <c r="B31" s="78"/>
      <c r="C31" s="78"/>
      <c r="D31" s="78"/>
      <c r="E31" s="78"/>
      <c r="F31" s="78"/>
      <c r="G31" s="78"/>
      <c r="H31" s="78"/>
      <c r="I31" s="78"/>
      <c r="J31" s="78" t="s">
        <v>48</v>
      </c>
      <c r="K31" s="78"/>
      <c r="L31" s="1566"/>
    </row>
  </sheetData>
  <sheetProtection password="EC35" sheet="1" objects="1" scenarios="1"/>
  <mergeCells count="1">
    <mergeCell ref="L1:L31"/>
  </mergeCells>
  <printOptions horizontalCentered="1"/>
  <pageMargins left="0.15748031496062992" right="0.15748031496062992" top="0.5118110236220472" bottom="0.2755905511811024" header="0.5118110236220472" footer="0.5118110236220472"/>
  <pageSetup fitToHeight="0" fitToWidth="1" horizontalDpi="600" verticalDpi="600" orientation="portrait" scale="73" r:id="rId3"/>
  <rowBreaks count="1" manualBreakCount="1">
    <brk id="32" max="65535" man="1"/>
  </rowBreaks>
  <legacyDrawing r:id="rId2"/>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N61"/>
  <sheetViews>
    <sheetView zoomScalePageLayoutView="0" workbookViewId="0" topLeftCell="A1">
      <selection activeCell="A1" sqref="A1"/>
    </sheetView>
  </sheetViews>
  <sheetFormatPr defaultColWidth="9.77734375" defaultRowHeight="15"/>
  <cols>
    <col min="1" max="1" width="15.77734375" style="579" customWidth="1"/>
    <col min="2" max="2" width="25.77734375" style="579" customWidth="1"/>
    <col min="3" max="3" width="4.77734375" style="579" customWidth="1"/>
    <col min="4" max="4" width="12.77734375" style="579" customWidth="1"/>
    <col min="5" max="5" width="4.77734375" style="579" customWidth="1"/>
    <col min="6" max="6" width="12.77734375" style="579" customWidth="1"/>
    <col min="7" max="7" width="3.77734375" style="579" customWidth="1"/>
    <col min="8" max="8" width="4.77734375" style="579" customWidth="1"/>
    <col min="9" max="9" width="12.77734375" style="579" customWidth="1"/>
    <col min="10" max="10" width="4.77734375" style="579" customWidth="1"/>
    <col min="11" max="11" width="12.77734375" style="579" customWidth="1"/>
    <col min="12" max="13" width="4.77734375" style="579" customWidth="1"/>
    <col min="14" max="14" width="8.10546875" style="579" customWidth="1"/>
    <col min="15" max="16384" width="9.77734375" style="579" customWidth="1"/>
  </cols>
  <sheetData>
    <row r="1" spans="1:14" ht="23.25">
      <c r="A1" s="135" t="str">
        <f>"T1-"&amp;yeartext</f>
        <v>T1-2009</v>
      </c>
      <c r="B1" s="135"/>
      <c r="C1" s="774"/>
      <c r="D1" s="1279" t="s">
        <v>151</v>
      </c>
      <c r="E1" s="202"/>
      <c r="F1" s="202"/>
      <c r="G1" s="202"/>
      <c r="H1" s="206"/>
      <c r="I1" s="206"/>
      <c r="J1" s="206"/>
      <c r="K1" s="206"/>
      <c r="L1" s="1185" t="s">
        <v>1853</v>
      </c>
      <c r="M1" s="1185"/>
      <c r="N1" s="1566" t="s">
        <v>35</v>
      </c>
    </row>
    <row r="2" spans="1:14" ht="20.25" customHeight="1">
      <c r="A2" s="78"/>
      <c r="B2" s="78"/>
      <c r="C2" s="103"/>
      <c r="D2" s="1113" t="s">
        <v>674</v>
      </c>
      <c r="E2" s="78"/>
      <c r="F2" s="78"/>
      <c r="G2" s="78"/>
      <c r="H2" s="78"/>
      <c r="I2" s="78"/>
      <c r="J2" s="78"/>
      <c r="K2" s="78"/>
      <c r="L2" s="78"/>
      <c r="M2" s="78"/>
      <c r="N2" s="1566"/>
    </row>
    <row r="3" spans="1:14" ht="16.5">
      <c r="A3" s="776" t="s">
        <v>1635</v>
      </c>
      <c r="B3" s="776"/>
      <c r="C3" s="817"/>
      <c r="D3" s="817"/>
      <c r="E3" s="817"/>
      <c r="F3" s="817"/>
      <c r="G3" s="817"/>
      <c r="H3" s="817"/>
      <c r="I3" s="817"/>
      <c r="J3" s="817"/>
      <c r="K3" s="817"/>
      <c r="L3" s="817"/>
      <c r="M3" s="817"/>
      <c r="N3" s="1566"/>
    </row>
    <row r="4" spans="1:14" ht="16.5">
      <c r="A4" s="817" t="s">
        <v>1636</v>
      </c>
      <c r="B4" s="817"/>
      <c r="C4" s="817"/>
      <c r="D4" s="817"/>
      <c r="E4" s="817"/>
      <c r="F4" s="817"/>
      <c r="G4" s="817"/>
      <c r="H4" s="817"/>
      <c r="I4" s="817"/>
      <c r="J4" s="817"/>
      <c r="K4" s="817"/>
      <c r="L4" s="817"/>
      <c r="M4" s="817"/>
      <c r="N4" s="1566"/>
    </row>
    <row r="5" spans="1:14" ht="16.5">
      <c r="A5" s="817" t="s">
        <v>1637</v>
      </c>
      <c r="B5" s="817"/>
      <c r="C5" s="817"/>
      <c r="D5" s="817"/>
      <c r="E5" s="817"/>
      <c r="F5" s="817"/>
      <c r="G5" s="817"/>
      <c r="H5" s="817"/>
      <c r="I5" s="817"/>
      <c r="J5" s="817"/>
      <c r="K5" s="817"/>
      <c r="L5" s="817"/>
      <c r="M5" s="817"/>
      <c r="N5" s="1566"/>
    </row>
    <row r="6" spans="1:14" ht="16.5">
      <c r="A6" s="817" t="s">
        <v>1638</v>
      </c>
      <c r="B6" s="817"/>
      <c r="C6" s="817"/>
      <c r="D6" s="817"/>
      <c r="E6" s="817"/>
      <c r="F6" s="817"/>
      <c r="G6" s="817"/>
      <c r="H6" s="817"/>
      <c r="I6" s="817"/>
      <c r="J6" s="817"/>
      <c r="K6" s="817"/>
      <c r="L6" s="817"/>
      <c r="M6" s="817"/>
      <c r="N6" s="1566"/>
    </row>
    <row r="7" spans="1:14" ht="18">
      <c r="A7" s="86" t="str">
        <f>"Tuition, education, and textbook amounts claimed by the student  for "&amp;yeartext</f>
        <v>Tuition, education, and textbook amounts claimed by the student  for 2009</v>
      </c>
      <c r="B7" s="817"/>
      <c r="C7" s="817"/>
      <c r="D7" s="817"/>
      <c r="E7" s="817"/>
      <c r="F7" s="817"/>
      <c r="G7" s="817"/>
      <c r="H7" s="817"/>
      <c r="I7" s="817"/>
      <c r="J7" s="817"/>
      <c r="K7" s="817"/>
      <c r="L7" s="817"/>
      <c r="M7" s="817"/>
      <c r="N7" s="1566"/>
    </row>
    <row r="8" spans="1:14" ht="16.5">
      <c r="A8" s="804" t="str">
        <f>"Unused federal tuition and education amounts from your "&amp;lastyeartext&amp;" Notice"</f>
        <v>Unused federal tuition and education amounts from your 2008 Notice</v>
      </c>
      <c r="B8" s="776"/>
      <c r="C8" s="817"/>
      <c r="D8" s="817"/>
      <c r="E8" s="817"/>
      <c r="F8" s="817"/>
      <c r="G8" s="817"/>
      <c r="H8" s="817"/>
      <c r="I8" s="817"/>
      <c r="J8" s="817"/>
      <c r="K8" s="817"/>
      <c r="L8" s="817"/>
      <c r="M8" s="817"/>
      <c r="N8" s="1566"/>
    </row>
    <row r="9" spans="1:14" ht="16.5">
      <c r="A9" s="1528" t="s">
        <v>2504</v>
      </c>
      <c r="B9" s="808"/>
      <c r="C9" s="808"/>
      <c r="D9" s="1126"/>
      <c r="E9" s="808"/>
      <c r="F9" s="1127"/>
      <c r="G9" s="808"/>
      <c r="H9" s="808"/>
      <c r="I9" s="1126"/>
      <c r="J9" s="817"/>
      <c r="K9" s="818"/>
      <c r="L9" s="819">
        <v>1</v>
      </c>
      <c r="M9" s="819"/>
      <c r="N9" s="1566"/>
    </row>
    <row r="10" spans="1:14" ht="16.5">
      <c r="A10" s="808" t="str">
        <f>"Eligible tuition fees paid for "&amp;yeartext</f>
        <v>Eligible tuition fees paid for 2009</v>
      </c>
      <c r="B10" s="808"/>
      <c r="C10" s="808"/>
      <c r="D10" s="808"/>
      <c r="E10" s="808"/>
      <c r="F10" s="808"/>
      <c r="G10" s="804"/>
      <c r="H10" s="820">
        <v>320</v>
      </c>
      <c r="I10" s="818"/>
      <c r="J10" s="819">
        <v>2</v>
      </c>
      <c r="K10" s="817"/>
      <c r="L10" s="817"/>
      <c r="M10" s="817"/>
      <c r="N10" s="1566"/>
    </row>
    <row r="11" spans="1:14" ht="16.5">
      <c r="A11" s="806" t="str">
        <f>"Education and textbook amounts for "&amp;yeartext</f>
        <v>Education and textbook amounts for 2009</v>
      </c>
      <c r="B11" s="804"/>
      <c r="C11" s="804"/>
      <c r="D11" s="804"/>
      <c r="E11" s="804"/>
      <c r="F11" s="804"/>
      <c r="G11" s="804"/>
      <c r="H11" s="817"/>
      <c r="I11" s="817"/>
      <c r="J11" s="819"/>
      <c r="K11" s="817"/>
      <c r="L11" s="817"/>
      <c r="M11" s="817"/>
      <c r="N11" s="1566"/>
    </row>
    <row r="12" spans="1:14" ht="20.25" customHeight="1">
      <c r="A12" s="806" t="s">
        <v>2135</v>
      </c>
      <c r="B12" s="804"/>
      <c r="C12" s="804"/>
      <c r="D12" s="804"/>
      <c r="E12" s="804"/>
      <c r="F12" s="804"/>
      <c r="G12" s="804"/>
      <c r="H12" s="817"/>
      <c r="I12" s="817"/>
      <c r="J12" s="819"/>
      <c r="K12" s="817"/>
      <c r="L12" s="817"/>
      <c r="M12" s="817"/>
      <c r="N12" s="1566"/>
    </row>
    <row r="13" spans="1:14" ht="16.5">
      <c r="A13" s="804" t="s">
        <v>1652</v>
      </c>
      <c r="B13" s="804"/>
      <c r="C13" s="804"/>
      <c r="D13" s="804"/>
      <c r="E13" s="804"/>
      <c r="F13" s="804"/>
      <c r="G13" s="804"/>
      <c r="H13" s="817"/>
      <c r="I13" s="817"/>
      <c r="J13" s="819"/>
      <c r="K13" s="817"/>
      <c r="L13" s="817"/>
      <c r="M13" s="817"/>
      <c r="N13" s="1566"/>
    </row>
    <row r="14" spans="1:14" ht="16.5">
      <c r="A14" s="806" t="s">
        <v>1639</v>
      </c>
      <c r="B14" s="804"/>
      <c r="C14" s="804"/>
      <c r="D14" s="804"/>
      <c r="E14" s="804"/>
      <c r="F14" s="804"/>
      <c r="G14" s="804"/>
      <c r="H14" s="817"/>
      <c r="I14" s="817"/>
      <c r="J14" s="819"/>
      <c r="K14" s="817"/>
      <c r="L14" s="817"/>
      <c r="M14" s="817"/>
      <c r="N14" s="1566"/>
    </row>
    <row r="15" spans="1:14" s="942" customFormat="1" ht="16.5">
      <c r="A15" s="806" t="s">
        <v>1640</v>
      </c>
      <c r="B15" s="806"/>
      <c r="C15" s="1114"/>
      <c r="D15" s="1115"/>
      <c r="E15" s="804"/>
      <c r="F15" s="804"/>
      <c r="G15" s="804"/>
      <c r="H15" s="804"/>
      <c r="I15" s="804"/>
      <c r="J15" s="804"/>
      <c r="K15" s="804"/>
      <c r="L15" s="804"/>
      <c r="M15" s="804"/>
      <c r="N15" s="1566"/>
    </row>
    <row r="16" spans="1:14" ht="16.5">
      <c r="A16" s="808" t="s">
        <v>1646</v>
      </c>
      <c r="B16" s="1120"/>
      <c r="C16" s="845"/>
      <c r="D16" s="1117" t="s">
        <v>1297</v>
      </c>
      <c r="E16" s="817"/>
      <c r="F16" s="813">
        <f>120*MINA(C16+0,12)</f>
        <v>0</v>
      </c>
      <c r="G16" s="1119">
        <v>3</v>
      </c>
      <c r="H16" s="1119"/>
      <c r="I16" s="817"/>
      <c r="J16" s="817"/>
      <c r="K16" s="817"/>
      <c r="L16" s="817"/>
      <c r="M16" s="817"/>
      <c r="N16" s="1566"/>
    </row>
    <row r="17" spans="1:14" ht="16.5">
      <c r="A17" s="1116" t="s">
        <v>1641</v>
      </c>
      <c r="B17" s="806"/>
      <c r="C17" s="1115"/>
      <c r="D17" s="1118"/>
      <c r="E17" s="817"/>
      <c r="F17" s="1121"/>
      <c r="G17" s="1119"/>
      <c r="H17" s="1119"/>
      <c r="I17" s="817"/>
      <c r="J17" s="817"/>
      <c r="K17" s="817"/>
      <c r="L17" s="817"/>
      <c r="M17" s="817"/>
      <c r="N17" s="1566"/>
    </row>
    <row r="18" spans="1:14" ht="16.5">
      <c r="A18" s="808" t="s">
        <v>1645</v>
      </c>
      <c r="B18" s="1120"/>
      <c r="C18" s="845"/>
      <c r="D18" s="1117" t="s">
        <v>1642</v>
      </c>
      <c r="E18" s="817"/>
      <c r="F18" s="813">
        <f>20*MINA(C18+0,12)</f>
        <v>0</v>
      </c>
      <c r="G18" s="1119">
        <v>4</v>
      </c>
      <c r="H18" s="1119"/>
      <c r="I18" s="817"/>
      <c r="J18" s="817"/>
      <c r="K18" s="817"/>
      <c r="L18" s="817"/>
      <c r="M18" s="817"/>
      <c r="N18" s="1566"/>
    </row>
    <row r="19" spans="1:14" ht="16.5">
      <c r="A19" s="823"/>
      <c r="B19" s="823"/>
      <c r="C19" s="823"/>
      <c r="D19" s="1123" t="s">
        <v>2131</v>
      </c>
      <c r="E19" s="817"/>
      <c r="F19" s="813">
        <f>F16+F18</f>
        <v>0</v>
      </c>
      <c r="G19" s="1122" t="s">
        <v>1886</v>
      </c>
      <c r="H19" s="810">
        <v>321</v>
      </c>
      <c r="I19" s="813">
        <f>F19</f>
        <v>0</v>
      </c>
      <c r="J19" s="1119">
        <v>5</v>
      </c>
      <c r="K19" s="817"/>
      <c r="L19" s="817"/>
      <c r="M19" s="817"/>
      <c r="N19" s="1566"/>
    </row>
    <row r="20" spans="1:14" ht="16.5">
      <c r="A20" s="776" t="s">
        <v>2136</v>
      </c>
      <c r="B20" s="817"/>
      <c r="C20" s="817"/>
      <c r="D20" s="817"/>
      <c r="E20" s="817"/>
      <c r="F20" s="817"/>
      <c r="G20" s="817"/>
      <c r="H20" s="817"/>
      <c r="I20" s="817"/>
      <c r="J20" s="817"/>
      <c r="K20" s="817"/>
      <c r="L20" s="817"/>
      <c r="M20" s="817"/>
      <c r="N20" s="1566"/>
    </row>
    <row r="21" spans="1:14" ht="16.5">
      <c r="A21" s="817" t="s">
        <v>1643</v>
      </c>
      <c r="B21" s="817"/>
      <c r="C21" s="817"/>
      <c r="D21" s="817"/>
      <c r="E21" s="817"/>
      <c r="F21" s="817"/>
      <c r="G21" s="817"/>
      <c r="H21" s="817"/>
      <c r="I21" s="817"/>
      <c r="J21" s="817"/>
      <c r="K21" s="817"/>
      <c r="L21" s="817"/>
      <c r="M21" s="817"/>
      <c r="N21" s="1566"/>
    </row>
    <row r="22" spans="1:14" ht="16.5">
      <c r="A22" s="776" t="s">
        <v>1639</v>
      </c>
      <c r="B22" s="817"/>
      <c r="C22" s="817"/>
      <c r="D22" s="817"/>
      <c r="E22" s="817"/>
      <c r="F22" s="817"/>
      <c r="G22" s="817"/>
      <c r="H22" s="817"/>
      <c r="I22" s="817"/>
      <c r="J22" s="817"/>
      <c r="K22" s="817"/>
      <c r="L22" s="817"/>
      <c r="M22" s="817"/>
      <c r="N22" s="1566"/>
    </row>
    <row r="23" spans="1:14" ht="16.5">
      <c r="A23" s="806" t="s">
        <v>1640</v>
      </c>
      <c r="B23" s="806"/>
      <c r="C23" s="1114"/>
      <c r="D23" s="1115"/>
      <c r="E23" s="804"/>
      <c r="F23" s="804"/>
      <c r="G23" s="804"/>
      <c r="H23" s="804"/>
      <c r="I23" s="804"/>
      <c r="J23" s="804"/>
      <c r="K23" s="817"/>
      <c r="L23" s="817"/>
      <c r="M23" s="817"/>
      <c r="N23" s="1566"/>
    </row>
    <row r="24" spans="1:14" ht="16.5">
      <c r="A24" s="808" t="s">
        <v>1644</v>
      </c>
      <c r="B24" s="1120"/>
      <c r="C24" s="845"/>
      <c r="D24" s="1117" t="s">
        <v>1298</v>
      </c>
      <c r="E24" s="817"/>
      <c r="F24" s="813">
        <f>400*MINA(C24+0,12)</f>
        <v>0</v>
      </c>
      <c r="G24" s="1119">
        <v>6</v>
      </c>
      <c r="H24" s="1119"/>
      <c r="I24" s="817"/>
      <c r="J24" s="817"/>
      <c r="K24" s="817"/>
      <c r="L24" s="817"/>
      <c r="M24" s="817"/>
      <c r="N24" s="1566"/>
    </row>
    <row r="25" spans="1:14" ht="16.5">
      <c r="A25" s="1116" t="s">
        <v>1641</v>
      </c>
      <c r="B25" s="806"/>
      <c r="C25" s="1115"/>
      <c r="D25" s="1118"/>
      <c r="E25" s="817"/>
      <c r="F25" s="1121"/>
      <c r="G25" s="1119"/>
      <c r="H25" s="1119"/>
      <c r="I25" s="817"/>
      <c r="J25" s="817"/>
      <c r="K25" s="817"/>
      <c r="L25" s="817"/>
      <c r="M25" s="817"/>
      <c r="N25" s="1566"/>
    </row>
    <row r="26" spans="1:14" ht="16.5">
      <c r="A26" s="808" t="s">
        <v>1644</v>
      </c>
      <c r="B26" s="1120"/>
      <c r="C26" s="845"/>
      <c r="D26" s="1117" t="s">
        <v>1647</v>
      </c>
      <c r="E26" s="817"/>
      <c r="F26" s="813">
        <f>65*MINA(C26+0,12)</f>
        <v>0</v>
      </c>
      <c r="G26" s="1119">
        <v>7</v>
      </c>
      <c r="H26" s="1119"/>
      <c r="I26" s="817"/>
      <c r="J26" s="817"/>
      <c r="K26" s="817"/>
      <c r="L26" s="817"/>
      <c r="M26" s="817"/>
      <c r="N26" s="1566"/>
    </row>
    <row r="27" spans="1:14" ht="16.5">
      <c r="A27" s="823"/>
      <c r="B27" s="823"/>
      <c r="C27" s="823"/>
      <c r="D27" s="1123" t="s">
        <v>1233</v>
      </c>
      <c r="E27" s="817"/>
      <c r="F27" s="813">
        <f>F24+F26</f>
        <v>0</v>
      </c>
      <c r="G27" s="1122" t="s">
        <v>1886</v>
      </c>
      <c r="H27" s="810">
        <v>322</v>
      </c>
      <c r="I27" s="813">
        <f>F27</f>
        <v>0</v>
      </c>
      <c r="J27" s="1119">
        <v>8</v>
      </c>
      <c r="K27" s="817"/>
      <c r="L27" s="817"/>
      <c r="M27" s="817"/>
      <c r="N27" s="1566"/>
    </row>
    <row r="28" spans="1:14" ht="17.25" thickBot="1">
      <c r="A28" s="808"/>
      <c r="B28" s="808"/>
      <c r="C28" s="808"/>
      <c r="D28" s="808"/>
      <c r="E28" s="808"/>
      <c r="F28" s="809" t="str">
        <f>"Total "&amp;yeartext&amp;" tuition, education, and textbook amounts: add lines 2, 5, and 8."</f>
        <v>Total 2009 tuition, education, and textbook amounts: add lines 2, 5, and 8.</v>
      </c>
      <c r="G28" s="805"/>
      <c r="H28" s="817"/>
      <c r="I28" s="813">
        <f>I10+I19+I27</f>
        <v>0</v>
      </c>
      <c r="J28" s="1124" t="s">
        <v>1886</v>
      </c>
      <c r="K28" s="822">
        <f>I28</f>
        <v>0</v>
      </c>
      <c r="L28" s="819">
        <v>9</v>
      </c>
      <c r="M28" s="819"/>
      <c r="N28" s="1566"/>
    </row>
    <row r="29" spans="1:14" ht="16.5">
      <c r="A29" s="808"/>
      <c r="B29" s="808"/>
      <c r="C29" s="808"/>
      <c r="D29" s="808"/>
      <c r="E29" s="808"/>
      <c r="F29" s="808"/>
      <c r="G29" s="808"/>
      <c r="H29" s="808"/>
      <c r="I29" s="809" t="s">
        <v>1648</v>
      </c>
      <c r="J29" s="817"/>
      <c r="K29" s="813">
        <f>K9+K28</f>
        <v>0</v>
      </c>
      <c r="L29" s="819">
        <v>10</v>
      </c>
      <c r="M29" s="819"/>
      <c r="N29" s="1566"/>
    </row>
    <row r="30" spans="1:14" ht="16.5">
      <c r="A30" s="808" t="s">
        <v>459</v>
      </c>
      <c r="B30" s="808"/>
      <c r="C30" s="808"/>
      <c r="D30" s="808"/>
      <c r="E30" s="823"/>
      <c r="F30" s="824"/>
      <c r="G30" s="1125"/>
      <c r="H30" s="825"/>
      <c r="I30" s="813">
        <f>'T1 GEN-2-3-4'!K104</f>
        <v>0</v>
      </c>
      <c r="J30" s="819">
        <v>11</v>
      </c>
      <c r="K30" s="817"/>
      <c r="L30" s="817"/>
      <c r="M30" s="817"/>
      <c r="N30" s="1566"/>
    </row>
    <row r="31" spans="1:14" ht="17.25" thickBot="1">
      <c r="A31" s="808" t="s">
        <v>2505</v>
      </c>
      <c r="B31" s="808"/>
      <c r="C31" s="808"/>
      <c r="D31" s="808"/>
      <c r="E31" s="826"/>
      <c r="F31" s="827"/>
      <c r="G31" s="1125"/>
      <c r="H31" s="825"/>
      <c r="I31" s="839">
        <f>SUM(Sch1!K7:K31)</f>
        <v>10320</v>
      </c>
      <c r="J31" s="819">
        <v>12</v>
      </c>
      <c r="K31" s="817"/>
      <c r="L31" s="817"/>
      <c r="M31" s="817"/>
      <c r="N31" s="1566"/>
    </row>
    <row r="32" spans="1:14" ht="16.5">
      <c r="A32" s="809"/>
      <c r="B32" s="809"/>
      <c r="C32" s="808"/>
      <c r="D32" s="808"/>
      <c r="E32" s="826"/>
      <c r="F32" s="827"/>
      <c r="G32" s="828" t="s">
        <v>1649</v>
      </c>
      <c r="H32" s="825"/>
      <c r="I32" s="813">
        <f>MAXA(0,I30-I31)</f>
        <v>0</v>
      </c>
      <c r="J32" s="819">
        <v>13</v>
      </c>
      <c r="K32" s="817"/>
      <c r="L32" s="817"/>
      <c r="M32" s="817"/>
      <c r="N32" s="1566"/>
    </row>
    <row r="33" spans="1:14" ht="16.5">
      <c r="A33" s="817" t="str">
        <f>"Unused tuition and education amounts claimed for "&amp;yeartext&amp;":"</f>
        <v>Unused tuition and education amounts claimed for 2009:</v>
      </c>
      <c r="B33" s="817"/>
      <c r="C33" s="817"/>
      <c r="D33" s="817"/>
      <c r="E33" s="804"/>
      <c r="F33" s="825"/>
      <c r="G33" s="825"/>
      <c r="H33" s="825"/>
      <c r="I33" s="817"/>
      <c r="J33" s="817"/>
      <c r="K33" s="817"/>
      <c r="L33" s="817"/>
      <c r="M33" s="817"/>
      <c r="N33" s="1566"/>
    </row>
    <row r="34" spans="1:14" ht="17.25" thickBot="1">
      <c r="A34" s="808" t="s">
        <v>1650</v>
      </c>
      <c r="B34" s="808"/>
      <c r="C34" s="808"/>
      <c r="D34" s="808"/>
      <c r="E34" s="804"/>
      <c r="F34" s="825"/>
      <c r="G34" s="825"/>
      <c r="H34" s="825"/>
      <c r="I34" s="822">
        <f>MINA(K9+0,I32)</f>
        <v>0</v>
      </c>
      <c r="J34" s="1124" t="s">
        <v>1886</v>
      </c>
      <c r="K34" s="813">
        <f>I34</f>
        <v>0</v>
      </c>
      <c r="L34" s="819">
        <v>14</v>
      </c>
      <c r="M34" s="819"/>
      <c r="N34" s="1566"/>
    </row>
    <row r="35" spans="1:14" ht="16.5">
      <c r="A35" s="808"/>
      <c r="B35" s="808"/>
      <c r="C35" s="808"/>
      <c r="D35" s="808"/>
      <c r="E35" s="826"/>
      <c r="F35" s="827"/>
      <c r="G35" s="829" t="s">
        <v>1653</v>
      </c>
      <c r="H35" s="825"/>
      <c r="I35" s="813">
        <f>I32-K34</f>
        <v>0</v>
      </c>
      <c r="J35" s="819">
        <v>15</v>
      </c>
      <c r="K35" s="817"/>
      <c r="L35" s="817"/>
      <c r="M35" s="817"/>
      <c r="N35" s="1566"/>
    </row>
    <row r="36" spans="1:14" ht="16.5">
      <c r="A36" s="821" t="str">
        <f>yeartext&amp;" tuition, education, and textbook amounts claimed for "&amp;yeartext&amp;":"</f>
        <v>2009 tuition, education, and textbook amounts claimed for 2009:</v>
      </c>
      <c r="B36" s="821"/>
      <c r="C36" s="817"/>
      <c r="D36" s="817"/>
      <c r="E36" s="817"/>
      <c r="F36" s="825"/>
      <c r="G36" s="825"/>
      <c r="H36" s="825"/>
      <c r="I36" s="817"/>
      <c r="J36" s="817"/>
      <c r="K36" s="817"/>
      <c r="L36" s="817"/>
      <c r="M36" s="817"/>
      <c r="N36" s="1566"/>
    </row>
    <row r="37" spans="1:14" ht="16.5">
      <c r="A37" s="808" t="s">
        <v>1651</v>
      </c>
      <c r="B37" s="808"/>
      <c r="C37" s="808"/>
      <c r="D37" s="808"/>
      <c r="E37" s="808"/>
      <c r="F37" s="824"/>
      <c r="G37" s="824"/>
      <c r="H37" s="824"/>
      <c r="I37" s="808"/>
      <c r="J37" s="804"/>
      <c r="K37" s="813">
        <f>MINA(K28,I35)</f>
        <v>0</v>
      </c>
      <c r="L37" s="819">
        <v>16</v>
      </c>
      <c r="M37" s="819"/>
      <c r="N37" s="1566"/>
    </row>
    <row r="38" spans="1:14" ht="16.5">
      <c r="A38" s="817"/>
      <c r="B38" s="817"/>
      <c r="C38" s="817"/>
      <c r="D38" s="817"/>
      <c r="E38" s="817"/>
      <c r="F38" s="825"/>
      <c r="G38" s="830" t="str">
        <f>"Total tuition, education, and textbook amounts claimed for "&amp;yeartext&amp;":"</f>
        <v>Total tuition, education, and textbook amounts claimed for 2009:</v>
      </c>
      <c r="H38" s="821" t="s">
        <v>1238</v>
      </c>
      <c r="I38" s="1290"/>
      <c r="J38" s="776"/>
      <c r="K38" s="817"/>
      <c r="L38" s="817"/>
      <c r="M38" s="817"/>
      <c r="N38" s="1566"/>
    </row>
    <row r="39" spans="1:14" ht="16.5">
      <c r="A39" s="808"/>
      <c r="B39" s="808"/>
      <c r="C39" s="808"/>
      <c r="D39" s="808"/>
      <c r="E39" s="808"/>
      <c r="F39" s="831"/>
      <c r="G39" s="831"/>
      <c r="H39" s="808"/>
      <c r="I39" s="831" t="s">
        <v>1168</v>
      </c>
      <c r="J39" s="776"/>
      <c r="K39" s="832">
        <f>K34+K37</f>
        <v>0</v>
      </c>
      <c r="L39" s="819">
        <v>17</v>
      </c>
      <c r="M39" s="819"/>
      <c r="N39" s="1566"/>
    </row>
    <row r="40" spans="1:14" ht="8.25" customHeight="1" thickBot="1">
      <c r="A40" s="817"/>
      <c r="B40" s="817"/>
      <c r="C40" s="817"/>
      <c r="D40" s="817"/>
      <c r="E40" s="817"/>
      <c r="F40" s="817"/>
      <c r="G40" s="817"/>
      <c r="H40" s="817"/>
      <c r="I40" s="817"/>
      <c r="J40" s="776"/>
      <c r="K40" s="817"/>
      <c r="L40" s="817"/>
      <c r="M40" s="817"/>
      <c r="N40" s="1566"/>
    </row>
    <row r="41" spans="1:14" ht="16.5">
      <c r="A41" s="1291" t="s">
        <v>1239</v>
      </c>
      <c r="B41" s="1292"/>
      <c r="C41" s="1293"/>
      <c r="D41" s="1293"/>
      <c r="E41" s="1293"/>
      <c r="F41" s="1293"/>
      <c r="G41" s="1293"/>
      <c r="H41" s="1293"/>
      <c r="I41" s="833"/>
      <c r="J41" s="834"/>
      <c r="K41" s="833"/>
      <c r="L41" s="835"/>
      <c r="M41" s="804"/>
      <c r="N41" s="1566"/>
    </row>
    <row r="42" spans="1:14" ht="16.5">
      <c r="A42" s="1294" t="s">
        <v>1771</v>
      </c>
      <c r="B42" s="1295"/>
      <c r="C42" s="1295"/>
      <c r="D42" s="1295"/>
      <c r="E42" s="1295"/>
      <c r="F42" s="1295"/>
      <c r="G42" s="1295"/>
      <c r="H42" s="1295"/>
      <c r="I42" s="823"/>
      <c r="J42" s="806"/>
      <c r="K42" s="836">
        <f>K29</f>
        <v>0</v>
      </c>
      <c r="L42" s="811">
        <v>18</v>
      </c>
      <c r="M42" s="838"/>
      <c r="N42" s="1566"/>
    </row>
    <row r="43" spans="1:14" ht="17.25" thickBot="1">
      <c r="A43" s="1296" t="s">
        <v>81</v>
      </c>
      <c r="B43" s="1297"/>
      <c r="C43" s="1297"/>
      <c r="D43" s="1297"/>
      <c r="E43" s="1297"/>
      <c r="F43" s="1297"/>
      <c r="G43" s="1297"/>
      <c r="H43" s="1297"/>
      <c r="I43" s="826"/>
      <c r="J43" s="806"/>
      <c r="K43" s="837">
        <f>K39</f>
        <v>0</v>
      </c>
      <c r="L43" s="811">
        <v>19</v>
      </c>
      <c r="M43" s="838"/>
      <c r="N43" s="1566"/>
    </row>
    <row r="44" spans="1:14" ht="16.5">
      <c r="A44" s="1298" t="s">
        <v>1565</v>
      </c>
      <c r="B44" s="1299"/>
      <c r="C44" s="1297"/>
      <c r="D44" s="1297"/>
      <c r="E44" s="1297"/>
      <c r="F44" s="1297"/>
      <c r="G44" s="1297"/>
      <c r="H44" s="1297"/>
      <c r="I44" s="828" t="s">
        <v>1184</v>
      </c>
      <c r="J44" s="806"/>
      <c r="K44" s="836">
        <f>K42-K43</f>
        <v>0</v>
      </c>
      <c r="L44" s="811">
        <v>20</v>
      </c>
      <c r="M44" s="838"/>
      <c r="N44" s="1566"/>
    </row>
    <row r="45" spans="1:14" ht="27" customHeight="1">
      <c r="A45" s="1300" t="s">
        <v>1185</v>
      </c>
      <c r="B45" s="1301"/>
      <c r="C45" s="1301"/>
      <c r="D45" s="1301"/>
      <c r="E45" s="1301"/>
      <c r="F45" s="1301"/>
      <c r="G45" s="1301"/>
      <c r="H45" s="1301"/>
      <c r="I45" s="804"/>
      <c r="J45" s="806"/>
      <c r="K45" s="804"/>
      <c r="L45" s="807"/>
      <c r="M45" s="804"/>
      <c r="N45" s="1566"/>
    </row>
    <row r="46" spans="1:14" ht="16.5">
      <c r="A46" s="1302" t="s">
        <v>1186</v>
      </c>
      <c r="B46" s="1303"/>
      <c r="C46" s="1301"/>
      <c r="D46" s="1301"/>
      <c r="E46" s="1301"/>
      <c r="F46" s="1301"/>
      <c r="G46" s="1301"/>
      <c r="H46" s="1301"/>
      <c r="I46" s="804"/>
      <c r="J46" s="806"/>
      <c r="K46" s="804"/>
      <c r="L46" s="807"/>
      <c r="M46" s="804"/>
      <c r="N46" s="1566"/>
    </row>
    <row r="47" spans="1:14" ht="16.5">
      <c r="A47" s="1304" t="s">
        <v>1187</v>
      </c>
      <c r="B47" s="1305"/>
      <c r="C47" s="1305"/>
      <c r="D47" s="1305"/>
      <c r="E47" s="1305"/>
      <c r="F47" s="1305"/>
      <c r="G47" s="1305"/>
      <c r="H47" s="1301"/>
      <c r="I47" s="813">
        <f>MINA(5000,K28)</f>
        <v>0</v>
      </c>
      <c r="J47" s="838">
        <v>21</v>
      </c>
      <c r="K47" s="804"/>
      <c r="L47" s="807"/>
      <c r="M47" s="804"/>
      <c r="N47" s="1566"/>
    </row>
    <row r="48" spans="1:14" ht="17.25" thickBot="1">
      <c r="A48" s="1304" t="s">
        <v>1188</v>
      </c>
      <c r="B48" s="1305"/>
      <c r="C48" s="1305"/>
      <c r="D48" s="1305"/>
      <c r="E48" s="1305"/>
      <c r="F48" s="1305"/>
      <c r="G48" s="1305"/>
      <c r="H48" s="1301"/>
      <c r="I48" s="839">
        <f>K37</f>
        <v>0</v>
      </c>
      <c r="J48" s="838">
        <v>22</v>
      </c>
      <c r="K48" s="804"/>
      <c r="L48" s="807"/>
      <c r="M48" s="804"/>
      <c r="N48" s="1566"/>
    </row>
    <row r="49" spans="1:14" ht="16.5">
      <c r="A49" s="1306" t="s">
        <v>1542</v>
      </c>
      <c r="B49" s="1307"/>
      <c r="C49" s="1305"/>
      <c r="D49" s="1305"/>
      <c r="E49" s="1305"/>
      <c r="F49" s="1308"/>
      <c r="G49" s="1308" t="s">
        <v>1189</v>
      </c>
      <c r="H49" s="1301"/>
      <c r="I49" s="813">
        <f>MAXA(0,I47-I48)</f>
        <v>0</v>
      </c>
      <c r="J49" s="838">
        <v>23</v>
      </c>
      <c r="K49" s="804"/>
      <c r="L49" s="807"/>
      <c r="M49" s="804"/>
      <c r="N49" s="1566"/>
    </row>
    <row r="50" spans="1:14" ht="23.25" customHeight="1">
      <c r="A50" s="1300" t="s">
        <v>1190</v>
      </c>
      <c r="B50" s="1301"/>
      <c r="C50" s="1026"/>
      <c r="D50" s="1026"/>
      <c r="E50" s="1026"/>
      <c r="F50" s="1031"/>
      <c r="G50" s="1031"/>
      <c r="H50" s="1026"/>
      <c r="I50" s="121"/>
      <c r="J50" s="99"/>
      <c r="K50" s="121"/>
      <c r="L50" s="803"/>
      <c r="M50" s="121"/>
      <c r="N50" s="1566"/>
    </row>
    <row r="51" spans="1:14" ht="16.5">
      <c r="A51" s="1300" t="s">
        <v>1884</v>
      </c>
      <c r="B51" s="1301"/>
      <c r="C51" s="1026"/>
      <c r="D51" s="1026"/>
      <c r="E51" s="1026"/>
      <c r="F51" s="1031"/>
      <c r="G51" s="1031"/>
      <c r="H51" s="1026"/>
      <c r="I51" s="121"/>
      <c r="J51" s="99"/>
      <c r="K51" s="121"/>
      <c r="L51" s="803"/>
      <c r="M51" s="121"/>
      <c r="N51" s="1566"/>
    </row>
    <row r="52" spans="1:14" ht="16.5">
      <c r="A52" s="1300" t="s">
        <v>2137</v>
      </c>
      <c r="B52" s="1301"/>
      <c r="C52" s="1026"/>
      <c r="D52" s="1026"/>
      <c r="E52" s="1026"/>
      <c r="F52" s="1031"/>
      <c r="G52" s="1031"/>
      <c r="H52" s="1026"/>
      <c r="I52" s="121"/>
      <c r="J52" s="99"/>
      <c r="K52" s="121"/>
      <c r="L52" s="803"/>
      <c r="M52" s="121"/>
      <c r="N52" s="1566"/>
    </row>
    <row r="53" spans="1:14" ht="16.5">
      <c r="A53" s="1300" t="s">
        <v>2138</v>
      </c>
      <c r="B53" s="1301"/>
      <c r="C53" s="1026"/>
      <c r="D53" s="1026"/>
      <c r="E53" s="1026"/>
      <c r="F53" s="1031"/>
      <c r="G53" s="1031"/>
      <c r="H53" s="1026"/>
      <c r="I53" s="121"/>
      <c r="J53" s="99"/>
      <c r="K53" s="121"/>
      <c r="L53" s="803"/>
      <c r="M53" s="121"/>
      <c r="N53" s="1566"/>
    </row>
    <row r="54" spans="1:14" ht="22.5" customHeight="1">
      <c r="A54" s="1309" t="s">
        <v>2506</v>
      </c>
      <c r="B54" s="1310"/>
      <c r="C54" s="1026"/>
      <c r="D54" s="1026"/>
      <c r="E54" s="1026"/>
      <c r="F54" s="1031"/>
      <c r="G54" s="1031"/>
      <c r="H54" s="1026"/>
      <c r="I54" s="121"/>
      <c r="J54" s="99"/>
      <c r="K54" s="121"/>
      <c r="L54" s="803"/>
      <c r="M54" s="121"/>
      <c r="N54" s="1566"/>
    </row>
    <row r="55" spans="1:14" ht="16.5">
      <c r="A55" s="1300" t="s">
        <v>1172</v>
      </c>
      <c r="B55" s="1301"/>
      <c r="C55" s="1026"/>
      <c r="D55" s="1026"/>
      <c r="E55" s="1026"/>
      <c r="F55" s="1031"/>
      <c r="G55" s="1031"/>
      <c r="H55" s="1026"/>
      <c r="I55" s="121"/>
      <c r="J55" s="99"/>
      <c r="K55" s="121"/>
      <c r="L55" s="803"/>
      <c r="M55" s="121"/>
      <c r="N55" s="1566"/>
    </row>
    <row r="56" spans="1:14" ht="17.25" thickBot="1">
      <c r="A56" s="1300" t="s">
        <v>1173</v>
      </c>
      <c r="B56" s="1301"/>
      <c r="C56" s="1301"/>
      <c r="D56" s="1301"/>
      <c r="E56" s="1301"/>
      <c r="F56" s="1311"/>
      <c r="G56" s="1311"/>
      <c r="H56" s="1301"/>
      <c r="I56" s="804"/>
      <c r="J56" s="806"/>
      <c r="K56" s="804"/>
      <c r="L56" s="807"/>
      <c r="M56" s="804"/>
      <c r="N56" s="1566"/>
    </row>
    <row r="57" spans="1:14" ht="21" customHeight="1" thickBot="1">
      <c r="A57" s="1306" t="s">
        <v>1236</v>
      </c>
      <c r="B57" s="1307"/>
      <c r="C57" s="1305"/>
      <c r="D57" s="1305"/>
      <c r="E57" s="1305"/>
      <c r="F57" s="1312"/>
      <c r="G57" s="1312"/>
      <c r="H57" s="1305"/>
      <c r="I57" s="808"/>
      <c r="J57" s="810">
        <v>327</v>
      </c>
      <c r="K57" s="1316">
        <f>I49</f>
        <v>0</v>
      </c>
      <c r="L57" s="811">
        <v>24</v>
      </c>
      <c r="M57" s="838"/>
      <c r="N57" s="1566"/>
    </row>
    <row r="58" spans="1:14" ht="16.5">
      <c r="A58" s="1306" t="s">
        <v>1049</v>
      </c>
      <c r="B58" s="1307"/>
      <c r="C58" s="1305"/>
      <c r="D58" s="1305"/>
      <c r="E58" s="1305"/>
      <c r="F58" s="1312"/>
      <c r="G58" s="1312"/>
      <c r="H58" s="1305"/>
      <c r="I58" s="812" t="s">
        <v>1237</v>
      </c>
      <c r="J58" s="806"/>
      <c r="K58" s="813">
        <f>K44-K57</f>
        <v>0</v>
      </c>
      <c r="L58" s="811">
        <v>25</v>
      </c>
      <c r="M58" s="838"/>
      <c r="N58" s="1566"/>
    </row>
    <row r="59" spans="1:14" ht="23.25" customHeight="1" thickBot="1">
      <c r="A59" s="1313"/>
      <c r="B59" s="1314"/>
      <c r="C59" s="1314"/>
      <c r="D59" s="1314"/>
      <c r="E59" s="1314"/>
      <c r="F59" s="1315"/>
      <c r="G59" s="1315"/>
      <c r="H59" s="1314"/>
      <c r="I59" s="814"/>
      <c r="J59" s="815" t="s">
        <v>1285</v>
      </c>
      <c r="K59" s="814"/>
      <c r="L59" s="816"/>
      <c r="M59" s="804"/>
      <c r="N59" s="1566"/>
    </row>
    <row r="60" spans="1:14" ht="6.75" customHeight="1">
      <c r="A60" s="78"/>
      <c r="B60" s="78"/>
      <c r="C60" s="78"/>
      <c r="D60" s="78"/>
      <c r="E60" s="78"/>
      <c r="F60" s="78"/>
      <c r="G60" s="78"/>
      <c r="H60" s="78"/>
      <c r="I60" s="78"/>
      <c r="J60" s="78"/>
      <c r="K60" s="78"/>
      <c r="L60" s="78" t="s">
        <v>1773</v>
      </c>
      <c r="M60" s="78"/>
      <c r="N60" s="1566"/>
    </row>
    <row r="61" spans="1:2" ht="15">
      <c r="A61" s="60" t="s">
        <v>1584</v>
      </c>
      <c r="B61" s="60"/>
    </row>
  </sheetData>
  <sheetProtection password="EC35" sheet="1" objects="1" scenarios="1"/>
  <mergeCells count="1">
    <mergeCell ref="N1:N60"/>
  </mergeCells>
  <printOptions horizontalCentered="1"/>
  <pageMargins left="0.15748031496062992" right="0.15748031496062992" top="0.31496062992125984" bottom="0.31496062992125984" header="0.5118110236220472" footer="0.5118110236220472"/>
  <pageSetup fitToHeight="0" fitToWidth="1" horizontalDpi="600" verticalDpi="600" orientation="portrait" scale="70"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1" sqref="A1"/>
    </sheetView>
  </sheetViews>
  <sheetFormatPr defaultColWidth="8.88671875" defaultRowHeight="15"/>
  <cols>
    <col min="1" max="1" width="3.77734375" style="0" customWidth="1"/>
    <col min="2" max="2" width="1.88671875" style="0" customWidth="1"/>
    <col min="3" max="3" width="13.6640625" style="0" customWidth="1"/>
    <col min="4" max="4" width="24.21484375" style="0" customWidth="1"/>
    <col min="5" max="5" width="15.3359375" style="0" customWidth="1"/>
    <col min="6" max="6" width="34.3359375" style="0" customWidth="1"/>
    <col min="7" max="7" width="4.77734375" style="0" customWidth="1"/>
    <col min="8" max="8" width="14.88671875" style="0" customWidth="1"/>
    <col min="9" max="9" width="3.77734375" style="0" customWidth="1"/>
    <col min="10" max="10" width="4.77734375" style="0" customWidth="1"/>
  </cols>
  <sheetData>
    <row r="1" spans="1:11" ht="23.25">
      <c r="A1" s="112"/>
      <c r="B1" s="135" t="str">
        <f>"T1-"&amp;yeartext</f>
        <v>T1-2009</v>
      </c>
      <c r="C1" s="112"/>
      <c r="D1" s="1794" t="s">
        <v>340</v>
      </c>
      <c r="E1" s="1795"/>
      <c r="F1" s="1795"/>
      <c r="G1" s="112"/>
      <c r="H1" s="112"/>
      <c r="I1" s="1185" t="s">
        <v>339</v>
      </c>
      <c r="K1" s="1566"/>
    </row>
    <row r="2" spans="1:11" ht="15">
      <c r="A2" s="112"/>
      <c r="B2" s="112"/>
      <c r="C2" s="112"/>
      <c r="D2" s="112"/>
      <c r="E2" s="112"/>
      <c r="F2" s="112"/>
      <c r="G2" s="112"/>
      <c r="H2" s="112"/>
      <c r="I2" s="112"/>
      <c r="K2" s="1566"/>
    </row>
    <row r="3" spans="1:11" ht="15">
      <c r="A3" s="112"/>
      <c r="B3" s="112" t="s">
        <v>319</v>
      </c>
      <c r="C3" s="112"/>
      <c r="D3" s="112"/>
      <c r="E3" s="112"/>
      <c r="F3" s="112"/>
      <c r="G3" s="112"/>
      <c r="H3" s="112"/>
      <c r="I3" s="112"/>
      <c r="K3" s="1566"/>
    </row>
    <row r="4" spans="1:11" ht="15">
      <c r="A4" s="112"/>
      <c r="B4" s="112" t="s">
        <v>320</v>
      </c>
      <c r="C4" s="112"/>
      <c r="D4" s="112"/>
      <c r="E4" s="112"/>
      <c r="F4" s="112"/>
      <c r="G4" s="112"/>
      <c r="H4" s="112"/>
      <c r="I4" s="112"/>
      <c r="K4" s="1566"/>
    </row>
    <row r="5" spans="1:11" ht="26.25" customHeight="1">
      <c r="A5" s="112"/>
      <c r="B5" s="112" t="s">
        <v>321</v>
      </c>
      <c r="C5" s="112"/>
      <c r="D5" s="112"/>
      <c r="E5" s="112"/>
      <c r="F5" s="112"/>
      <c r="G5" s="112"/>
      <c r="H5" s="112"/>
      <c r="I5" s="112"/>
      <c r="K5" s="1566"/>
    </row>
    <row r="6" spans="1:11" ht="15">
      <c r="A6" s="112"/>
      <c r="B6" s="112" t="s">
        <v>341</v>
      </c>
      <c r="C6" s="112"/>
      <c r="D6" s="112"/>
      <c r="E6" s="112"/>
      <c r="F6" s="112"/>
      <c r="G6" s="112"/>
      <c r="H6" s="112"/>
      <c r="I6" s="112"/>
      <c r="K6" s="1566"/>
    </row>
    <row r="7" spans="1:11" ht="32.25" customHeight="1">
      <c r="A7" s="112"/>
      <c r="B7" s="112" t="s">
        <v>322</v>
      </c>
      <c r="C7" s="112"/>
      <c r="D7" s="112"/>
      <c r="E7" s="112"/>
      <c r="F7" s="112"/>
      <c r="G7" s="112"/>
      <c r="H7" s="112"/>
      <c r="I7" s="112"/>
      <c r="K7" s="1566"/>
    </row>
    <row r="8" spans="1:11" ht="39" customHeight="1">
      <c r="A8" s="112"/>
      <c r="B8" s="1502" t="s">
        <v>323</v>
      </c>
      <c r="C8" s="112"/>
      <c r="D8" s="112"/>
      <c r="E8" s="112"/>
      <c r="F8" s="112"/>
      <c r="G8" s="112"/>
      <c r="H8" s="112"/>
      <c r="I8" s="112"/>
      <c r="K8" s="1566"/>
    </row>
    <row r="9" spans="1:11" ht="15.75">
      <c r="A9" s="112"/>
      <c r="B9" s="112"/>
      <c r="C9" s="1798" t="s">
        <v>332</v>
      </c>
      <c r="D9" s="1796" t="s">
        <v>328</v>
      </c>
      <c r="E9" s="1797"/>
      <c r="F9" s="1802" t="s">
        <v>327</v>
      </c>
      <c r="G9" s="1803"/>
      <c r="H9" s="1503" t="s">
        <v>324</v>
      </c>
      <c r="I9" s="112"/>
      <c r="K9" s="1566"/>
    </row>
    <row r="10" spans="1:11" ht="15.75">
      <c r="A10" s="112"/>
      <c r="B10" s="112"/>
      <c r="C10" s="1799"/>
      <c r="D10" s="1801" t="s">
        <v>329</v>
      </c>
      <c r="E10" s="1504" t="s">
        <v>330</v>
      </c>
      <c r="F10" s="1804"/>
      <c r="G10" s="1805"/>
      <c r="H10" s="1505" t="s">
        <v>325</v>
      </c>
      <c r="I10" s="112"/>
      <c r="K10" s="1566"/>
    </row>
    <row r="11" spans="1:11" ht="15.75">
      <c r="A11" s="112"/>
      <c r="B11" s="112"/>
      <c r="C11" s="1800"/>
      <c r="D11" s="1800"/>
      <c r="E11" s="1506" t="s">
        <v>331</v>
      </c>
      <c r="F11" s="1806"/>
      <c r="G11" s="1807"/>
      <c r="H11" s="1507" t="s">
        <v>326</v>
      </c>
      <c r="I11" s="112"/>
      <c r="K11" s="1566"/>
    </row>
    <row r="12" spans="1:11" ht="15">
      <c r="A12" s="112"/>
      <c r="B12" s="112"/>
      <c r="C12" s="1515"/>
      <c r="D12" s="1516"/>
      <c r="E12" s="1517"/>
      <c r="F12" s="1792"/>
      <c r="G12" s="1793"/>
      <c r="H12" s="1518"/>
      <c r="I12" s="112"/>
      <c r="K12" s="1566"/>
    </row>
    <row r="13" spans="1:11" ht="15">
      <c r="A13" s="112"/>
      <c r="B13" s="112"/>
      <c r="C13" s="1515"/>
      <c r="D13" s="1516"/>
      <c r="E13" s="1519"/>
      <c r="F13" s="1792"/>
      <c r="G13" s="1793"/>
      <c r="H13" s="1518"/>
      <c r="I13" s="112"/>
      <c r="K13" s="1566"/>
    </row>
    <row r="14" spans="1:11" ht="15">
      <c r="A14" s="112"/>
      <c r="B14" s="112"/>
      <c r="C14" s="1515"/>
      <c r="D14" s="1516"/>
      <c r="E14" s="1519"/>
      <c r="F14" s="1792"/>
      <c r="G14" s="1793"/>
      <c r="H14" s="1518"/>
      <c r="I14" s="112"/>
      <c r="K14" s="1566"/>
    </row>
    <row r="15" spans="1:11" ht="15">
      <c r="A15" s="112"/>
      <c r="B15" s="112"/>
      <c r="C15" s="1515"/>
      <c r="D15" s="1516"/>
      <c r="E15" s="1519"/>
      <c r="F15" s="1792"/>
      <c r="G15" s="1793"/>
      <c r="H15" s="1518"/>
      <c r="I15" s="112"/>
      <c r="K15" s="1566"/>
    </row>
    <row r="16" spans="1:11" ht="15">
      <c r="A16" s="112"/>
      <c r="B16" s="112"/>
      <c r="C16" s="1515"/>
      <c r="D16" s="1516"/>
      <c r="E16" s="1519"/>
      <c r="F16" s="1792"/>
      <c r="G16" s="1793"/>
      <c r="H16" s="1518"/>
      <c r="I16" s="112"/>
      <c r="K16" s="1566"/>
    </row>
    <row r="17" spans="1:11" ht="15">
      <c r="A17" s="112"/>
      <c r="B17" s="112"/>
      <c r="C17" s="1515"/>
      <c r="D17" s="1516"/>
      <c r="E17" s="1519"/>
      <c r="F17" s="1792"/>
      <c r="G17" s="1793"/>
      <c r="H17" s="1518"/>
      <c r="I17" s="112"/>
      <c r="K17" s="1566"/>
    </row>
    <row r="18" spans="1:11" ht="15">
      <c r="A18" s="112"/>
      <c r="B18" s="112"/>
      <c r="C18" s="1515"/>
      <c r="D18" s="1516"/>
      <c r="E18" s="1519"/>
      <c r="F18" s="1792"/>
      <c r="G18" s="1793"/>
      <c r="H18" s="1518"/>
      <c r="I18" s="112"/>
      <c r="K18" s="1566"/>
    </row>
    <row r="19" spans="1:11" ht="15">
      <c r="A19" s="112"/>
      <c r="B19" s="112"/>
      <c r="C19" s="1515"/>
      <c r="D19" s="1516"/>
      <c r="E19" s="1519"/>
      <c r="F19" s="1792"/>
      <c r="G19" s="1793"/>
      <c r="H19" s="1518"/>
      <c r="I19" s="112"/>
      <c r="K19" s="1566"/>
    </row>
    <row r="20" spans="1:11" ht="15">
      <c r="A20" s="112"/>
      <c r="B20" s="112"/>
      <c r="C20" s="1515"/>
      <c r="D20" s="1516"/>
      <c r="E20" s="1519"/>
      <c r="F20" s="1792"/>
      <c r="G20" s="1793"/>
      <c r="H20" s="1518"/>
      <c r="I20" s="112"/>
      <c r="K20" s="1566"/>
    </row>
    <row r="21" spans="1:11" ht="15">
      <c r="A21" s="112"/>
      <c r="B21" s="112"/>
      <c r="C21" s="1515"/>
      <c r="D21" s="1516"/>
      <c r="E21" s="1519"/>
      <c r="F21" s="1792"/>
      <c r="G21" s="1793"/>
      <c r="H21" s="1518"/>
      <c r="I21" s="112"/>
      <c r="K21" s="1566"/>
    </row>
    <row r="22" spans="1:11" ht="15">
      <c r="A22" s="112"/>
      <c r="B22" s="112"/>
      <c r="C22" s="1515"/>
      <c r="D22" s="1516"/>
      <c r="E22" s="1519"/>
      <c r="F22" s="1792"/>
      <c r="G22" s="1793"/>
      <c r="H22" s="1518"/>
      <c r="I22" s="112"/>
      <c r="K22" s="1566"/>
    </row>
    <row r="23" spans="1:11" ht="15">
      <c r="A23" s="112"/>
      <c r="B23" s="112"/>
      <c r="C23" s="1515"/>
      <c r="D23" s="1516"/>
      <c r="E23" s="1519"/>
      <c r="F23" s="1792"/>
      <c r="G23" s="1793"/>
      <c r="H23" s="1518"/>
      <c r="I23" s="112"/>
      <c r="K23" s="1566"/>
    </row>
    <row r="24" spans="1:11" ht="15">
      <c r="A24" s="112"/>
      <c r="B24" s="112"/>
      <c r="C24" s="1515"/>
      <c r="D24" s="1516"/>
      <c r="E24" s="1519"/>
      <c r="F24" s="1792"/>
      <c r="G24" s="1793"/>
      <c r="H24" s="1518"/>
      <c r="I24" s="112"/>
      <c r="K24" s="1566"/>
    </row>
    <row r="25" spans="1:11" ht="15">
      <c r="A25" s="112"/>
      <c r="B25" s="112"/>
      <c r="C25" s="1515"/>
      <c r="D25" s="1516"/>
      <c r="E25" s="1519"/>
      <c r="F25" s="1792"/>
      <c r="G25" s="1793"/>
      <c r="H25" s="1518"/>
      <c r="I25" s="112"/>
      <c r="K25" s="1566"/>
    </row>
    <row r="26" spans="1:11" ht="15">
      <c r="A26" s="112"/>
      <c r="B26" s="112"/>
      <c r="C26" s="1515"/>
      <c r="D26" s="1516"/>
      <c r="E26" s="1519"/>
      <c r="F26" s="1792"/>
      <c r="G26" s="1793"/>
      <c r="H26" s="1518"/>
      <c r="I26" s="112"/>
      <c r="K26" s="1566"/>
    </row>
    <row r="27" spans="1:11" ht="15">
      <c r="A27" s="112"/>
      <c r="B27" s="112"/>
      <c r="C27" s="1515"/>
      <c r="D27" s="1516"/>
      <c r="E27" s="1519"/>
      <c r="F27" s="1792"/>
      <c r="G27" s="1793"/>
      <c r="H27" s="1518"/>
      <c r="I27" s="112"/>
      <c r="K27" s="1566"/>
    </row>
    <row r="28" spans="1:11" ht="22.5" customHeight="1">
      <c r="A28" s="112"/>
      <c r="B28" s="112"/>
      <c r="C28" s="112"/>
      <c r="D28" s="112"/>
      <c r="E28" s="112"/>
      <c r="F28" s="1508"/>
      <c r="G28" s="1508" t="s">
        <v>338</v>
      </c>
      <c r="H28" s="1513">
        <f>SUM(H12:H27)</f>
        <v>0</v>
      </c>
      <c r="I28" s="1324" t="s">
        <v>1281</v>
      </c>
      <c r="K28" s="1566"/>
    </row>
    <row r="29" spans="1:11" ht="16.5">
      <c r="A29" s="817"/>
      <c r="B29" s="112"/>
      <c r="C29" s="112"/>
      <c r="D29" s="112"/>
      <c r="E29" s="112"/>
      <c r="F29" s="112"/>
      <c r="G29" s="112"/>
      <c r="H29" s="112"/>
      <c r="I29" s="112"/>
      <c r="K29" s="1566"/>
    </row>
    <row r="30" spans="1:11" ht="15.75">
      <c r="A30" s="112"/>
      <c r="B30" s="112"/>
      <c r="C30" s="1509" t="s">
        <v>333</v>
      </c>
      <c r="D30" s="125"/>
      <c r="E30" s="125"/>
      <c r="F30" s="125"/>
      <c r="G30" s="112"/>
      <c r="H30" s="1210"/>
      <c r="I30" s="1324" t="s">
        <v>1314</v>
      </c>
      <c r="K30" s="1566"/>
    </row>
    <row r="31" spans="1:11" ht="15">
      <c r="A31" s="112"/>
      <c r="B31" s="112"/>
      <c r="C31" s="112"/>
      <c r="D31" s="112"/>
      <c r="E31" s="112"/>
      <c r="F31" s="112"/>
      <c r="G31" s="112"/>
      <c r="H31" s="112"/>
      <c r="I31" s="112"/>
      <c r="K31" s="1566"/>
    </row>
    <row r="32" spans="1:11" ht="16.5">
      <c r="A32" s="112"/>
      <c r="B32" s="112"/>
      <c r="C32" s="1509" t="s">
        <v>403</v>
      </c>
      <c r="D32" s="125"/>
      <c r="E32" s="125"/>
      <c r="F32" s="1510" t="s">
        <v>334</v>
      </c>
      <c r="G32" s="112"/>
      <c r="H32" s="1512">
        <f>MIN(H28-H30,10000)</f>
        <v>0</v>
      </c>
      <c r="I32" s="1324" t="s">
        <v>1315</v>
      </c>
      <c r="K32" s="1566"/>
    </row>
    <row r="33" spans="1:11" ht="16.5">
      <c r="A33" s="112"/>
      <c r="B33" s="112"/>
      <c r="C33" s="1509" t="s">
        <v>1523</v>
      </c>
      <c r="D33" s="126"/>
      <c r="E33" s="126"/>
      <c r="F33" s="126"/>
      <c r="G33" s="112"/>
      <c r="H33" s="1512">
        <v>1000</v>
      </c>
      <c r="I33" s="1324" t="s">
        <v>1316</v>
      </c>
      <c r="K33" s="1566"/>
    </row>
    <row r="34" spans="1:11" ht="15">
      <c r="A34" s="112"/>
      <c r="B34" s="112"/>
      <c r="C34" s="112"/>
      <c r="D34" s="112"/>
      <c r="E34" s="112"/>
      <c r="F34" s="112"/>
      <c r="G34" s="112"/>
      <c r="H34" s="112"/>
      <c r="I34" s="112"/>
      <c r="K34" s="1566"/>
    </row>
    <row r="35" spans="1:11" ht="16.5">
      <c r="A35" s="112"/>
      <c r="B35" s="112"/>
      <c r="C35" s="1509" t="s">
        <v>2055</v>
      </c>
      <c r="D35" s="125"/>
      <c r="E35" s="125"/>
      <c r="F35" s="125"/>
      <c r="G35" s="112"/>
      <c r="H35" s="1512">
        <f>MAX(H32-H33,0)</f>
        <v>0</v>
      </c>
      <c r="I35" s="1324" t="s">
        <v>1317</v>
      </c>
      <c r="K35" s="1566"/>
    </row>
    <row r="36" spans="1:11" ht="15.75">
      <c r="A36" s="112"/>
      <c r="B36" s="112"/>
      <c r="C36" s="1509" t="s">
        <v>335</v>
      </c>
      <c r="D36" s="126"/>
      <c r="E36" s="126"/>
      <c r="F36" s="126"/>
      <c r="G36" s="112"/>
      <c r="H36" s="1514"/>
      <c r="I36" s="1324" t="s">
        <v>1318</v>
      </c>
      <c r="K36" s="1566"/>
    </row>
    <row r="37" spans="1:11" ht="15">
      <c r="A37" s="112"/>
      <c r="B37" s="112"/>
      <c r="C37" s="1511" t="s">
        <v>1852</v>
      </c>
      <c r="D37" s="112"/>
      <c r="E37" s="112"/>
      <c r="F37" s="112"/>
      <c r="G37" s="112"/>
      <c r="H37" s="112"/>
      <c r="I37" s="112"/>
      <c r="K37" s="1566"/>
    </row>
    <row r="38" spans="1:11" ht="16.5">
      <c r="A38" s="112"/>
      <c r="B38" s="112"/>
      <c r="C38" s="1509" t="s">
        <v>336</v>
      </c>
      <c r="D38" s="125"/>
      <c r="E38" s="125"/>
      <c r="F38" s="1510" t="s">
        <v>337</v>
      </c>
      <c r="G38" s="112"/>
      <c r="H38" s="1513">
        <f>MAX(H35-H36,0)</f>
        <v>0</v>
      </c>
      <c r="I38" s="1324" t="s">
        <v>1527</v>
      </c>
      <c r="K38" s="1566"/>
    </row>
    <row r="39" spans="1:11" ht="15">
      <c r="A39" s="112"/>
      <c r="B39" s="112"/>
      <c r="C39" s="112"/>
      <c r="D39" s="112"/>
      <c r="E39" s="112"/>
      <c r="F39" s="112"/>
      <c r="G39" s="112"/>
      <c r="H39" s="112"/>
      <c r="I39" s="112"/>
      <c r="K39" s="1566"/>
    </row>
  </sheetData>
  <sheetProtection password="EC35" sheet="1" objects="1" scenarios="1"/>
  <mergeCells count="22">
    <mergeCell ref="D9:E9"/>
    <mergeCell ref="C9:C11"/>
    <mergeCell ref="D10:D11"/>
    <mergeCell ref="F9:G11"/>
    <mergeCell ref="F13:G13"/>
    <mergeCell ref="F14:G14"/>
    <mergeCell ref="F27:G27"/>
    <mergeCell ref="K1:K39"/>
    <mergeCell ref="F19:G19"/>
    <mergeCell ref="F20:G20"/>
    <mergeCell ref="F21:G21"/>
    <mergeCell ref="F22:G22"/>
    <mergeCell ref="D1:F1"/>
    <mergeCell ref="F12:G12"/>
    <mergeCell ref="F17:G17"/>
    <mergeCell ref="F18:G18"/>
    <mergeCell ref="F23:G23"/>
    <mergeCell ref="F24:G24"/>
    <mergeCell ref="F15:G15"/>
    <mergeCell ref="F16:G16"/>
    <mergeCell ref="F25:G25"/>
    <mergeCell ref="F26:G26"/>
  </mergeCells>
  <printOptions horizontalCentered="1"/>
  <pageMargins left="0" right="0" top="0" bottom="0" header="0.511809930008749" footer="0.511809930008749"/>
  <pageSetup fitToHeight="0" fitToWidth="1" horizontalDpi="600" verticalDpi="600" orientation="portrait" scale="73" r:id="rId1"/>
  <headerFooter>
    <oddFooter>&amp;L5000-S12</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1:O126"/>
  <sheetViews>
    <sheetView zoomScalePageLayoutView="0" workbookViewId="0" topLeftCell="A1">
      <selection activeCell="A1" sqref="A1"/>
    </sheetView>
  </sheetViews>
  <sheetFormatPr defaultColWidth="8.88671875" defaultRowHeight="15"/>
  <cols>
    <col min="1" max="1" width="2.99609375" style="630" customWidth="1"/>
    <col min="2" max="2" width="8.3359375" style="630" customWidth="1"/>
    <col min="3" max="3" width="49.10546875" style="630" customWidth="1"/>
    <col min="4" max="4" width="6.4453125" style="630" customWidth="1"/>
    <col min="5" max="10" width="12.21484375" style="630" customWidth="1"/>
    <col min="11" max="11" width="14.4453125" style="630" customWidth="1"/>
    <col min="12" max="16384" width="8.88671875" style="630" customWidth="1"/>
  </cols>
  <sheetData>
    <row r="1" spans="2:12" ht="18">
      <c r="B1" s="35"/>
      <c r="C1" s="33" t="str">
        <f>"T4-"&amp;yeartext&amp;" SLIPS DATA ENTRY FORM"</f>
        <v>T4-2009 SLIPS DATA ENTRY FORM</v>
      </c>
      <c r="D1" s="33"/>
      <c r="E1" s="34" t="s">
        <v>655</v>
      </c>
      <c r="F1" s="35"/>
      <c r="G1" s="35"/>
      <c r="H1" s="36"/>
      <c r="I1" s="35"/>
      <c r="J1" s="36" t="str">
        <f>yeartext</f>
        <v>2009</v>
      </c>
      <c r="K1" s="629"/>
      <c r="L1" s="1566" t="s">
        <v>35</v>
      </c>
    </row>
    <row r="2" spans="2:12" ht="15.75">
      <c r="B2" s="35"/>
      <c r="C2" s="35"/>
      <c r="D2" s="37"/>
      <c r="E2" s="629"/>
      <c r="F2" s="35"/>
      <c r="G2" s="35"/>
      <c r="H2" s="35"/>
      <c r="I2" s="35"/>
      <c r="J2" s="35"/>
      <c r="K2" s="629"/>
      <c r="L2" s="1566"/>
    </row>
    <row r="3" spans="2:12" ht="18">
      <c r="B3" s="38"/>
      <c r="C3" s="38" t="s">
        <v>656</v>
      </c>
      <c r="D3" s="35"/>
      <c r="E3" s="37"/>
      <c r="F3" s="35"/>
      <c r="G3" s="35"/>
      <c r="H3" s="35"/>
      <c r="I3" s="35"/>
      <c r="J3" s="35"/>
      <c r="K3" s="629"/>
      <c r="L3" s="1566"/>
    </row>
    <row r="4" spans="2:12" ht="18">
      <c r="B4" s="38"/>
      <c r="C4" s="38" t="s">
        <v>574</v>
      </c>
      <c r="D4" s="35"/>
      <c r="E4" s="37"/>
      <c r="F4" s="35"/>
      <c r="G4" s="35"/>
      <c r="H4" s="35"/>
      <c r="I4" s="35"/>
      <c r="J4" s="35"/>
      <c r="K4" s="629"/>
      <c r="L4" s="1566"/>
    </row>
    <row r="5" spans="2:12" ht="18">
      <c r="B5" s="38"/>
      <c r="C5" s="38" t="s">
        <v>976</v>
      </c>
      <c r="D5" s="35"/>
      <c r="E5" s="37"/>
      <c r="F5" s="35"/>
      <c r="G5" s="35"/>
      <c r="H5" s="35"/>
      <c r="I5" s="35"/>
      <c r="J5" s="35"/>
      <c r="K5" s="629"/>
      <c r="L5" s="1566"/>
    </row>
    <row r="6" spans="2:12" ht="18">
      <c r="B6" s="38"/>
      <c r="C6" s="38" t="s">
        <v>423</v>
      </c>
      <c r="D6" s="35"/>
      <c r="E6" s="37"/>
      <c r="F6" s="35"/>
      <c r="G6" s="35"/>
      <c r="H6" s="35"/>
      <c r="I6" s="35"/>
      <c r="J6" s="35"/>
      <c r="K6" s="629"/>
      <c r="L6" s="1566"/>
    </row>
    <row r="7" spans="2:12" ht="18">
      <c r="B7" s="38"/>
      <c r="C7" s="38" t="s">
        <v>424</v>
      </c>
      <c r="D7" s="35"/>
      <c r="E7" s="37"/>
      <c r="F7" s="35"/>
      <c r="G7" s="35"/>
      <c r="H7" s="35"/>
      <c r="I7" s="35"/>
      <c r="J7" s="35"/>
      <c r="K7" s="629"/>
      <c r="L7" s="1566"/>
    </row>
    <row r="8" spans="2:12" ht="18">
      <c r="B8" s="38"/>
      <c r="C8" s="38" t="s">
        <v>1517</v>
      </c>
      <c r="D8" s="35"/>
      <c r="E8" s="37"/>
      <c r="F8" s="35"/>
      <c r="G8" s="35"/>
      <c r="H8" s="35"/>
      <c r="I8" s="35"/>
      <c r="J8" s="35"/>
      <c r="K8" s="629"/>
      <c r="L8" s="1566"/>
    </row>
    <row r="9" spans="2:12" ht="18">
      <c r="B9" s="38"/>
      <c r="C9" s="38" t="s">
        <v>832</v>
      </c>
      <c r="D9" s="35"/>
      <c r="E9" s="37"/>
      <c r="F9" s="35"/>
      <c r="G9" s="35"/>
      <c r="H9" s="35"/>
      <c r="I9" s="35"/>
      <c r="J9" s="35"/>
      <c r="K9" s="629"/>
      <c r="L9" s="1566"/>
    </row>
    <row r="10" spans="2:12" ht="18">
      <c r="B10" s="38"/>
      <c r="C10" s="38" t="s">
        <v>852</v>
      </c>
      <c r="D10" s="35"/>
      <c r="E10" s="37"/>
      <c r="F10" s="35"/>
      <c r="G10" s="35"/>
      <c r="H10" s="35"/>
      <c r="I10" s="35"/>
      <c r="J10" s="35"/>
      <c r="K10" s="629"/>
      <c r="L10" s="1566"/>
    </row>
    <row r="11" spans="2:12" ht="18">
      <c r="B11" s="38"/>
      <c r="C11" s="38" t="s">
        <v>1466</v>
      </c>
      <c r="D11" s="35"/>
      <c r="E11" s="37"/>
      <c r="F11" s="35"/>
      <c r="G11" s="35"/>
      <c r="H11" s="35"/>
      <c r="I11" s="35"/>
      <c r="J11" s="35"/>
      <c r="K11" s="629"/>
      <c r="L11" s="1566"/>
    </row>
    <row r="12" spans="2:12" ht="15.75">
      <c r="B12" s="39"/>
      <c r="C12" s="39"/>
      <c r="D12" s="39"/>
      <c r="E12" s="40"/>
      <c r="F12" s="39"/>
      <c r="G12" s="39"/>
      <c r="H12" s="39"/>
      <c r="I12" s="39"/>
      <c r="J12" s="39"/>
      <c r="K12" s="629"/>
      <c r="L12" s="1566"/>
    </row>
    <row r="13" spans="2:14" ht="36">
      <c r="B13" s="41" t="s">
        <v>855</v>
      </c>
      <c r="C13" s="41" t="s">
        <v>1068</v>
      </c>
      <c r="D13" s="41" t="s">
        <v>673</v>
      </c>
      <c r="E13" s="42" t="s">
        <v>856</v>
      </c>
      <c r="F13" s="42" t="s">
        <v>857</v>
      </c>
      <c r="G13" s="42" t="s">
        <v>858</v>
      </c>
      <c r="H13" s="42" t="s">
        <v>859</v>
      </c>
      <c r="I13" s="42" t="s">
        <v>1216</v>
      </c>
      <c r="J13" s="42" t="s">
        <v>1217</v>
      </c>
      <c r="K13" s="629"/>
      <c r="L13" s="1566"/>
      <c r="N13" s="910"/>
    </row>
    <row r="14" spans="2:12" ht="18">
      <c r="B14" s="329"/>
      <c r="C14" s="550" t="s">
        <v>445</v>
      </c>
      <c r="D14" s="329"/>
      <c r="E14" s="551"/>
      <c r="F14" s="551"/>
      <c r="G14" s="551"/>
      <c r="H14" s="551"/>
      <c r="I14" s="551"/>
      <c r="J14" s="342"/>
      <c r="K14" s="629"/>
      <c r="L14" s="1566"/>
    </row>
    <row r="15" spans="2:12" ht="15.75">
      <c r="B15" s="43"/>
      <c r="C15" s="44"/>
      <c r="D15" s="43"/>
      <c r="E15" s="45"/>
      <c r="F15" s="44"/>
      <c r="G15" s="44"/>
      <c r="H15" s="44"/>
      <c r="I15" s="44"/>
      <c r="J15" s="629"/>
      <c r="K15" s="629"/>
      <c r="L15" s="1566"/>
    </row>
    <row r="16" spans="2:14" ht="18">
      <c r="B16" s="46"/>
      <c r="C16" s="47" t="s">
        <v>1219</v>
      </c>
      <c r="D16" s="313" t="s">
        <v>1218</v>
      </c>
      <c r="E16" s="256"/>
      <c r="F16" s="257" t="s">
        <v>1019</v>
      </c>
      <c r="G16" s="257" t="s">
        <v>1019</v>
      </c>
      <c r="H16" s="257" t="s">
        <v>1019</v>
      </c>
      <c r="I16" s="258" t="s">
        <v>1019</v>
      </c>
      <c r="J16" s="629"/>
      <c r="K16" s="629"/>
      <c r="L16" s="1566"/>
      <c r="N16" s="908"/>
    </row>
    <row r="17" spans="2:14" ht="18">
      <c r="B17" s="46"/>
      <c r="C17" s="48"/>
      <c r="D17" s="313"/>
      <c r="E17" s="45"/>
      <c r="F17" s="45"/>
      <c r="G17" s="44"/>
      <c r="H17" s="44"/>
      <c r="I17" s="44"/>
      <c r="J17" s="629"/>
      <c r="K17" s="629"/>
      <c r="L17" s="1566"/>
      <c r="N17" s="908"/>
    </row>
    <row r="18" spans="2:14" ht="18">
      <c r="B18" s="46" t="s">
        <v>1221</v>
      </c>
      <c r="C18" s="49" t="s">
        <v>853</v>
      </c>
      <c r="D18" s="313" t="s">
        <v>1220</v>
      </c>
      <c r="E18" s="262"/>
      <c r="F18" s="263"/>
      <c r="G18" s="263"/>
      <c r="H18" s="263"/>
      <c r="I18" s="264"/>
      <c r="J18" s="631">
        <f>SUM(E18:I18)</f>
        <v>0</v>
      </c>
      <c r="K18" s="629"/>
      <c r="L18" s="1566"/>
      <c r="N18" s="908"/>
    </row>
    <row r="19" spans="2:14" ht="18">
      <c r="B19" s="46"/>
      <c r="C19" s="50"/>
      <c r="D19" s="313"/>
      <c r="E19" s="51"/>
      <c r="F19" s="48"/>
      <c r="G19" s="48"/>
      <c r="H19" s="48"/>
      <c r="I19" s="48"/>
      <c r="J19" s="636"/>
      <c r="K19" s="629"/>
      <c r="L19" s="1566"/>
      <c r="N19" s="908"/>
    </row>
    <row r="20" spans="2:14" ht="18">
      <c r="B20" s="46" t="s">
        <v>1223</v>
      </c>
      <c r="C20" s="49" t="s">
        <v>577</v>
      </c>
      <c r="D20" s="313" t="s">
        <v>1222</v>
      </c>
      <c r="E20" s="259"/>
      <c r="F20" s="260"/>
      <c r="G20" s="260"/>
      <c r="H20" s="260"/>
      <c r="I20" s="261"/>
      <c r="J20" s="638">
        <f>SUM(E20:I20)</f>
        <v>0</v>
      </c>
      <c r="K20" s="629"/>
      <c r="L20" s="1566"/>
      <c r="N20" s="908"/>
    </row>
    <row r="21" spans="2:14" ht="18">
      <c r="B21" s="46"/>
      <c r="C21" s="50"/>
      <c r="D21" s="313"/>
      <c r="E21" s="51"/>
      <c r="F21" s="48"/>
      <c r="G21" s="48"/>
      <c r="H21" s="48"/>
      <c r="I21" s="48"/>
      <c r="J21" s="636"/>
      <c r="K21" s="629"/>
      <c r="L21" s="1566"/>
      <c r="N21" s="908"/>
    </row>
    <row r="22" spans="2:14" ht="18">
      <c r="B22" s="46" t="s">
        <v>1223</v>
      </c>
      <c r="C22" s="49" t="s">
        <v>1878</v>
      </c>
      <c r="D22" s="313" t="s">
        <v>1224</v>
      </c>
      <c r="E22" s="259"/>
      <c r="F22" s="260"/>
      <c r="G22" s="260"/>
      <c r="H22" s="260"/>
      <c r="I22" s="261"/>
      <c r="J22" s="638">
        <f>SUM(E22:I22)</f>
        <v>0</v>
      </c>
      <c r="K22" s="629"/>
      <c r="L22" s="1566"/>
      <c r="N22" s="908"/>
    </row>
    <row r="23" spans="2:14" ht="18">
      <c r="B23" s="46"/>
      <c r="C23" s="50"/>
      <c r="D23" s="313"/>
      <c r="E23" s="51"/>
      <c r="F23" s="48"/>
      <c r="G23" s="48"/>
      <c r="H23" s="635"/>
      <c r="I23" s="48"/>
      <c r="J23" s="636"/>
      <c r="K23" s="629"/>
      <c r="L23" s="1566"/>
      <c r="N23" s="908"/>
    </row>
    <row r="24" spans="2:14" ht="18">
      <c r="B24" s="46" t="s">
        <v>1226</v>
      </c>
      <c r="C24" s="49" t="s">
        <v>1879</v>
      </c>
      <c r="D24" s="313" t="s">
        <v>1225</v>
      </c>
      <c r="E24" s="259"/>
      <c r="F24" s="260"/>
      <c r="G24" s="260"/>
      <c r="H24" s="260"/>
      <c r="I24" s="261"/>
      <c r="J24" s="638">
        <f>SUM(E24:I24)</f>
        <v>0</v>
      </c>
      <c r="K24" s="629"/>
      <c r="L24" s="1566"/>
      <c r="N24" s="908"/>
    </row>
    <row r="25" spans="2:14" ht="18">
      <c r="B25" s="43" t="s">
        <v>820</v>
      </c>
      <c r="C25" s="50"/>
      <c r="D25" s="313"/>
      <c r="E25" s="51"/>
      <c r="F25" s="48"/>
      <c r="G25" s="48"/>
      <c r="H25" s="635"/>
      <c r="I25" s="48"/>
      <c r="J25" s="636"/>
      <c r="K25" s="629"/>
      <c r="L25" s="1566"/>
      <c r="N25" s="55"/>
    </row>
    <row r="26" spans="2:14" ht="18">
      <c r="B26" s="46" t="s">
        <v>1228</v>
      </c>
      <c r="C26" s="49" t="s">
        <v>1881</v>
      </c>
      <c r="D26" s="313" t="s">
        <v>1227</v>
      </c>
      <c r="E26" s="259"/>
      <c r="F26" s="260"/>
      <c r="G26" s="260"/>
      <c r="H26" s="260"/>
      <c r="I26" s="261"/>
      <c r="J26" s="638">
        <f>IF((J67+J70)=0,SUM(E26:I26),0)</f>
        <v>0</v>
      </c>
      <c r="K26" s="629"/>
      <c r="L26" s="1566"/>
      <c r="N26" s="908"/>
    </row>
    <row r="27" spans="2:14" ht="18">
      <c r="B27" s="46"/>
      <c r="C27" s="50"/>
      <c r="D27" s="313"/>
      <c r="E27" s="51"/>
      <c r="F27" s="48"/>
      <c r="G27" s="48"/>
      <c r="H27" s="635"/>
      <c r="I27" s="48"/>
      <c r="J27" s="636"/>
      <c r="K27" s="629"/>
      <c r="L27" s="1566"/>
      <c r="N27" s="908"/>
    </row>
    <row r="28" spans="2:14" ht="18">
      <c r="B28" s="46" t="s">
        <v>1230</v>
      </c>
      <c r="C28" s="49" t="s">
        <v>854</v>
      </c>
      <c r="D28" s="313" t="s">
        <v>1229</v>
      </c>
      <c r="E28" s="259"/>
      <c r="F28" s="260"/>
      <c r="G28" s="260"/>
      <c r="H28" s="260"/>
      <c r="I28" s="261"/>
      <c r="J28" s="638">
        <f>SUM(E28:I28)</f>
        <v>0</v>
      </c>
      <c r="K28" s="629"/>
      <c r="L28" s="1566"/>
      <c r="N28" s="908"/>
    </row>
    <row r="29" spans="2:14" ht="18">
      <c r="B29" s="46"/>
      <c r="C29" s="49"/>
      <c r="D29" s="313"/>
      <c r="E29" s="51"/>
      <c r="F29" s="48"/>
      <c r="G29" s="48"/>
      <c r="H29" s="635"/>
      <c r="I29" s="48"/>
      <c r="J29" s="636"/>
      <c r="K29" s="629"/>
      <c r="L29" s="1566"/>
      <c r="N29" s="908"/>
    </row>
    <row r="30" spans="2:14" ht="18">
      <c r="B30" s="46"/>
      <c r="C30" s="49" t="s">
        <v>957</v>
      </c>
      <c r="D30" s="313" t="s">
        <v>956</v>
      </c>
      <c r="E30" s="259"/>
      <c r="F30" s="260"/>
      <c r="G30" s="260"/>
      <c r="H30" s="260"/>
      <c r="I30" s="261"/>
      <c r="J30" s="629"/>
      <c r="K30" s="629"/>
      <c r="L30" s="1566"/>
      <c r="N30" s="908"/>
    </row>
    <row r="31" spans="2:14" ht="18">
      <c r="B31" s="46"/>
      <c r="C31" s="49"/>
      <c r="D31" s="313"/>
      <c r="E31" s="51"/>
      <c r="F31" s="48"/>
      <c r="G31" s="48"/>
      <c r="H31" s="635"/>
      <c r="I31" s="48"/>
      <c r="J31" s="636"/>
      <c r="K31" s="629"/>
      <c r="L31" s="1566"/>
      <c r="N31" s="908"/>
    </row>
    <row r="32" spans="2:14" ht="18">
      <c r="B32" s="56" t="s">
        <v>471</v>
      </c>
      <c r="C32" s="49" t="s">
        <v>1343</v>
      </c>
      <c r="D32" s="313" t="s">
        <v>958</v>
      </c>
      <c r="E32" s="259"/>
      <c r="F32" s="260"/>
      <c r="G32" s="260"/>
      <c r="H32" s="260"/>
      <c r="I32" s="261"/>
      <c r="J32" s="629"/>
      <c r="K32" s="629"/>
      <c r="L32" s="1566"/>
      <c r="N32" s="909"/>
    </row>
    <row r="33" spans="2:14" ht="18">
      <c r="B33" s="56"/>
      <c r="C33" s="49"/>
      <c r="D33" s="313"/>
      <c r="E33" s="51"/>
      <c r="F33" s="48"/>
      <c r="G33" s="48"/>
      <c r="H33" s="635"/>
      <c r="I33" s="48"/>
      <c r="J33" s="629"/>
      <c r="K33" s="629"/>
      <c r="L33" s="1566"/>
      <c r="N33" s="909"/>
    </row>
    <row r="34" spans="2:14" ht="18">
      <c r="B34" s="56"/>
      <c r="C34" s="49" t="s">
        <v>1393</v>
      </c>
      <c r="D34" s="313" t="s">
        <v>1714</v>
      </c>
      <c r="E34" s="1143" t="s">
        <v>2075</v>
      </c>
      <c r="F34" s="1144" t="s">
        <v>2075</v>
      </c>
      <c r="G34" s="1144" t="s">
        <v>2075</v>
      </c>
      <c r="H34" s="1144" t="s">
        <v>2075</v>
      </c>
      <c r="I34" s="1144" t="s">
        <v>2075</v>
      </c>
      <c r="J34" s="629"/>
      <c r="K34" s="629"/>
      <c r="L34" s="1566"/>
      <c r="N34" s="909"/>
    </row>
    <row r="35" spans="2:14" ht="18">
      <c r="B35" s="56"/>
      <c r="C35" s="49" t="s">
        <v>1394</v>
      </c>
      <c r="D35" s="313" t="s">
        <v>1714</v>
      </c>
      <c r="E35" s="1143" t="s">
        <v>2075</v>
      </c>
      <c r="F35" s="1144" t="s">
        <v>2075</v>
      </c>
      <c r="G35" s="1144" t="s">
        <v>2075</v>
      </c>
      <c r="H35" s="1144" t="s">
        <v>2075</v>
      </c>
      <c r="I35" s="1144" t="s">
        <v>2075</v>
      </c>
      <c r="J35" s="629"/>
      <c r="K35" s="629"/>
      <c r="L35" s="1566"/>
      <c r="N35" s="909"/>
    </row>
    <row r="36" spans="2:14" ht="18">
      <c r="B36" s="56"/>
      <c r="C36" s="49" t="s">
        <v>1395</v>
      </c>
      <c r="D36" s="313" t="s">
        <v>1714</v>
      </c>
      <c r="E36" s="1143" t="s">
        <v>2075</v>
      </c>
      <c r="F36" s="1144" t="s">
        <v>2075</v>
      </c>
      <c r="G36" s="1144" t="s">
        <v>2075</v>
      </c>
      <c r="H36" s="1144" t="s">
        <v>2075</v>
      </c>
      <c r="I36" s="1144" t="s">
        <v>2075</v>
      </c>
      <c r="J36" s="629"/>
      <c r="K36" s="629"/>
      <c r="L36" s="1566"/>
      <c r="N36" s="909"/>
    </row>
    <row r="37" spans="2:14" ht="18">
      <c r="B37" s="46"/>
      <c r="C37" s="50"/>
      <c r="D37" s="313"/>
      <c r="E37" s="51"/>
      <c r="F37" s="48"/>
      <c r="G37" s="48"/>
      <c r="H37" s="635"/>
      <c r="I37" s="48"/>
      <c r="J37" s="636"/>
      <c r="K37" s="629"/>
      <c r="L37" s="1566"/>
      <c r="N37" s="908"/>
    </row>
    <row r="38" spans="2:14" ht="18">
      <c r="B38" s="46" t="s">
        <v>665</v>
      </c>
      <c r="C38" s="52" t="s">
        <v>1232</v>
      </c>
      <c r="D38" s="313" t="s">
        <v>1231</v>
      </c>
      <c r="E38" s="259"/>
      <c r="F38" s="260"/>
      <c r="G38" s="260"/>
      <c r="H38" s="260"/>
      <c r="I38" s="261"/>
      <c r="J38" s="638">
        <f>SUM(E38:I38)</f>
        <v>0</v>
      </c>
      <c r="K38" s="629"/>
      <c r="L38" s="1566"/>
      <c r="N38" s="908"/>
    </row>
    <row r="39" spans="2:12" ht="18">
      <c r="B39" s="46"/>
      <c r="C39" s="53"/>
      <c r="D39" s="313"/>
      <c r="E39" s="51"/>
      <c r="F39" s="48"/>
      <c r="G39" s="48"/>
      <c r="H39" s="635"/>
      <c r="I39" s="48"/>
      <c r="J39" s="636"/>
      <c r="K39" s="629"/>
      <c r="L39" s="1566"/>
    </row>
    <row r="40" spans="2:15" ht="36">
      <c r="B40" s="46" t="s">
        <v>667</v>
      </c>
      <c r="C40" s="52" t="s">
        <v>1295</v>
      </c>
      <c r="D40" s="313" t="s">
        <v>666</v>
      </c>
      <c r="E40" s="262"/>
      <c r="F40" s="263"/>
      <c r="G40" s="263"/>
      <c r="H40" s="263"/>
      <c r="I40" s="264"/>
      <c r="J40" s="631">
        <f>SUM(E40:I40)</f>
        <v>0</v>
      </c>
      <c r="K40" s="629"/>
      <c r="L40" s="1566"/>
      <c r="O40" s="908"/>
    </row>
    <row r="41" spans="2:15" ht="18">
      <c r="B41" s="46"/>
      <c r="C41" s="53"/>
      <c r="D41" s="313"/>
      <c r="E41" s="51"/>
      <c r="F41" s="48"/>
      <c r="G41" s="48"/>
      <c r="H41" s="635"/>
      <c r="I41" s="54"/>
      <c r="J41" s="639"/>
      <c r="K41" s="629"/>
      <c r="L41" s="1566"/>
      <c r="O41" s="908"/>
    </row>
    <row r="42" spans="2:15" ht="36">
      <c r="B42" s="46" t="s">
        <v>667</v>
      </c>
      <c r="C42" s="52" t="s">
        <v>2030</v>
      </c>
      <c r="D42" s="313" t="s">
        <v>668</v>
      </c>
      <c r="E42" s="262"/>
      <c r="F42" s="263"/>
      <c r="G42" s="263"/>
      <c r="H42" s="263"/>
      <c r="I42" s="264"/>
      <c r="J42" s="631">
        <f>SUM(E42:I42)</f>
        <v>0</v>
      </c>
      <c r="K42" s="629"/>
      <c r="L42" s="1566"/>
      <c r="O42" s="908"/>
    </row>
    <row r="43" spans="2:15" ht="18">
      <c r="B43" s="46"/>
      <c r="C43" s="52"/>
      <c r="D43" s="313"/>
      <c r="E43" s="51"/>
      <c r="F43" s="48"/>
      <c r="G43" s="48"/>
      <c r="H43" s="635"/>
      <c r="I43" s="48"/>
      <c r="J43" s="636"/>
      <c r="K43" s="629"/>
      <c r="L43" s="1566"/>
      <c r="O43" s="908"/>
    </row>
    <row r="44" spans="2:15" ht="18">
      <c r="B44" s="46" t="s">
        <v>1729</v>
      </c>
      <c r="C44" s="52" t="s">
        <v>831</v>
      </c>
      <c r="D44" s="313" t="s">
        <v>1728</v>
      </c>
      <c r="E44" s="259"/>
      <c r="F44" s="260"/>
      <c r="G44" s="260"/>
      <c r="H44" s="260"/>
      <c r="I44" s="261"/>
      <c r="J44" s="638">
        <f>SUM(E44:I44)</f>
        <v>0</v>
      </c>
      <c r="K44" s="629"/>
      <c r="L44" s="1566"/>
      <c r="O44" s="908"/>
    </row>
    <row r="45" spans="2:15" ht="18">
      <c r="B45" s="46"/>
      <c r="C45" s="53"/>
      <c r="D45" s="313"/>
      <c r="E45" s="46"/>
      <c r="F45" s="46"/>
      <c r="G45" s="46"/>
      <c r="H45" s="46"/>
      <c r="I45" s="46"/>
      <c r="J45" s="636"/>
      <c r="K45" s="629"/>
      <c r="L45" s="1566"/>
      <c r="O45" s="908"/>
    </row>
    <row r="46" spans="2:15" ht="36">
      <c r="B46" s="46" t="s">
        <v>707</v>
      </c>
      <c r="C46" s="1531" t="s">
        <v>2031</v>
      </c>
      <c r="D46" s="313" t="s">
        <v>794</v>
      </c>
      <c r="E46" s="262"/>
      <c r="F46" s="263"/>
      <c r="G46" s="263"/>
      <c r="H46" s="263"/>
      <c r="I46" s="264"/>
      <c r="J46" s="631">
        <f>SUM(E46:I46)</f>
        <v>0</v>
      </c>
      <c r="K46" s="629"/>
      <c r="L46" s="1566"/>
      <c r="O46" s="908"/>
    </row>
    <row r="47" spans="2:15" ht="18">
      <c r="B47" s="46"/>
      <c r="C47" s="53"/>
      <c r="D47" s="313"/>
      <c r="E47" s="46"/>
      <c r="F47" s="46"/>
      <c r="G47" s="46"/>
      <c r="H47" s="46"/>
      <c r="I47" s="46"/>
      <c r="J47" s="636"/>
      <c r="K47" s="629"/>
      <c r="L47" s="1566"/>
      <c r="O47" s="908"/>
    </row>
    <row r="48" spans="2:15" ht="18">
      <c r="B48" s="46" t="s">
        <v>1731</v>
      </c>
      <c r="C48" s="49" t="s">
        <v>1880</v>
      </c>
      <c r="D48" s="313" t="s">
        <v>1730</v>
      </c>
      <c r="E48" s="259"/>
      <c r="F48" s="260"/>
      <c r="G48" s="260"/>
      <c r="H48" s="260"/>
      <c r="I48" s="261"/>
      <c r="J48" s="638">
        <f>SUM(E48:I48)</f>
        <v>0</v>
      </c>
      <c r="K48" s="629"/>
      <c r="L48" s="1566"/>
      <c r="O48" s="908"/>
    </row>
    <row r="49" spans="2:15" ht="18">
      <c r="B49" s="46"/>
      <c r="C49" s="49"/>
      <c r="D49" s="313"/>
      <c r="E49" s="51"/>
      <c r="F49" s="48"/>
      <c r="G49" s="48"/>
      <c r="H49" s="635"/>
      <c r="I49" s="48"/>
      <c r="J49" s="636"/>
      <c r="K49" s="629"/>
      <c r="L49" s="1566"/>
      <c r="O49" s="908"/>
    </row>
    <row r="50" spans="2:15" ht="18">
      <c r="B50" s="56" t="s">
        <v>886</v>
      </c>
      <c r="C50" s="49" t="s">
        <v>1782</v>
      </c>
      <c r="D50" s="313" t="s">
        <v>1732</v>
      </c>
      <c r="E50" s="259"/>
      <c r="F50" s="260"/>
      <c r="G50" s="260"/>
      <c r="H50" s="260"/>
      <c r="I50" s="261"/>
      <c r="J50" s="638">
        <f>SUM(E50:I50)</f>
        <v>0</v>
      </c>
      <c r="K50" s="629"/>
      <c r="L50" s="1566"/>
      <c r="O50" s="909"/>
    </row>
    <row r="51" spans="2:15" ht="18">
      <c r="B51" s="46"/>
      <c r="C51" s="49"/>
      <c r="D51" s="313"/>
      <c r="E51" s="51"/>
      <c r="F51" s="48"/>
      <c r="G51" s="48"/>
      <c r="H51" s="635"/>
      <c r="I51" s="48"/>
      <c r="J51" s="636"/>
      <c r="K51" s="629"/>
      <c r="L51" s="1566"/>
      <c r="O51" s="908"/>
    </row>
    <row r="52" spans="2:15" ht="18">
      <c r="B52" s="46" t="s">
        <v>1734</v>
      </c>
      <c r="C52" s="49" t="s">
        <v>1783</v>
      </c>
      <c r="D52" s="313" t="s">
        <v>1733</v>
      </c>
      <c r="E52" s="259"/>
      <c r="F52" s="260"/>
      <c r="G52" s="260"/>
      <c r="H52" s="260"/>
      <c r="I52" s="261"/>
      <c r="J52" s="638">
        <f>SUM(E52:I52)</f>
        <v>0</v>
      </c>
      <c r="K52" s="629"/>
      <c r="L52" s="1566"/>
      <c r="O52" s="908"/>
    </row>
    <row r="53" spans="2:15" ht="18">
      <c r="B53" s="46"/>
      <c r="C53" s="49"/>
      <c r="D53" s="313"/>
      <c r="E53" s="51"/>
      <c r="F53" s="48"/>
      <c r="G53" s="48"/>
      <c r="H53" s="635"/>
      <c r="I53" s="48"/>
      <c r="J53" s="636"/>
      <c r="K53" s="629"/>
      <c r="L53" s="1566"/>
      <c r="O53" s="908"/>
    </row>
    <row r="54" spans="2:15" ht="18">
      <c r="B54" s="46" t="s">
        <v>1737</v>
      </c>
      <c r="C54" s="49" t="s">
        <v>1736</v>
      </c>
      <c r="D54" s="313" t="s">
        <v>1735</v>
      </c>
      <c r="E54" s="259"/>
      <c r="F54" s="260"/>
      <c r="G54" s="260"/>
      <c r="H54" s="260"/>
      <c r="I54" s="261"/>
      <c r="J54" s="638">
        <f>SUM(E54:I54)</f>
        <v>0</v>
      </c>
      <c r="K54" s="629"/>
      <c r="L54" s="1566"/>
      <c r="O54" s="908"/>
    </row>
    <row r="55" spans="2:15" ht="18">
      <c r="B55" s="43" t="s">
        <v>1803</v>
      </c>
      <c r="C55" s="48"/>
      <c r="D55" s="43"/>
      <c r="E55" s="51"/>
      <c r="F55" s="48"/>
      <c r="G55" s="48"/>
      <c r="H55" s="635"/>
      <c r="I55" s="48"/>
      <c r="J55" s="636"/>
      <c r="K55" s="629"/>
      <c r="L55" s="1566"/>
      <c r="O55" s="55"/>
    </row>
    <row r="56" spans="2:12" ht="15">
      <c r="B56" s="640"/>
      <c r="C56" s="629"/>
      <c r="D56" s="43"/>
      <c r="E56" s="629"/>
      <c r="F56" s="629"/>
      <c r="G56" s="629"/>
      <c r="H56" s="629"/>
      <c r="I56" s="629"/>
      <c r="J56" s="629"/>
      <c r="K56" s="629"/>
      <c r="L56" s="1566"/>
    </row>
    <row r="57" spans="2:12" ht="18">
      <c r="B57" s="899" t="s">
        <v>1226</v>
      </c>
      <c r="C57" s="636" t="s">
        <v>2032</v>
      </c>
      <c r="D57" s="43"/>
      <c r="E57" s="629"/>
      <c r="F57" s="906" t="s">
        <v>798</v>
      </c>
      <c r="G57" s="260"/>
      <c r="H57" s="260"/>
      <c r="I57" s="261"/>
      <c r="J57" s="638">
        <f>SUM(G57:I57)</f>
        <v>0</v>
      </c>
      <c r="K57" s="629"/>
      <c r="L57" s="1566"/>
    </row>
    <row r="58" spans="2:12" ht="18">
      <c r="B58" s="640"/>
      <c r="C58" s="636" t="s">
        <v>1396</v>
      </c>
      <c r="D58" s="43"/>
      <c r="E58" s="629"/>
      <c r="F58" s="629"/>
      <c r="G58" s="629"/>
      <c r="H58" s="629"/>
      <c r="I58" s="629"/>
      <c r="J58" s="629"/>
      <c r="K58" s="629"/>
      <c r="L58" s="1566"/>
    </row>
    <row r="59" spans="2:12" ht="18">
      <c r="B59" s="640"/>
      <c r="C59" s="636" t="s">
        <v>1434</v>
      </c>
      <c r="D59" s="43"/>
      <c r="E59" s="629"/>
      <c r="F59" s="629"/>
      <c r="G59" s="629"/>
      <c r="H59" s="629"/>
      <c r="I59" s="629"/>
      <c r="J59" s="629"/>
      <c r="K59" s="629"/>
      <c r="L59" s="1566"/>
    </row>
    <row r="60" spans="2:12" ht="18">
      <c r="B60" s="640"/>
      <c r="C60" s="636"/>
      <c r="D60" s="43"/>
      <c r="E60" s="629"/>
      <c r="F60" s="629"/>
      <c r="G60" s="629"/>
      <c r="H60" s="629"/>
      <c r="I60" s="629"/>
      <c r="J60" s="629"/>
      <c r="K60" s="629"/>
      <c r="L60" s="1566"/>
    </row>
    <row r="61" spans="2:12" ht="18">
      <c r="B61" s="640"/>
      <c r="C61" s="901" t="s">
        <v>549</v>
      </c>
      <c r="D61" s="43"/>
      <c r="E61" s="629"/>
      <c r="F61" s="906" t="s">
        <v>799</v>
      </c>
      <c r="G61" s="260"/>
      <c r="H61" s="260"/>
      <c r="I61" s="261"/>
      <c r="J61" s="638">
        <f>SUM(G61:I61)</f>
        <v>0</v>
      </c>
      <c r="K61" s="629"/>
      <c r="L61" s="1566"/>
    </row>
    <row r="62" spans="2:12" ht="15">
      <c r="B62" s="640"/>
      <c r="C62" s="629"/>
      <c r="D62" s="43"/>
      <c r="E62" s="629"/>
      <c r="F62" s="629"/>
      <c r="G62" s="629"/>
      <c r="H62" s="629"/>
      <c r="I62" s="629"/>
      <c r="J62" s="629"/>
      <c r="K62" s="629"/>
      <c r="L62" s="1566"/>
    </row>
    <row r="63" spans="2:12" ht="18">
      <c r="B63" s="899" t="s">
        <v>383</v>
      </c>
      <c r="C63" s="901" t="s">
        <v>1148</v>
      </c>
      <c r="D63" s="43"/>
      <c r="E63" s="629"/>
      <c r="F63" s="906" t="s">
        <v>1303</v>
      </c>
      <c r="G63" s="629"/>
      <c r="H63" s="636" t="s">
        <v>1487</v>
      </c>
      <c r="I63" s="629"/>
      <c r="J63" s="629"/>
      <c r="K63" s="629"/>
      <c r="L63" s="1566"/>
    </row>
    <row r="64" spans="2:12" ht="18">
      <c r="B64" s="640"/>
      <c r="C64" s="901" t="s">
        <v>1149</v>
      </c>
      <c r="D64" s="43"/>
      <c r="E64" s="629"/>
      <c r="F64" s="905"/>
      <c r="G64" s="629"/>
      <c r="H64" s="636" t="s">
        <v>2045</v>
      </c>
      <c r="I64" s="629"/>
      <c r="J64" s="629"/>
      <c r="K64" s="629"/>
      <c r="L64" s="1566"/>
    </row>
    <row r="65" spans="2:12" ht="18">
      <c r="B65" s="899" t="s">
        <v>383</v>
      </c>
      <c r="C65" s="901" t="s">
        <v>2040</v>
      </c>
      <c r="D65" s="43"/>
      <c r="E65" s="629"/>
      <c r="F65" s="906" t="s">
        <v>1304</v>
      </c>
      <c r="G65" s="629"/>
      <c r="H65" s="636" t="s">
        <v>1487</v>
      </c>
      <c r="I65" s="629"/>
      <c r="J65" s="629"/>
      <c r="K65" s="629"/>
      <c r="L65" s="1566"/>
    </row>
    <row r="66" spans="2:12" ht="18">
      <c r="B66" s="640"/>
      <c r="C66" s="629"/>
      <c r="D66" s="43"/>
      <c r="E66" s="629"/>
      <c r="F66" s="905"/>
      <c r="G66" s="629"/>
      <c r="H66" s="636" t="s">
        <v>2045</v>
      </c>
      <c r="I66" s="629"/>
      <c r="J66" s="629"/>
      <c r="K66" s="629"/>
      <c r="L66" s="1566"/>
    </row>
    <row r="67" spans="2:12" ht="18">
      <c r="B67" s="899" t="s">
        <v>1228</v>
      </c>
      <c r="C67" s="901" t="s">
        <v>2034</v>
      </c>
      <c r="D67" s="43"/>
      <c r="E67" s="629"/>
      <c r="F67" s="906" t="s">
        <v>2033</v>
      </c>
      <c r="G67" s="260"/>
      <c r="H67" s="260"/>
      <c r="I67" s="261"/>
      <c r="J67" s="638">
        <f>SUM(G67:I67)</f>
        <v>0</v>
      </c>
      <c r="K67" s="629"/>
      <c r="L67" s="1566"/>
    </row>
    <row r="68" spans="2:12" ht="18">
      <c r="B68" s="640"/>
      <c r="C68" s="636" t="s">
        <v>1489</v>
      </c>
      <c r="D68" s="43"/>
      <c r="E68" s="629"/>
      <c r="F68" s="905"/>
      <c r="G68" s="900" t="s">
        <v>1488</v>
      </c>
      <c r="H68" s="629"/>
      <c r="I68" s="629"/>
      <c r="J68" s="629"/>
      <c r="K68" s="629"/>
      <c r="L68" s="1566"/>
    </row>
    <row r="69" spans="2:12" ht="15.75">
      <c r="B69" s="640"/>
      <c r="C69" s="629"/>
      <c r="D69" s="43"/>
      <c r="E69" s="629"/>
      <c r="F69" s="905"/>
      <c r="G69" s="629"/>
      <c r="H69" s="629"/>
      <c r="I69" s="629"/>
      <c r="J69" s="629"/>
      <c r="K69" s="629"/>
      <c r="L69" s="1566"/>
    </row>
    <row r="70" spans="2:12" ht="18">
      <c r="B70" s="899" t="s">
        <v>1228</v>
      </c>
      <c r="C70" s="901" t="s">
        <v>2036</v>
      </c>
      <c r="D70" s="43"/>
      <c r="E70" s="629"/>
      <c r="F70" s="906" t="s">
        <v>2035</v>
      </c>
      <c r="G70" s="260"/>
      <c r="H70" s="260"/>
      <c r="I70" s="261"/>
      <c r="J70" s="638">
        <f>SUM(G70:I70)</f>
        <v>0</v>
      </c>
      <c r="K70" s="629"/>
      <c r="L70" s="1566"/>
    </row>
    <row r="71" spans="2:12" ht="18">
      <c r="B71" s="640"/>
      <c r="C71" s="636" t="s">
        <v>1489</v>
      </c>
      <c r="D71" s="43"/>
      <c r="E71" s="629"/>
      <c r="F71" s="905"/>
      <c r="G71" s="900" t="s">
        <v>1488</v>
      </c>
      <c r="H71" s="629"/>
      <c r="I71" s="629"/>
      <c r="J71" s="629"/>
      <c r="K71" s="629"/>
      <c r="L71" s="1566"/>
    </row>
    <row r="72" spans="2:12" ht="15.75">
      <c r="B72" s="640"/>
      <c r="C72" s="629"/>
      <c r="D72" s="43"/>
      <c r="E72" s="629"/>
      <c r="F72" s="905"/>
      <c r="G72" s="629"/>
      <c r="H72" s="629"/>
      <c r="I72" s="629"/>
      <c r="J72" s="629"/>
      <c r="K72" s="629"/>
      <c r="L72" s="1566"/>
    </row>
    <row r="73" spans="2:12" ht="18">
      <c r="B73" s="899" t="s">
        <v>1693</v>
      </c>
      <c r="C73" s="901" t="s">
        <v>2038</v>
      </c>
      <c r="D73" s="43"/>
      <c r="E73" s="629"/>
      <c r="F73" s="906" t="s">
        <v>2037</v>
      </c>
      <c r="G73" s="260"/>
      <c r="H73" s="260"/>
      <c r="I73" s="261"/>
      <c r="J73" s="638">
        <f>SUM(G73:I73)</f>
        <v>0</v>
      </c>
      <c r="K73" s="629"/>
      <c r="L73" s="1566"/>
    </row>
    <row r="74" spans="2:12" ht="18">
      <c r="B74" s="640"/>
      <c r="C74" s="636" t="s">
        <v>2039</v>
      </c>
      <c r="D74" s="43"/>
      <c r="E74" s="629"/>
      <c r="F74" s="907"/>
      <c r="G74" s="629"/>
      <c r="H74" s="629"/>
      <c r="I74" s="629"/>
      <c r="J74" s="629"/>
      <c r="K74" s="629"/>
      <c r="L74" s="1566"/>
    </row>
    <row r="75" spans="2:12" ht="18">
      <c r="B75" s="640"/>
      <c r="C75" s="636"/>
      <c r="D75" s="43"/>
      <c r="E75" s="629"/>
      <c r="F75" s="907"/>
      <c r="G75" s="629"/>
      <c r="H75" s="629"/>
      <c r="I75" s="629"/>
      <c r="J75" s="629"/>
      <c r="K75" s="629"/>
      <c r="L75" s="1566"/>
    </row>
    <row r="76" spans="2:12" ht="18">
      <c r="B76" s="899" t="s">
        <v>28</v>
      </c>
      <c r="C76" s="901" t="s">
        <v>557</v>
      </c>
      <c r="D76" s="43"/>
      <c r="E76" s="629"/>
      <c r="F76" s="906" t="s">
        <v>2041</v>
      </c>
      <c r="G76" s="900" t="s">
        <v>560</v>
      </c>
      <c r="H76" s="900"/>
      <c r="I76" s="629"/>
      <c r="J76" s="629"/>
      <c r="K76" s="629"/>
      <c r="L76" s="1566"/>
    </row>
    <row r="77" spans="2:12" ht="18">
      <c r="B77" s="899" t="s">
        <v>566</v>
      </c>
      <c r="C77" s="636" t="s">
        <v>2042</v>
      </c>
      <c r="D77" s="43"/>
      <c r="E77" s="629"/>
      <c r="F77" s="906"/>
      <c r="G77" s="900" t="s">
        <v>1486</v>
      </c>
      <c r="H77" s="900"/>
      <c r="I77" s="629"/>
      <c r="J77" s="629"/>
      <c r="K77" s="629"/>
      <c r="L77" s="1566"/>
    </row>
    <row r="78" spans="2:12" ht="15.75">
      <c r="B78" s="640"/>
      <c r="C78" s="629"/>
      <c r="D78" s="43"/>
      <c r="E78" s="629"/>
      <c r="F78" s="907"/>
      <c r="G78" s="629"/>
      <c r="H78" s="629"/>
      <c r="I78" s="629"/>
      <c r="J78" s="629"/>
      <c r="K78" s="629"/>
      <c r="L78" s="1566"/>
    </row>
    <row r="79" spans="2:12" ht="18">
      <c r="B79" s="899" t="s">
        <v>28</v>
      </c>
      <c r="C79" s="901" t="s">
        <v>558</v>
      </c>
      <c r="D79" s="43"/>
      <c r="E79" s="629"/>
      <c r="F79" s="906" t="s">
        <v>2043</v>
      </c>
      <c r="G79" s="900" t="s">
        <v>560</v>
      </c>
      <c r="H79" s="629"/>
      <c r="I79" s="629"/>
      <c r="J79" s="629"/>
      <c r="K79" s="629"/>
      <c r="L79" s="1566"/>
    </row>
    <row r="80" spans="2:12" ht="18">
      <c r="B80" s="899" t="s">
        <v>566</v>
      </c>
      <c r="C80" s="636" t="s">
        <v>2042</v>
      </c>
      <c r="D80" s="43"/>
      <c r="E80" s="629"/>
      <c r="F80" s="907"/>
      <c r="G80" s="900" t="s">
        <v>1486</v>
      </c>
      <c r="H80" s="629"/>
      <c r="I80" s="629"/>
      <c r="J80" s="629"/>
      <c r="K80" s="629"/>
      <c r="L80" s="1566"/>
    </row>
    <row r="81" spans="2:12" ht="15.75">
      <c r="B81" s="640"/>
      <c r="C81" s="629"/>
      <c r="D81" s="43"/>
      <c r="E81" s="629"/>
      <c r="F81" s="907"/>
      <c r="G81" s="629"/>
      <c r="H81" s="629"/>
      <c r="I81" s="629"/>
      <c r="J81" s="629"/>
      <c r="K81" s="629"/>
      <c r="L81" s="1566"/>
    </row>
    <row r="82" spans="2:12" ht="18">
      <c r="B82" s="899" t="s">
        <v>28</v>
      </c>
      <c r="C82" s="901" t="s">
        <v>559</v>
      </c>
      <c r="D82" s="43"/>
      <c r="E82" s="629"/>
      <c r="F82" s="906" t="s">
        <v>2044</v>
      </c>
      <c r="G82" s="900" t="s">
        <v>560</v>
      </c>
      <c r="H82" s="629"/>
      <c r="I82" s="629"/>
      <c r="J82" s="629"/>
      <c r="K82" s="629"/>
      <c r="L82" s="1566"/>
    </row>
    <row r="83" spans="2:12" ht="18">
      <c r="B83" s="899" t="s">
        <v>566</v>
      </c>
      <c r="C83" s="636" t="s">
        <v>2042</v>
      </c>
      <c r="D83" s="43"/>
      <c r="E83" s="629"/>
      <c r="F83" s="629"/>
      <c r="G83" s="900" t="s">
        <v>1486</v>
      </c>
      <c r="H83" s="629"/>
      <c r="I83" s="629"/>
      <c r="J83" s="629"/>
      <c r="K83" s="629"/>
      <c r="L83" s="1566"/>
    </row>
    <row r="84" spans="2:12" ht="18">
      <c r="B84" s="640"/>
      <c r="C84" s="636"/>
      <c r="D84" s="43"/>
      <c r="E84" s="629"/>
      <c r="F84" s="629"/>
      <c r="G84" s="900"/>
      <c r="H84" s="629"/>
      <c r="I84" s="629"/>
      <c r="J84" s="629"/>
      <c r="K84" s="629"/>
      <c r="L84" s="1566"/>
    </row>
    <row r="85" spans="2:12" ht="18">
      <c r="B85" s="899" t="s">
        <v>565</v>
      </c>
      <c r="C85" s="901" t="s">
        <v>553</v>
      </c>
      <c r="D85" s="43"/>
      <c r="E85" s="629"/>
      <c r="F85" s="906" t="s">
        <v>550</v>
      </c>
      <c r="G85" s="900" t="s">
        <v>561</v>
      </c>
      <c r="H85" s="900"/>
      <c r="I85" s="629"/>
      <c r="J85" s="629"/>
      <c r="K85" s="629"/>
      <c r="L85" s="1566"/>
    </row>
    <row r="86" spans="2:12" ht="18">
      <c r="B86" s="899" t="s">
        <v>1689</v>
      </c>
      <c r="C86" s="636" t="s">
        <v>556</v>
      </c>
      <c r="D86" s="43"/>
      <c r="E86" s="629"/>
      <c r="F86" s="906"/>
      <c r="G86" s="900" t="s">
        <v>562</v>
      </c>
      <c r="H86" s="900"/>
      <c r="I86" s="629"/>
      <c r="J86" s="629"/>
      <c r="K86" s="629"/>
      <c r="L86" s="1566"/>
    </row>
    <row r="87" spans="2:12" ht="15.75">
      <c r="B87" s="640"/>
      <c r="C87" s="629"/>
      <c r="D87" s="43"/>
      <c r="E87" s="629"/>
      <c r="F87" s="907"/>
      <c r="G87" s="629"/>
      <c r="H87" s="629"/>
      <c r="I87" s="629"/>
      <c r="J87" s="629"/>
      <c r="K87" s="629"/>
      <c r="L87" s="1566"/>
    </row>
    <row r="88" spans="2:12" ht="18">
      <c r="B88" s="899" t="s">
        <v>565</v>
      </c>
      <c r="C88" s="901" t="s">
        <v>554</v>
      </c>
      <c r="D88" s="43"/>
      <c r="E88" s="629"/>
      <c r="F88" s="906" t="s">
        <v>551</v>
      </c>
      <c r="G88" s="900" t="s">
        <v>561</v>
      </c>
      <c r="H88" s="629"/>
      <c r="I88" s="629"/>
      <c r="J88" s="629"/>
      <c r="K88" s="629"/>
      <c r="L88" s="1566"/>
    </row>
    <row r="89" spans="2:12" ht="18">
      <c r="B89" s="899" t="s">
        <v>1689</v>
      </c>
      <c r="C89" s="636" t="s">
        <v>556</v>
      </c>
      <c r="D89" s="43"/>
      <c r="E89" s="629"/>
      <c r="F89" s="907"/>
      <c r="G89" s="900" t="s">
        <v>562</v>
      </c>
      <c r="H89" s="629"/>
      <c r="I89" s="629"/>
      <c r="J89" s="629"/>
      <c r="K89" s="629"/>
      <c r="L89" s="1566"/>
    </row>
    <row r="90" spans="2:12" ht="15.75">
      <c r="B90" s="640"/>
      <c r="C90" s="629"/>
      <c r="D90" s="43"/>
      <c r="E90" s="629"/>
      <c r="F90" s="907"/>
      <c r="G90" s="629"/>
      <c r="H90" s="629"/>
      <c r="I90" s="629"/>
      <c r="J90" s="629"/>
      <c r="K90" s="629"/>
      <c r="L90" s="1566"/>
    </row>
    <row r="91" spans="2:12" ht="18">
      <c r="B91" s="899" t="s">
        <v>565</v>
      </c>
      <c r="C91" s="901" t="s">
        <v>555</v>
      </c>
      <c r="D91" s="43"/>
      <c r="E91" s="629"/>
      <c r="F91" s="906" t="s">
        <v>552</v>
      </c>
      <c r="G91" s="900" t="s">
        <v>561</v>
      </c>
      <c r="H91" s="629"/>
      <c r="I91" s="629"/>
      <c r="J91" s="629"/>
      <c r="K91" s="629"/>
      <c r="L91" s="1566"/>
    </row>
    <row r="92" spans="2:12" ht="18">
      <c r="B92" s="899" t="s">
        <v>1689</v>
      </c>
      <c r="C92" s="636" t="s">
        <v>556</v>
      </c>
      <c r="D92" s="43"/>
      <c r="E92" s="629"/>
      <c r="F92" s="629"/>
      <c r="G92" s="900" t="s">
        <v>562</v>
      </c>
      <c r="H92" s="629"/>
      <c r="I92" s="629"/>
      <c r="J92" s="629"/>
      <c r="K92" s="629"/>
      <c r="L92" s="1566"/>
    </row>
    <row r="93" spans="2:12" ht="18">
      <c r="B93" s="640"/>
      <c r="C93" s="636"/>
      <c r="D93" s="43"/>
      <c r="E93" s="629"/>
      <c r="F93" s="629"/>
      <c r="G93" s="900"/>
      <c r="H93" s="629"/>
      <c r="I93" s="629"/>
      <c r="J93" s="629"/>
      <c r="K93" s="629"/>
      <c r="L93" s="1566"/>
    </row>
    <row r="94" spans="2:12" ht="18">
      <c r="B94" s="899" t="s">
        <v>563</v>
      </c>
      <c r="C94" s="901" t="s">
        <v>1439</v>
      </c>
      <c r="D94" s="43"/>
      <c r="E94" s="629"/>
      <c r="F94" s="906" t="s">
        <v>564</v>
      </c>
      <c r="G94" s="260"/>
      <c r="H94" s="260"/>
      <c r="I94" s="261"/>
      <c r="J94" s="638">
        <f>SUM(G94:I94)</f>
        <v>0</v>
      </c>
      <c r="K94" s="629"/>
      <c r="L94" s="1566"/>
    </row>
    <row r="95" spans="2:12" ht="18">
      <c r="B95" s="640"/>
      <c r="C95" s="636"/>
      <c r="D95" s="43"/>
      <c r="E95" s="629"/>
      <c r="F95" s="629"/>
      <c r="G95" s="900"/>
      <c r="H95" s="629"/>
      <c r="I95" s="629"/>
      <c r="J95" s="629"/>
      <c r="K95" s="629"/>
      <c r="L95" s="1566"/>
    </row>
    <row r="96" spans="2:12" ht="18">
      <c r="B96" s="899" t="s">
        <v>568</v>
      </c>
      <c r="C96" s="901" t="s">
        <v>570</v>
      </c>
      <c r="D96" s="43"/>
      <c r="E96" s="629"/>
      <c r="F96" s="906" t="s">
        <v>569</v>
      </c>
      <c r="G96" s="260"/>
      <c r="H96" s="260"/>
      <c r="I96" s="261"/>
      <c r="J96" s="638">
        <f>SUM(G96:I96)</f>
        <v>0</v>
      </c>
      <c r="K96" s="629"/>
      <c r="L96" s="1566"/>
    </row>
    <row r="97" spans="2:12" ht="18">
      <c r="B97" s="899"/>
      <c r="C97" s="636" t="s">
        <v>567</v>
      </c>
      <c r="D97" s="43"/>
      <c r="E97" s="629"/>
      <c r="F97" s="906"/>
      <c r="G97" s="900"/>
      <c r="H97" s="629"/>
      <c r="I97" s="629"/>
      <c r="J97" s="629"/>
      <c r="K97" s="629"/>
      <c r="L97" s="1566"/>
    </row>
    <row r="98" spans="2:12" ht="18">
      <c r="B98" s="899"/>
      <c r="C98" s="636"/>
      <c r="D98" s="43"/>
      <c r="E98" s="629"/>
      <c r="F98" s="906"/>
      <c r="G98" s="900"/>
      <c r="H98" s="629"/>
      <c r="I98" s="629"/>
      <c r="J98" s="629"/>
      <c r="K98" s="629"/>
      <c r="L98" s="1566"/>
    </row>
    <row r="99" spans="2:12" ht="18">
      <c r="B99" s="899"/>
      <c r="C99" s="901" t="s">
        <v>66</v>
      </c>
      <c r="D99" s="43"/>
      <c r="E99" s="629"/>
      <c r="F99" s="906"/>
      <c r="G99" s="900"/>
      <c r="H99" s="629"/>
      <c r="I99" s="629"/>
      <c r="J99" s="629"/>
      <c r="K99" s="629"/>
      <c r="L99" s="1566"/>
    </row>
    <row r="100" spans="2:12" ht="18">
      <c r="B100" s="899"/>
      <c r="C100" s="636" t="s">
        <v>67</v>
      </c>
      <c r="D100" s="43"/>
      <c r="E100" s="629"/>
      <c r="F100" s="906"/>
      <c r="G100" s="900"/>
      <c r="H100" s="629"/>
      <c r="I100" s="629"/>
      <c r="J100" s="629"/>
      <c r="K100" s="629"/>
      <c r="L100" s="1566"/>
    </row>
    <row r="101" spans="2:12" ht="15.75" thickBot="1">
      <c r="B101" s="641"/>
      <c r="C101" s="634"/>
      <c r="D101" s="310"/>
      <c r="E101" s="634"/>
      <c r="F101" s="634"/>
      <c r="G101" s="634"/>
      <c r="H101" s="634"/>
      <c r="I101" s="634"/>
      <c r="J101" s="634"/>
      <c r="K101" s="629"/>
      <c r="L101" s="1566"/>
    </row>
    <row r="102" spans="2:12" ht="18">
      <c r="B102" s="640"/>
      <c r="C102" s="33" t="str">
        <f>"T4-"&amp;yeartext&amp;" DATA SUMMARY"</f>
        <v>T4-2009 DATA SUMMARY</v>
      </c>
      <c r="D102" s="33"/>
      <c r="E102" s="34" t="s">
        <v>655</v>
      </c>
      <c r="F102" s="35"/>
      <c r="G102" s="35"/>
      <c r="H102" s="36"/>
      <c r="I102" s="35"/>
      <c r="J102" s="36" t="str">
        <f>yeartext</f>
        <v>2009</v>
      </c>
      <c r="K102" s="629"/>
      <c r="L102" s="1566"/>
    </row>
    <row r="103" spans="2:12" ht="15">
      <c r="B103" s="640"/>
      <c r="C103" s="629"/>
      <c r="D103" s="43"/>
      <c r="E103" s="629"/>
      <c r="F103" s="629"/>
      <c r="G103" s="629"/>
      <c r="H103" s="629"/>
      <c r="I103" s="629"/>
      <c r="J103" s="629"/>
      <c r="K103" s="629"/>
      <c r="L103" s="1566"/>
    </row>
    <row r="104" spans="2:12" ht="18">
      <c r="B104" s="640"/>
      <c r="C104" s="41" t="s">
        <v>114</v>
      </c>
      <c r="D104" s="41" t="s">
        <v>855</v>
      </c>
      <c r="E104" s="41" t="s">
        <v>115</v>
      </c>
      <c r="F104" s="629"/>
      <c r="G104" s="629"/>
      <c r="H104" s="629"/>
      <c r="I104" s="629"/>
      <c r="J104" s="629"/>
      <c r="K104" s="629"/>
      <c r="L104" s="1566"/>
    </row>
    <row r="105" spans="2:12" ht="15">
      <c r="B105" s="640"/>
      <c r="C105" s="629"/>
      <c r="D105" s="43"/>
      <c r="E105" s="629"/>
      <c r="F105" s="629"/>
      <c r="G105" s="629"/>
      <c r="H105" s="629"/>
      <c r="I105" s="629"/>
      <c r="J105" s="629"/>
      <c r="K105" s="629"/>
      <c r="L105" s="1566"/>
    </row>
    <row r="106" spans="2:12" ht="18">
      <c r="B106" s="640"/>
      <c r="C106" s="302" t="s">
        <v>113</v>
      </c>
      <c r="D106" s="303" t="s">
        <v>1221</v>
      </c>
      <c r="E106" s="334">
        <f>J18</f>
        <v>0</v>
      </c>
      <c r="F106" s="629"/>
      <c r="G106" s="629"/>
      <c r="H106" s="629"/>
      <c r="I106" s="629"/>
      <c r="J106" s="629"/>
      <c r="K106" s="629"/>
      <c r="L106" s="1566"/>
    </row>
    <row r="107" spans="2:12" ht="18">
      <c r="B107" s="640"/>
      <c r="C107" s="296" t="s">
        <v>113</v>
      </c>
      <c r="D107" s="297" t="s">
        <v>1729</v>
      </c>
      <c r="E107" s="334">
        <f>J44</f>
        <v>0</v>
      </c>
      <c r="F107" s="629"/>
      <c r="G107" s="629"/>
      <c r="H107" s="629"/>
      <c r="I107" s="629"/>
      <c r="J107" s="629"/>
      <c r="K107" s="629"/>
      <c r="L107" s="1566"/>
    </row>
    <row r="108" spans="2:12" ht="18">
      <c r="B108" s="640"/>
      <c r="C108" s="296" t="s">
        <v>117</v>
      </c>
      <c r="D108" s="297" t="s">
        <v>1734</v>
      </c>
      <c r="E108" s="642">
        <f>J52</f>
        <v>0</v>
      </c>
      <c r="F108" s="629"/>
      <c r="G108" s="340" t="s">
        <v>1533</v>
      </c>
      <c r="H108" s="629"/>
      <c r="I108" s="629"/>
      <c r="J108" s="629"/>
      <c r="K108" s="629"/>
      <c r="L108" s="1566"/>
    </row>
    <row r="109" spans="2:12" ht="18">
      <c r="B109" s="640"/>
      <c r="C109" s="296" t="s">
        <v>117</v>
      </c>
      <c r="D109" s="297" t="s">
        <v>1228</v>
      </c>
      <c r="E109" s="642">
        <f>J26</f>
        <v>0</v>
      </c>
      <c r="F109" s="629"/>
      <c r="G109" s="340" t="s">
        <v>1534</v>
      </c>
      <c r="H109" s="629"/>
      <c r="I109" s="629"/>
      <c r="J109" s="629"/>
      <c r="K109" s="629"/>
      <c r="L109" s="1566"/>
    </row>
    <row r="110" spans="2:12" ht="18">
      <c r="B110" s="629"/>
      <c r="C110" s="296" t="s">
        <v>117</v>
      </c>
      <c r="D110" s="297" t="s">
        <v>1731</v>
      </c>
      <c r="E110" s="642">
        <f>J48</f>
        <v>0</v>
      </c>
      <c r="F110" s="629"/>
      <c r="G110" s="340"/>
      <c r="H110" s="629"/>
      <c r="I110" s="629"/>
      <c r="J110" s="629"/>
      <c r="K110" s="629"/>
      <c r="L110" s="1566"/>
    </row>
    <row r="111" spans="2:12" ht="18">
      <c r="B111" s="629"/>
      <c r="C111" s="296" t="s">
        <v>117</v>
      </c>
      <c r="D111" s="297" t="s">
        <v>1693</v>
      </c>
      <c r="E111" s="642">
        <f>J73</f>
        <v>0</v>
      </c>
      <c r="F111" s="629"/>
      <c r="G111" s="340"/>
      <c r="H111" s="629"/>
      <c r="I111" s="629"/>
      <c r="J111" s="629"/>
      <c r="K111" s="629"/>
      <c r="L111" s="1566"/>
    </row>
    <row r="112" spans="2:12" ht="18">
      <c r="B112" s="629"/>
      <c r="C112" s="296" t="s">
        <v>117</v>
      </c>
      <c r="D112" s="297" t="s">
        <v>707</v>
      </c>
      <c r="E112" s="642">
        <f>J46</f>
        <v>0</v>
      </c>
      <c r="F112" s="629"/>
      <c r="G112" s="340"/>
      <c r="H112" s="629"/>
      <c r="I112" s="629"/>
      <c r="J112" s="629"/>
      <c r="K112" s="629"/>
      <c r="L112" s="1566"/>
    </row>
    <row r="113" spans="2:12" ht="18">
      <c r="B113" s="629"/>
      <c r="C113" s="296" t="s">
        <v>117</v>
      </c>
      <c r="D113" s="297" t="s">
        <v>665</v>
      </c>
      <c r="E113" s="642">
        <f>J38</f>
        <v>0</v>
      </c>
      <c r="F113" s="629"/>
      <c r="G113" s="330" t="s">
        <v>670</v>
      </c>
      <c r="H113" s="629"/>
      <c r="I113" s="629"/>
      <c r="J113" s="629"/>
      <c r="K113" s="629"/>
      <c r="L113" s="1566"/>
    </row>
    <row r="114" spans="2:12" ht="18">
      <c r="B114" s="629"/>
      <c r="C114" s="296" t="s">
        <v>117</v>
      </c>
      <c r="D114" s="297" t="s">
        <v>667</v>
      </c>
      <c r="E114" s="642">
        <f>J40+J42</f>
        <v>0</v>
      </c>
      <c r="F114" s="629"/>
      <c r="G114" s="330" t="s">
        <v>671</v>
      </c>
      <c r="H114" s="629"/>
      <c r="I114" s="629"/>
      <c r="J114" s="629"/>
      <c r="K114" s="629"/>
      <c r="L114" s="1566"/>
    </row>
    <row r="115" spans="2:12" ht="18">
      <c r="B115" s="629"/>
      <c r="C115" s="296" t="s">
        <v>2067</v>
      </c>
      <c r="D115" s="297" t="s">
        <v>1230</v>
      </c>
      <c r="E115" s="642">
        <f>J28</f>
        <v>0</v>
      </c>
      <c r="F115" s="629"/>
      <c r="G115" s="330" t="s">
        <v>2363</v>
      </c>
      <c r="H115" s="629"/>
      <c r="I115" s="629"/>
      <c r="J115" s="629"/>
      <c r="K115" s="629"/>
      <c r="L115" s="1566"/>
    </row>
    <row r="116" spans="2:12" ht="18">
      <c r="B116" s="629"/>
      <c r="C116" s="296" t="s">
        <v>1890</v>
      </c>
      <c r="D116" s="297" t="s">
        <v>568</v>
      </c>
      <c r="E116" s="642">
        <f>J96</f>
        <v>0</v>
      </c>
      <c r="F116" s="629"/>
      <c r="G116" s="330"/>
      <c r="H116" s="629"/>
      <c r="I116" s="629"/>
      <c r="J116" s="629"/>
      <c r="K116" s="629"/>
      <c r="L116" s="1566"/>
    </row>
    <row r="117" spans="2:12" ht="18">
      <c r="B117" s="629"/>
      <c r="C117" s="296" t="s">
        <v>1890</v>
      </c>
      <c r="D117" s="297" t="s">
        <v>563</v>
      </c>
      <c r="E117" s="638">
        <f>J94</f>
        <v>0</v>
      </c>
      <c r="F117" s="629"/>
      <c r="G117" s="330"/>
      <c r="H117" s="629"/>
      <c r="I117" s="629"/>
      <c r="J117" s="629"/>
      <c r="K117" s="629"/>
      <c r="L117" s="1566"/>
    </row>
    <row r="118" spans="2:12" ht="18">
      <c r="B118" s="629"/>
      <c r="C118" s="296" t="s">
        <v>1891</v>
      </c>
      <c r="D118" s="297" t="s">
        <v>1316</v>
      </c>
      <c r="E118" s="642">
        <f>IF(E32=0,E18,E32)+IF(F32=0,F18,F32)+IF(G32=0,G18,G32)+IF(H32=0,H18,H32)+IF(I32=0,I18,I32)</f>
        <v>0</v>
      </c>
      <c r="F118" s="629"/>
      <c r="G118" s="330" t="s">
        <v>1532</v>
      </c>
      <c r="H118" s="629"/>
      <c r="I118" s="629"/>
      <c r="J118" s="629"/>
      <c r="K118" s="629"/>
      <c r="L118" s="1566"/>
    </row>
    <row r="119" spans="2:12" ht="18">
      <c r="B119" s="629"/>
      <c r="C119" s="296" t="s">
        <v>1891</v>
      </c>
      <c r="D119" s="297" t="s">
        <v>195</v>
      </c>
      <c r="E119" s="642">
        <f>J20+J22</f>
        <v>0</v>
      </c>
      <c r="F119" s="629"/>
      <c r="G119" s="330"/>
      <c r="H119" s="629"/>
      <c r="I119" s="629"/>
      <c r="J119" s="629"/>
      <c r="K119" s="629"/>
      <c r="L119" s="1566"/>
    </row>
    <row r="120" spans="2:12" ht="18">
      <c r="B120" s="629"/>
      <c r="C120" s="296" t="s">
        <v>2068</v>
      </c>
      <c r="D120" s="297" t="s">
        <v>1281</v>
      </c>
      <c r="E120" s="642">
        <f>J50</f>
        <v>0</v>
      </c>
      <c r="F120" s="629"/>
      <c r="G120" s="629"/>
      <c r="H120" s="629"/>
      <c r="I120" s="629"/>
      <c r="J120" s="629"/>
      <c r="K120" s="629"/>
      <c r="L120" s="1566"/>
    </row>
    <row r="121" spans="2:12" ht="18">
      <c r="B121" s="629"/>
      <c r="C121" s="296" t="s">
        <v>1063</v>
      </c>
      <c r="D121" s="297" t="s">
        <v>1737</v>
      </c>
      <c r="E121" s="642">
        <f>J54</f>
        <v>0</v>
      </c>
      <c r="F121" s="629"/>
      <c r="G121" s="629"/>
      <c r="H121" s="629"/>
      <c r="I121" s="629"/>
      <c r="J121" s="629"/>
      <c r="K121" s="629"/>
      <c r="L121" s="1566"/>
    </row>
    <row r="122" spans="2:12" ht="18">
      <c r="B122" s="629"/>
      <c r="C122" s="296" t="s">
        <v>820</v>
      </c>
      <c r="D122" s="297" t="s">
        <v>1583</v>
      </c>
      <c r="E122" s="642">
        <f>IF(E32=0,E18,E32)+IF(F32=0,F18,F32)+IF(G32=0,G18,G32)+IF(H32=0,H18,H32)+IF(I32=0,I18,I32)</f>
        <v>0</v>
      </c>
      <c r="F122" s="629"/>
      <c r="G122" s="629"/>
      <c r="H122" s="629"/>
      <c r="I122" s="629"/>
      <c r="J122" s="629"/>
      <c r="K122" s="629"/>
      <c r="L122" s="1566"/>
    </row>
    <row r="123" spans="2:12" ht="18">
      <c r="B123" s="629"/>
      <c r="C123" s="296" t="s">
        <v>820</v>
      </c>
      <c r="D123" s="297" t="s">
        <v>1836</v>
      </c>
      <c r="E123" s="642">
        <f>J20+J22</f>
        <v>0</v>
      </c>
      <c r="F123" s="629"/>
      <c r="G123" s="629"/>
      <c r="H123" s="629"/>
      <c r="I123" s="629"/>
      <c r="J123" s="629"/>
      <c r="K123" s="629"/>
      <c r="L123" s="1566"/>
    </row>
    <row r="124" spans="2:12" ht="18">
      <c r="B124" s="629"/>
      <c r="C124" s="296" t="s">
        <v>820</v>
      </c>
      <c r="D124" s="297" t="s">
        <v>2017</v>
      </c>
      <c r="E124" s="642">
        <f>IF(E30=0,E18,E30)+IF(F30=0,F18,F30)+IF(G30=0,G18,G30)+IF(H30=0,H18,H30)+IF(I30=0,I18,I30)</f>
        <v>0</v>
      </c>
      <c r="F124" s="629"/>
      <c r="G124" s="629"/>
      <c r="H124" s="629"/>
      <c r="I124" s="629"/>
      <c r="J124" s="629"/>
      <c r="K124" s="629"/>
      <c r="L124" s="1566"/>
    </row>
    <row r="125" spans="2:12" ht="18">
      <c r="B125" s="629"/>
      <c r="C125" s="296" t="s">
        <v>820</v>
      </c>
      <c r="D125" s="297" t="s">
        <v>1901</v>
      </c>
      <c r="E125" s="642">
        <f>J24+J57</f>
        <v>0</v>
      </c>
      <c r="F125" s="629"/>
      <c r="G125" s="629"/>
      <c r="H125" s="629"/>
      <c r="I125" s="629"/>
      <c r="J125" s="629"/>
      <c r="K125" s="629"/>
      <c r="L125" s="1566"/>
    </row>
    <row r="126" spans="2:12" ht="18">
      <c r="B126" s="629"/>
      <c r="C126" s="313"/>
      <c r="D126" s="46"/>
      <c r="E126" s="643"/>
      <c r="F126" s="629"/>
      <c r="G126" s="629"/>
      <c r="H126" s="629"/>
      <c r="I126" s="629"/>
      <c r="J126" s="629"/>
      <c r="K126" s="629"/>
      <c r="L126" s="1566"/>
    </row>
  </sheetData>
  <sheetProtection password="EC35" sheet="1" objects="1" scenarios="1"/>
  <mergeCells count="1">
    <mergeCell ref="L1:L126"/>
  </mergeCells>
  <dataValidations count="1">
    <dataValidation type="list" allowBlank="1" showInputMessage="1" showErrorMessage="1" sqref="E34:I36">
      <formula1>"Yes,No"</formula1>
    </dataValidation>
  </dataValidations>
  <printOptions horizontalCentered="1"/>
  <pageMargins left="0" right="0" top="0" bottom="0" header="0.5" footer="0.5"/>
  <pageSetup fitToHeight="0" fitToWidth="1" horizontalDpi="600" verticalDpi="600" orientation="portrait" scale="55"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AB81"/>
  <sheetViews>
    <sheetView zoomScale="75" zoomScaleNormal="75" zoomScalePageLayoutView="0" workbookViewId="0" topLeftCell="A1">
      <selection activeCell="A1" sqref="A1"/>
    </sheetView>
  </sheetViews>
  <sheetFormatPr defaultColWidth="8.88671875" defaultRowHeight="15"/>
  <cols>
    <col min="1" max="1" width="5.21484375" style="630" customWidth="1"/>
    <col min="2" max="2" width="8.3359375" style="630" customWidth="1"/>
    <col min="3" max="3" width="38.77734375" style="630" customWidth="1"/>
    <col min="4" max="4" width="7.99609375" style="630" customWidth="1"/>
    <col min="5" max="10" width="12.21484375" style="630" customWidth="1"/>
    <col min="11" max="11" width="3.4453125" style="630" customWidth="1"/>
    <col min="12" max="12" width="11.4453125" style="630" customWidth="1"/>
    <col min="13" max="16384" width="8.88671875" style="630" customWidth="1"/>
  </cols>
  <sheetData>
    <row r="1" spans="2:12" ht="18">
      <c r="B1" s="35"/>
      <c r="C1" s="33" t="str">
        <f>"T4A-"&amp;yeartext&amp;" SLIPS DATA ENTRY FORM"</f>
        <v>T4A-2009 SLIPS DATA ENTRY FORM</v>
      </c>
      <c r="D1" s="33"/>
      <c r="E1" s="768"/>
      <c r="F1" s="35"/>
      <c r="G1" s="35"/>
      <c r="H1" s="36"/>
      <c r="I1" s="343" t="s">
        <v>1763</v>
      </c>
      <c r="J1" s="36" t="str">
        <f>yeartext</f>
        <v>2009</v>
      </c>
      <c r="K1" s="629"/>
      <c r="L1" s="1566" t="s">
        <v>35</v>
      </c>
    </row>
    <row r="2" spans="2:12" ht="15.75">
      <c r="B2" s="35"/>
      <c r="C2" s="35"/>
      <c r="D2" s="37"/>
      <c r="E2" s="629"/>
      <c r="F2" s="35"/>
      <c r="G2" s="35"/>
      <c r="H2" s="35"/>
      <c r="I2" s="35"/>
      <c r="J2" s="35"/>
      <c r="K2" s="629"/>
      <c r="L2" s="1566"/>
    </row>
    <row r="3" spans="2:12" ht="18">
      <c r="B3" s="38"/>
      <c r="C3" s="38" t="s">
        <v>1764</v>
      </c>
      <c r="D3" s="35"/>
      <c r="E3" s="37"/>
      <c r="F3" s="35"/>
      <c r="G3" s="35"/>
      <c r="H3" s="35"/>
      <c r="I3" s="35"/>
      <c r="J3" s="35"/>
      <c r="K3" s="629"/>
      <c r="L3" s="1566"/>
    </row>
    <row r="4" spans="2:12" ht="18">
      <c r="B4" s="38"/>
      <c r="C4" s="38" t="s">
        <v>1464</v>
      </c>
      <c r="D4" s="35"/>
      <c r="E4" s="37"/>
      <c r="F4" s="35"/>
      <c r="G4" s="35"/>
      <c r="H4" s="35"/>
      <c r="I4" s="35"/>
      <c r="J4" s="35"/>
      <c r="K4" s="629"/>
      <c r="L4" s="1566"/>
    </row>
    <row r="5" spans="2:12" ht="18">
      <c r="B5" s="38"/>
      <c r="C5" s="38" t="s">
        <v>977</v>
      </c>
      <c r="D5" s="35"/>
      <c r="E5" s="37"/>
      <c r="F5" s="35"/>
      <c r="G5" s="35"/>
      <c r="H5" s="35"/>
      <c r="I5" s="35"/>
      <c r="J5" s="35"/>
      <c r="K5" s="629"/>
      <c r="L5" s="1566"/>
    </row>
    <row r="6" spans="2:12" ht="18">
      <c r="B6" s="38"/>
      <c r="C6" s="38" t="s">
        <v>2025</v>
      </c>
      <c r="D6" s="35"/>
      <c r="E6" s="37"/>
      <c r="F6" s="35"/>
      <c r="G6" s="35"/>
      <c r="H6" s="35"/>
      <c r="I6" s="35"/>
      <c r="J6" s="35"/>
      <c r="K6" s="629"/>
      <c r="L6" s="1566"/>
    </row>
    <row r="7" spans="2:12" ht="18">
      <c r="B7" s="38"/>
      <c r="C7" s="38" t="s">
        <v>1321</v>
      </c>
      <c r="D7" s="35"/>
      <c r="E7" s="37"/>
      <c r="F7" s="35"/>
      <c r="G7" s="35"/>
      <c r="H7" s="35"/>
      <c r="I7" s="35"/>
      <c r="J7" s="35"/>
      <c r="K7" s="629"/>
      <c r="L7" s="1566"/>
    </row>
    <row r="8" spans="2:12" ht="18">
      <c r="B8" s="38"/>
      <c r="C8" s="38" t="s">
        <v>1495</v>
      </c>
      <c r="D8" s="35"/>
      <c r="E8" s="37"/>
      <c r="F8" s="35"/>
      <c r="G8" s="35"/>
      <c r="H8" s="35"/>
      <c r="I8" s="35"/>
      <c r="J8" s="35"/>
      <c r="K8" s="629"/>
      <c r="L8" s="1566"/>
    </row>
    <row r="9" spans="2:12" ht="18">
      <c r="B9" s="38"/>
      <c r="C9" s="38" t="s">
        <v>579</v>
      </c>
      <c r="D9" s="35"/>
      <c r="E9" s="37"/>
      <c r="F9" s="35"/>
      <c r="G9" s="35"/>
      <c r="H9" s="35"/>
      <c r="I9" s="35"/>
      <c r="J9" s="35"/>
      <c r="K9" s="629"/>
      <c r="L9" s="1566"/>
    </row>
    <row r="10" spans="2:12" ht="18">
      <c r="B10" s="38"/>
      <c r="C10" s="38" t="s">
        <v>852</v>
      </c>
      <c r="D10" s="35"/>
      <c r="E10" s="37"/>
      <c r="F10" s="35"/>
      <c r="G10" s="35"/>
      <c r="H10" s="35"/>
      <c r="I10" s="35"/>
      <c r="J10" s="35"/>
      <c r="K10" s="629"/>
      <c r="L10" s="1566"/>
    </row>
    <row r="11" spans="2:12" ht="18">
      <c r="B11" s="38"/>
      <c r="C11" s="38" t="s">
        <v>1466</v>
      </c>
      <c r="D11" s="35"/>
      <c r="E11" s="37"/>
      <c r="F11" s="35"/>
      <c r="G11" s="35"/>
      <c r="H11" s="35"/>
      <c r="I11" s="35"/>
      <c r="J11" s="35"/>
      <c r="K11" s="629"/>
      <c r="L11" s="1566"/>
    </row>
    <row r="12" spans="2:12" ht="15.75">
      <c r="B12" s="39"/>
      <c r="C12" s="39"/>
      <c r="D12" s="39"/>
      <c r="E12" s="40"/>
      <c r="F12" s="39"/>
      <c r="G12" s="39"/>
      <c r="H12" s="39"/>
      <c r="I12" s="39"/>
      <c r="J12" s="39"/>
      <c r="K12" s="629"/>
      <c r="L12" s="1566"/>
    </row>
    <row r="13" spans="2:12" ht="42" customHeight="1">
      <c r="B13" s="41" t="s">
        <v>855</v>
      </c>
      <c r="C13" s="41" t="s">
        <v>1068</v>
      </c>
      <c r="D13" s="41" t="s">
        <v>673</v>
      </c>
      <c r="E13" s="42" t="s">
        <v>1496</v>
      </c>
      <c r="F13" s="42" t="s">
        <v>1497</v>
      </c>
      <c r="G13" s="42" t="s">
        <v>1498</v>
      </c>
      <c r="H13" s="42" t="s">
        <v>1499</v>
      </c>
      <c r="I13" s="42" t="s">
        <v>1500</v>
      </c>
      <c r="J13" s="42" t="s">
        <v>1217</v>
      </c>
      <c r="K13" s="629"/>
      <c r="L13" s="1566"/>
    </row>
    <row r="14" spans="2:12" ht="15.75">
      <c r="B14" s="43"/>
      <c r="C14" s="44"/>
      <c r="D14" s="43"/>
      <c r="E14" s="45"/>
      <c r="F14" s="44"/>
      <c r="G14" s="44"/>
      <c r="H14" s="44"/>
      <c r="I14" s="44"/>
      <c r="J14" s="629"/>
      <c r="K14" s="629"/>
      <c r="L14" s="1566"/>
    </row>
    <row r="15" spans="2:12" ht="18">
      <c r="B15" s="46" t="s">
        <v>1958</v>
      </c>
      <c r="C15" s="47" t="s">
        <v>1502</v>
      </c>
      <c r="D15" s="313" t="s">
        <v>1222</v>
      </c>
      <c r="E15" s="262"/>
      <c r="F15" s="263"/>
      <c r="G15" s="263"/>
      <c r="H15" s="263"/>
      <c r="I15" s="264"/>
      <c r="J15" s="631">
        <f>SUM(E15:I15)</f>
        <v>0</v>
      </c>
      <c r="K15" s="629"/>
      <c r="L15" s="1566"/>
    </row>
    <row r="16" spans="2:12" ht="18">
      <c r="B16" s="46"/>
      <c r="C16" s="48"/>
      <c r="D16" s="313"/>
      <c r="E16" s="45"/>
      <c r="F16" s="45"/>
      <c r="G16" s="44"/>
      <c r="H16" s="44"/>
      <c r="I16" s="44"/>
      <c r="J16" s="629"/>
      <c r="K16" s="629"/>
      <c r="L16" s="1566"/>
    </row>
    <row r="17" spans="2:12" ht="18">
      <c r="B17" s="46" t="s">
        <v>1756</v>
      </c>
      <c r="C17" s="49" t="s">
        <v>1503</v>
      </c>
      <c r="D17" s="313" t="s">
        <v>1225</v>
      </c>
      <c r="E17" s="262"/>
      <c r="F17" s="263"/>
      <c r="G17" s="263"/>
      <c r="H17" s="263"/>
      <c r="I17" s="264"/>
      <c r="J17" s="631">
        <f>SUM(E17:I17)</f>
        <v>0</v>
      </c>
      <c r="K17" s="629"/>
      <c r="L17" s="1566"/>
    </row>
    <row r="18" spans="2:12" ht="18">
      <c r="B18" s="46"/>
      <c r="C18" s="50"/>
      <c r="D18" s="313"/>
      <c r="E18" s="51"/>
      <c r="F18" s="48"/>
      <c r="G18" s="48"/>
      <c r="H18" s="48"/>
      <c r="I18" s="48"/>
      <c r="J18" s="636"/>
      <c r="K18" s="629"/>
      <c r="L18" s="1566"/>
    </row>
    <row r="19" spans="2:12" ht="18">
      <c r="B19" s="46" t="s">
        <v>1757</v>
      </c>
      <c r="C19" s="309" t="s">
        <v>1897</v>
      </c>
      <c r="D19" s="313" t="s">
        <v>1227</v>
      </c>
      <c r="E19" s="259"/>
      <c r="F19" s="260"/>
      <c r="G19" s="260"/>
      <c r="H19" s="260"/>
      <c r="I19" s="261"/>
      <c r="J19" s="638">
        <f>SUM(E19:I19)</f>
        <v>0</v>
      </c>
      <c r="K19" s="629"/>
      <c r="L19" s="1566"/>
    </row>
    <row r="20" spans="2:12" ht="18">
      <c r="B20" s="46" t="s">
        <v>1899</v>
      </c>
      <c r="C20" s="309" t="s">
        <v>1898</v>
      </c>
      <c r="D20" s="313"/>
      <c r="E20" s="923">
        <f>E19</f>
        <v>0</v>
      </c>
      <c r="F20" s="261">
        <f>F19</f>
        <v>0</v>
      </c>
      <c r="G20" s="261">
        <f>G19</f>
        <v>0</v>
      </c>
      <c r="H20" s="261">
        <f>H19</f>
        <v>0</v>
      </c>
      <c r="I20" s="261">
        <f>I19</f>
        <v>0</v>
      </c>
      <c r="J20" s="638">
        <f>SUM(E20:I20)</f>
        <v>0</v>
      </c>
      <c r="K20" s="629"/>
      <c r="L20" s="1566"/>
    </row>
    <row r="21" spans="2:12" ht="18">
      <c r="B21" s="46"/>
      <c r="C21" s="50"/>
      <c r="D21" s="313"/>
      <c r="E21" s="51"/>
      <c r="F21" s="48"/>
      <c r="G21" s="48"/>
      <c r="H21" s="48"/>
      <c r="I21" s="48"/>
      <c r="J21" s="636"/>
      <c r="K21" s="629"/>
      <c r="L21" s="1566"/>
    </row>
    <row r="22" spans="2:12" ht="18">
      <c r="B22" s="46" t="s">
        <v>1230</v>
      </c>
      <c r="C22" s="49" t="s">
        <v>1504</v>
      </c>
      <c r="D22" s="313" t="s">
        <v>1229</v>
      </c>
      <c r="E22" s="259"/>
      <c r="F22" s="260"/>
      <c r="G22" s="260"/>
      <c r="H22" s="260"/>
      <c r="I22" s="261"/>
      <c r="J22" s="638">
        <f>SUM(E22:I22)</f>
        <v>0</v>
      </c>
      <c r="K22" s="629"/>
      <c r="L22" s="1566"/>
    </row>
    <row r="23" spans="2:12" ht="18">
      <c r="B23" s="46"/>
      <c r="C23" s="50"/>
      <c r="D23" s="313"/>
      <c r="E23" s="51"/>
      <c r="F23" s="48"/>
      <c r="G23" s="48"/>
      <c r="H23" s="635"/>
      <c r="I23" s="48"/>
      <c r="J23" s="636"/>
      <c r="K23" s="629"/>
      <c r="L23" s="1566"/>
    </row>
    <row r="24" spans="2:12" ht="36">
      <c r="B24" s="303" t="s">
        <v>2098</v>
      </c>
      <c r="C24" s="534" t="s">
        <v>515</v>
      </c>
      <c r="D24" s="302" t="s">
        <v>956</v>
      </c>
      <c r="E24" s="323"/>
      <c r="F24" s="324"/>
      <c r="G24" s="324"/>
      <c r="H24" s="324"/>
      <c r="I24" s="325"/>
      <c r="J24" s="644">
        <f>SUM(E24:I24)</f>
        <v>0</v>
      </c>
      <c r="K24" s="629"/>
      <c r="L24" s="1566"/>
    </row>
    <row r="25" spans="2:12" ht="36">
      <c r="B25" s="46" t="s">
        <v>1958</v>
      </c>
      <c r="C25" s="52" t="s">
        <v>1152</v>
      </c>
      <c r="D25" s="313" t="s">
        <v>956</v>
      </c>
      <c r="E25" s="262"/>
      <c r="F25" s="263"/>
      <c r="G25" s="263"/>
      <c r="H25" s="263"/>
      <c r="I25" s="264"/>
      <c r="J25" s="631">
        <f>SUM(E25:I25)</f>
        <v>0</v>
      </c>
      <c r="K25" s="629"/>
      <c r="L25" s="1566"/>
    </row>
    <row r="26" spans="2:12" ht="18">
      <c r="B26" s="46"/>
      <c r="C26" s="50"/>
      <c r="D26" s="313"/>
      <c r="E26" s="51"/>
      <c r="F26" s="48"/>
      <c r="G26" s="48"/>
      <c r="H26" s="635"/>
      <c r="I26" s="48"/>
      <c r="J26" s="636"/>
      <c r="K26" s="629"/>
      <c r="L26" s="1566"/>
    </row>
    <row r="27" spans="2:12" ht="18">
      <c r="B27" s="46" t="s">
        <v>1756</v>
      </c>
      <c r="C27" s="49" t="s">
        <v>1505</v>
      </c>
      <c r="D27" s="313" t="s">
        <v>958</v>
      </c>
      <c r="E27" s="259"/>
      <c r="F27" s="260"/>
      <c r="G27" s="260"/>
      <c r="H27" s="260"/>
      <c r="I27" s="261"/>
      <c r="J27" s="638">
        <f>SUM(E27:I27)</f>
        <v>0</v>
      </c>
      <c r="K27" s="629"/>
      <c r="L27" s="1566"/>
    </row>
    <row r="28" spans="2:12" ht="18">
      <c r="B28" s="46"/>
      <c r="C28" s="50"/>
      <c r="D28" s="313"/>
      <c r="E28" s="51"/>
      <c r="F28" s="48"/>
      <c r="G28" s="48"/>
      <c r="H28" s="635"/>
      <c r="I28" s="48"/>
      <c r="J28" s="636"/>
      <c r="K28" s="629"/>
      <c r="L28" s="1566"/>
    </row>
    <row r="29" spans="2:12" ht="18">
      <c r="B29" s="46" t="s">
        <v>1756</v>
      </c>
      <c r="C29" s="49" t="s">
        <v>1404</v>
      </c>
      <c r="D29" s="313" t="s">
        <v>1713</v>
      </c>
      <c r="E29" s="259"/>
      <c r="F29" s="260"/>
      <c r="G29" s="260"/>
      <c r="H29" s="260"/>
      <c r="I29" s="261"/>
      <c r="J29" s="638">
        <f>SUM(E29:I29)</f>
        <v>0</v>
      </c>
      <c r="K29" s="629"/>
      <c r="L29" s="1566"/>
    </row>
    <row r="30" spans="2:12" ht="18">
      <c r="B30" s="46"/>
      <c r="C30" s="49"/>
      <c r="D30" s="313"/>
      <c r="E30" s="51"/>
      <c r="F30" s="48"/>
      <c r="G30" s="48"/>
      <c r="H30" s="635"/>
      <c r="I30" s="48"/>
      <c r="J30" s="636"/>
      <c r="K30" s="629"/>
      <c r="L30" s="1566"/>
    </row>
    <row r="31" spans="2:12" ht="18">
      <c r="B31" s="46" t="s">
        <v>1758</v>
      </c>
      <c r="C31" s="49" t="s">
        <v>1915</v>
      </c>
      <c r="D31" s="313" t="s">
        <v>1714</v>
      </c>
      <c r="E31" s="923"/>
      <c r="F31" s="261"/>
      <c r="G31" s="261"/>
      <c r="H31" s="261"/>
      <c r="I31" s="261"/>
      <c r="J31" s="638">
        <f>SUM(E31:I31)</f>
        <v>0</v>
      </c>
      <c r="K31" s="629"/>
      <c r="L31" s="1566"/>
    </row>
    <row r="32" spans="2:12" ht="18">
      <c r="B32" s="332" t="s">
        <v>2187</v>
      </c>
      <c r="C32" s="49"/>
      <c r="D32" s="313"/>
      <c r="E32" s="51"/>
      <c r="F32" s="48"/>
      <c r="G32" s="48"/>
      <c r="H32" s="635"/>
      <c r="I32" s="48"/>
      <c r="J32" s="636"/>
      <c r="K32" s="629"/>
      <c r="L32" s="1566"/>
    </row>
    <row r="33" spans="2:12" ht="18">
      <c r="B33" s="56" t="s">
        <v>1756</v>
      </c>
      <c r="C33" s="49" t="s">
        <v>1506</v>
      </c>
      <c r="D33" s="313" t="s">
        <v>716</v>
      </c>
      <c r="E33" s="259"/>
      <c r="F33" s="260"/>
      <c r="G33" s="260"/>
      <c r="H33" s="260"/>
      <c r="I33" s="261"/>
      <c r="J33" s="638">
        <f>SUM(E33:I33)</f>
        <v>0</v>
      </c>
      <c r="K33" s="629"/>
      <c r="L33" s="1566"/>
    </row>
    <row r="34" spans="2:12" ht="18">
      <c r="B34" s="46"/>
      <c r="C34" s="50"/>
      <c r="D34" s="313"/>
      <c r="E34" s="51"/>
      <c r="F34" s="48"/>
      <c r="G34" s="48"/>
      <c r="H34" s="635"/>
      <c r="I34" s="48"/>
      <c r="J34" s="636"/>
      <c r="K34" s="629"/>
      <c r="L34" s="1566"/>
    </row>
    <row r="35" spans="2:12" ht="36">
      <c r="B35" s="46" t="s">
        <v>1228</v>
      </c>
      <c r="C35" s="52" t="s">
        <v>1507</v>
      </c>
      <c r="D35" s="313" t="s">
        <v>718</v>
      </c>
      <c r="E35" s="259"/>
      <c r="F35" s="260"/>
      <c r="G35" s="260"/>
      <c r="H35" s="260"/>
      <c r="I35" s="261"/>
      <c r="J35" s="638">
        <f>SUM(E35:I35)</f>
        <v>0</v>
      </c>
      <c r="K35" s="629"/>
      <c r="L35" s="1566"/>
    </row>
    <row r="36" spans="2:12" ht="18">
      <c r="B36" s="46"/>
      <c r="C36" s="53"/>
      <c r="D36" s="313"/>
      <c r="E36" s="51"/>
      <c r="F36" s="48"/>
      <c r="G36" s="48"/>
      <c r="H36" s="635"/>
      <c r="I36" s="48"/>
      <c r="J36" s="636"/>
      <c r="K36" s="629"/>
      <c r="L36" s="1566"/>
    </row>
    <row r="37" spans="2:12" ht="18">
      <c r="B37" s="46" t="s">
        <v>1734</v>
      </c>
      <c r="C37" s="52" t="s">
        <v>1783</v>
      </c>
      <c r="D37" s="313" t="s">
        <v>2011</v>
      </c>
      <c r="E37" s="262"/>
      <c r="F37" s="263"/>
      <c r="G37" s="263"/>
      <c r="H37" s="263"/>
      <c r="I37" s="264"/>
      <c r="J37" s="631">
        <f>SUM(E37:I37)</f>
        <v>0</v>
      </c>
      <c r="K37" s="629"/>
      <c r="L37" s="1566"/>
    </row>
    <row r="38" spans="2:12" ht="18">
      <c r="B38" s="46"/>
      <c r="C38" s="53"/>
      <c r="D38" s="313"/>
      <c r="E38" s="51"/>
      <c r="F38" s="48"/>
      <c r="G38" s="48"/>
      <c r="H38" s="635"/>
      <c r="I38" s="54"/>
      <c r="J38" s="639"/>
      <c r="K38" s="629"/>
      <c r="L38" s="1566"/>
    </row>
    <row r="39" spans="2:15" ht="36">
      <c r="B39" s="307" t="s">
        <v>995</v>
      </c>
      <c r="C39" s="52" t="s">
        <v>1508</v>
      </c>
      <c r="D39" s="313" t="s">
        <v>1698</v>
      </c>
      <c r="E39" s="262"/>
      <c r="F39" s="263"/>
      <c r="G39" s="263"/>
      <c r="H39" s="263"/>
      <c r="I39" s="264"/>
      <c r="J39" s="631">
        <f>SUM(E39:I39)</f>
        <v>0</v>
      </c>
      <c r="K39" s="629"/>
      <c r="L39" s="1566"/>
      <c r="O39" s="1430"/>
    </row>
    <row r="40" spans="2:12" ht="18">
      <c r="B40" s="46"/>
      <c r="C40" s="52"/>
      <c r="D40" s="313"/>
      <c r="E40" s="51"/>
      <c r="F40" s="48"/>
      <c r="G40" s="48"/>
      <c r="H40" s="635"/>
      <c r="I40" s="48"/>
      <c r="J40" s="636"/>
      <c r="K40" s="629"/>
      <c r="L40" s="1566"/>
    </row>
    <row r="41" spans="2:12" ht="36">
      <c r="B41" s="46" t="s">
        <v>1756</v>
      </c>
      <c r="C41" s="52" t="s">
        <v>1509</v>
      </c>
      <c r="D41" s="313" t="s">
        <v>1728</v>
      </c>
      <c r="E41" s="259"/>
      <c r="F41" s="260"/>
      <c r="G41" s="260"/>
      <c r="H41" s="260"/>
      <c r="I41" s="261"/>
      <c r="J41" s="638">
        <f>SUM(E41:I41)</f>
        <v>0</v>
      </c>
      <c r="K41" s="629"/>
      <c r="L41" s="1566"/>
    </row>
    <row r="42" spans="2:12" ht="18">
      <c r="B42" s="46"/>
      <c r="C42" s="53"/>
      <c r="D42" s="313"/>
      <c r="E42" s="46"/>
      <c r="F42" s="46"/>
      <c r="G42" s="46"/>
      <c r="H42" s="46"/>
      <c r="I42" s="46"/>
      <c r="J42" s="636"/>
      <c r="K42" s="629"/>
      <c r="L42" s="1566"/>
    </row>
    <row r="43" spans="2:12" ht="18">
      <c r="B43" s="56" t="s">
        <v>886</v>
      </c>
      <c r="C43" s="49" t="s">
        <v>1782</v>
      </c>
      <c r="D43" s="313" t="s">
        <v>1732</v>
      </c>
      <c r="E43" s="259"/>
      <c r="F43" s="260"/>
      <c r="G43" s="260"/>
      <c r="H43" s="260"/>
      <c r="I43" s="261"/>
      <c r="J43" s="638">
        <f>SUM(E43:I43)</f>
        <v>0</v>
      </c>
      <c r="K43" s="629"/>
      <c r="L43" s="1566"/>
    </row>
    <row r="44" spans="2:12" ht="18">
      <c r="B44" s="46"/>
      <c r="C44" s="49"/>
      <c r="D44" s="313"/>
      <c r="E44" s="51"/>
      <c r="F44" s="1318">
        <f>IF(AND(F31&gt;0,F45=""),"Footnote Code Missing","")</f>
      </c>
      <c r="G44" s="48"/>
      <c r="H44" s="1318">
        <f>IF(AND(H31&gt;0,H45=""),"Footnote Code Missing","")</f>
      </c>
      <c r="I44" s="48"/>
      <c r="J44" s="636"/>
      <c r="K44" s="629"/>
      <c r="L44" s="1566"/>
    </row>
    <row r="45" spans="2:12" ht="18">
      <c r="B45" s="46" t="s">
        <v>1734</v>
      </c>
      <c r="C45" s="49" t="s">
        <v>1501</v>
      </c>
      <c r="D45" s="313" t="s">
        <v>1697</v>
      </c>
      <c r="E45" s="293"/>
      <c r="F45" s="294"/>
      <c r="G45" s="294"/>
      <c r="H45" s="294"/>
      <c r="I45" s="295"/>
      <c r="J45" s="636"/>
      <c r="K45" s="629"/>
      <c r="L45" s="1566"/>
    </row>
    <row r="46" spans="2:12" ht="18">
      <c r="B46" s="46"/>
      <c r="C46" s="348" t="s">
        <v>1041</v>
      </c>
      <c r="D46" s="46"/>
      <c r="E46" s="924">
        <f>IF(E45=5,E31,0)</f>
        <v>0</v>
      </c>
      <c r="F46" s="925">
        <f>IF(F45=5,F31,0)</f>
        <v>0</v>
      </c>
      <c r="G46" s="925">
        <f>IF(G45=5,G31,0)</f>
        <v>0</v>
      </c>
      <c r="H46" s="925">
        <f>IF(H45=5,H31,0)</f>
        <v>0</v>
      </c>
      <c r="I46" s="925">
        <f>IF(I45=5,I31,0)</f>
        <v>0</v>
      </c>
      <c r="J46" s="1565">
        <f>SUM(E46:I46)</f>
        <v>0</v>
      </c>
      <c r="K46" s="629"/>
      <c r="L46" s="1566"/>
    </row>
    <row r="47" spans="2:12" ht="18.75" thickBot="1">
      <c r="B47" s="298"/>
      <c r="C47" s="299"/>
      <c r="D47" s="298"/>
      <c r="E47" s="632">
        <f>IF(AND(E31&gt;0,E45=""),"Footnote Code Missing","")</f>
      </c>
      <c r="F47" s="632"/>
      <c r="G47" s="632">
        <f>IF(AND(G31&gt;0,G45=""),"Footnote Code Missing","")</f>
      </c>
      <c r="H47" s="632"/>
      <c r="I47" s="632">
        <f>IF(AND(I31&gt;0,I45=""),"Footnote Code Missing","")</f>
      </c>
      <c r="J47" s="633"/>
      <c r="K47" s="634"/>
      <c r="L47" s="1566"/>
    </row>
    <row r="48" spans="2:12" ht="18">
      <c r="B48" s="46"/>
      <c r="C48" s="33" t="str">
        <f>"T4A-"&amp;yeartext&amp;" DATA SUMMARY"</f>
        <v>T4A-2009 DATA SUMMARY</v>
      </c>
      <c r="D48" s="768" t="s">
        <v>1763</v>
      </c>
      <c r="E48" s="34"/>
      <c r="F48" s="35"/>
      <c r="G48" s="35"/>
      <c r="H48" s="36"/>
      <c r="I48" s="35"/>
      <c r="J48" s="36" t="str">
        <f>yeartext</f>
        <v>2009</v>
      </c>
      <c r="K48" s="629"/>
      <c r="L48" s="1566"/>
    </row>
    <row r="49" spans="2:12" ht="18">
      <c r="B49" s="46"/>
      <c r="C49" s="49"/>
      <c r="D49" s="46"/>
      <c r="E49" s="51"/>
      <c r="F49" s="48"/>
      <c r="G49" s="48"/>
      <c r="H49" s="635"/>
      <c r="I49" s="48"/>
      <c r="J49" s="636"/>
      <c r="K49" s="629"/>
      <c r="L49" s="1566"/>
    </row>
    <row r="50" spans="2:12" ht="18">
      <c r="B50" s="46"/>
      <c r="C50" s="41" t="s">
        <v>114</v>
      </c>
      <c r="D50" s="41" t="s">
        <v>855</v>
      </c>
      <c r="E50" s="41" t="s">
        <v>115</v>
      </c>
      <c r="F50" s="48"/>
      <c r="G50" s="48"/>
      <c r="H50" s="635"/>
      <c r="I50" s="48"/>
      <c r="J50" s="636"/>
      <c r="K50" s="629"/>
      <c r="L50" s="1566"/>
    </row>
    <row r="51" spans="2:12" ht="18">
      <c r="B51" s="46"/>
      <c r="C51" s="304"/>
      <c r="D51" s="305"/>
      <c r="E51" s="306"/>
      <c r="F51" s="48"/>
      <c r="G51" s="308"/>
      <c r="H51" s="635"/>
      <c r="I51" s="48"/>
      <c r="J51" s="636"/>
      <c r="K51" s="629"/>
      <c r="L51" s="1566"/>
    </row>
    <row r="52" spans="2:12" ht="18">
      <c r="B52" s="46"/>
      <c r="C52" s="302" t="s">
        <v>113</v>
      </c>
      <c r="D52" s="303" t="s">
        <v>116</v>
      </c>
      <c r="E52" s="334">
        <f>E31*HLOOKUP(E45,A66:AB68,2,FALSE)+F31*HLOOKUP(F45,A66:AB68,2,FALSE)+G31*HLOOKUP(G45,A66:AB68,2,FALSE)+H31*HLOOKUP(H45,A66:AB68,2,FALSE)+I31*HLOOKUP(I45,A66:AB68,2,FALSE)</f>
        <v>0</v>
      </c>
      <c r="F52" s="48"/>
      <c r="G52" s="48"/>
      <c r="H52" s="635"/>
      <c r="I52" s="48"/>
      <c r="J52" s="636"/>
      <c r="K52" s="629"/>
      <c r="L52" s="1566"/>
    </row>
    <row r="53" spans="2:12" ht="18">
      <c r="B53" s="46"/>
      <c r="C53" s="296" t="s">
        <v>113</v>
      </c>
      <c r="D53" s="297" t="s">
        <v>1958</v>
      </c>
      <c r="E53" s="334">
        <f>J15+J25+IF((age&gt;64),$J$24,0)</f>
        <v>0</v>
      </c>
      <c r="F53" s="48"/>
      <c r="G53" s="340" t="s">
        <v>1533</v>
      </c>
      <c r="H53" s="635"/>
      <c r="I53" s="1431"/>
      <c r="J53" s="636"/>
      <c r="K53" s="629"/>
      <c r="L53" s="1566"/>
    </row>
    <row r="54" spans="2:12" ht="18">
      <c r="B54" s="46"/>
      <c r="C54" s="296" t="s">
        <v>113</v>
      </c>
      <c r="D54" s="297" t="s">
        <v>2187</v>
      </c>
      <c r="E54" s="334">
        <f>E31*HLOOKUP(E45,A66:AB69,4,FALSE)+F31*HLOOKUP(F45,A66:AB69,4,FALSE)+G31*HLOOKUP(G45,A66:AB69,4,FALSE)+H31*HLOOKUP(H45,A66:AB69,4,FALSE)+I31*HLOOKUP(I45,A66:AB69,4,FALSE)</f>
        <v>0</v>
      </c>
      <c r="F54" s="48"/>
      <c r="G54" s="340"/>
      <c r="H54" s="635"/>
      <c r="I54" s="1431"/>
      <c r="J54" s="636"/>
      <c r="K54" s="629"/>
      <c r="L54" s="1566"/>
    </row>
    <row r="55" spans="2:12" ht="18">
      <c r="B55" s="46"/>
      <c r="C55" s="296" t="s">
        <v>113</v>
      </c>
      <c r="D55" s="297" t="s">
        <v>1756</v>
      </c>
      <c r="E55" s="642">
        <f>J17+J27+J29+J33+J39+J41+IF(age&lt;65,$J$24,0)+E31*HLOOKUP(E45,A66:AB68,3,FALSE)+F31*HLOOKUP(F45,A66:AB68,3,FALSE)+G31*HLOOKUP(G45,A66:AB68,3,FALSE)+H31*HLOOKUP(H45,A66:AB68,3,FALSE)+I31*HLOOKUP(I45,A66:AB68,3,FALSE)-exemption</f>
        <v>0</v>
      </c>
      <c r="F55" s="48"/>
      <c r="G55" s="340" t="s">
        <v>1534</v>
      </c>
      <c r="H55" s="635"/>
      <c r="I55" s="48"/>
      <c r="J55" s="636"/>
      <c r="K55" s="629"/>
      <c r="L55" s="1566"/>
    </row>
    <row r="56" spans="2:12" ht="18">
      <c r="B56" s="46"/>
      <c r="C56" s="296" t="s">
        <v>113</v>
      </c>
      <c r="D56" s="297" t="s">
        <v>1899</v>
      </c>
      <c r="E56" s="642">
        <f>J20</f>
        <v>0</v>
      </c>
      <c r="F56" s="48"/>
      <c r="G56" s="340"/>
      <c r="H56" s="635"/>
      <c r="I56" s="48"/>
      <c r="J56" s="636"/>
      <c r="K56" s="629"/>
      <c r="L56" s="1566"/>
    </row>
    <row r="57" spans="2:12" ht="18">
      <c r="B57" s="46"/>
      <c r="C57" s="296" t="s">
        <v>113</v>
      </c>
      <c r="D57" s="297" t="s">
        <v>1757</v>
      </c>
      <c r="E57" s="642">
        <f>J19</f>
        <v>0</v>
      </c>
      <c r="F57" s="48"/>
      <c r="G57" s="330" t="s">
        <v>670</v>
      </c>
      <c r="H57" s="635"/>
      <c r="I57" s="48"/>
      <c r="J57" s="636"/>
      <c r="K57" s="629"/>
      <c r="L57" s="1566"/>
    </row>
    <row r="58" spans="2:12" ht="18">
      <c r="B58" s="46"/>
      <c r="C58" s="296" t="s">
        <v>117</v>
      </c>
      <c r="D58" s="297" t="s">
        <v>1734</v>
      </c>
      <c r="E58" s="642">
        <f>J37</f>
        <v>0</v>
      </c>
      <c r="F58" s="48"/>
      <c r="G58" s="330" t="s">
        <v>671</v>
      </c>
      <c r="H58" s="635"/>
      <c r="I58" s="48"/>
      <c r="J58" s="636"/>
      <c r="K58" s="629"/>
      <c r="L58" s="1566"/>
    </row>
    <row r="59" spans="2:12" ht="18">
      <c r="B59" s="46"/>
      <c r="C59" s="296" t="s">
        <v>117</v>
      </c>
      <c r="D59" s="297" t="s">
        <v>1228</v>
      </c>
      <c r="E59" s="642">
        <f>J35</f>
        <v>0</v>
      </c>
      <c r="F59" s="48"/>
      <c r="G59" s="330"/>
      <c r="H59" s="635"/>
      <c r="I59" s="48"/>
      <c r="J59" s="636"/>
      <c r="K59" s="629"/>
      <c r="L59" s="1566"/>
    </row>
    <row r="60" spans="2:12" ht="18">
      <c r="B60" s="46"/>
      <c r="C60" s="296"/>
      <c r="D60" s="297"/>
      <c r="E60" s="51"/>
      <c r="F60" s="48"/>
      <c r="G60" s="330" t="s">
        <v>2363</v>
      </c>
      <c r="H60" s="635"/>
      <c r="I60" s="48"/>
      <c r="J60" s="636"/>
      <c r="K60" s="629"/>
      <c r="L60" s="1566"/>
    </row>
    <row r="61" spans="2:12" ht="18">
      <c r="B61" s="46"/>
      <c r="C61" s="296" t="s">
        <v>2067</v>
      </c>
      <c r="D61" s="297" t="s">
        <v>1230</v>
      </c>
      <c r="E61" s="642">
        <f>J22</f>
        <v>0</v>
      </c>
      <c r="F61" s="48"/>
      <c r="G61" s="330" t="s">
        <v>1532</v>
      </c>
      <c r="H61" s="635"/>
      <c r="I61" s="48"/>
      <c r="J61" s="636"/>
      <c r="K61" s="629"/>
      <c r="L61" s="1566"/>
    </row>
    <row r="62" spans="2:12" ht="18">
      <c r="B62" s="46"/>
      <c r="C62" s="296" t="s">
        <v>2068</v>
      </c>
      <c r="D62" s="297" t="s">
        <v>1281</v>
      </c>
      <c r="E62" s="642">
        <f>J43</f>
        <v>0</v>
      </c>
      <c r="F62" s="48"/>
      <c r="G62" s="48"/>
      <c r="H62" s="635"/>
      <c r="I62" s="48"/>
      <c r="J62" s="636"/>
      <c r="K62" s="629"/>
      <c r="L62" s="1566"/>
    </row>
    <row r="63" spans="2:12" ht="18">
      <c r="B63" s="46"/>
      <c r="C63" s="296" t="s">
        <v>806</v>
      </c>
      <c r="D63" s="297"/>
      <c r="E63" s="642">
        <f>J39</f>
        <v>0</v>
      </c>
      <c r="F63" s="48"/>
      <c r="G63" s="48"/>
      <c r="H63" s="635"/>
      <c r="I63" s="48"/>
      <c r="J63" s="636"/>
      <c r="K63" s="629"/>
      <c r="L63" s="1566"/>
    </row>
    <row r="64" spans="2:12" ht="18">
      <c r="B64" s="46"/>
      <c r="C64" s="49"/>
      <c r="D64" s="46"/>
      <c r="E64" s="51"/>
      <c r="F64" s="48"/>
      <c r="G64" s="48"/>
      <c r="H64" s="635"/>
      <c r="I64" s="48"/>
      <c r="J64" s="636"/>
      <c r="K64" s="629"/>
      <c r="L64" s="1566"/>
    </row>
    <row r="65" spans="2:12" ht="18">
      <c r="B65" s="46"/>
      <c r="C65" s="49"/>
      <c r="D65" s="46"/>
      <c r="E65" s="51"/>
      <c r="F65" s="48"/>
      <c r="G65" s="48"/>
      <c r="H65" s="635"/>
      <c r="I65" s="48"/>
      <c r="J65" s="636"/>
      <c r="K65" s="629"/>
      <c r="L65" s="1566"/>
    </row>
    <row r="66" spans="1:28" ht="15">
      <c r="A66" s="645">
        <v>0</v>
      </c>
      <c r="B66" s="647">
        <v>2</v>
      </c>
      <c r="C66" s="645">
        <v>4</v>
      </c>
      <c r="D66" s="646">
        <v>5</v>
      </c>
      <c r="E66" s="645">
        <v>6</v>
      </c>
      <c r="F66" s="647">
        <v>7</v>
      </c>
      <c r="G66" s="647">
        <v>8</v>
      </c>
      <c r="H66" s="647">
        <v>9</v>
      </c>
      <c r="I66" s="647">
        <v>10</v>
      </c>
      <c r="J66" s="647">
        <v>13</v>
      </c>
      <c r="K66" s="647">
        <v>14</v>
      </c>
      <c r="L66" s="647">
        <v>15</v>
      </c>
      <c r="M66" s="647">
        <v>16</v>
      </c>
      <c r="N66" s="647">
        <v>17</v>
      </c>
      <c r="O66" s="647">
        <v>18</v>
      </c>
      <c r="P66" s="647">
        <v>19</v>
      </c>
      <c r="Q66" s="648">
        <v>22</v>
      </c>
      <c r="R66" s="648">
        <v>23</v>
      </c>
      <c r="S66" s="648">
        <v>24</v>
      </c>
      <c r="T66" s="648">
        <v>25</v>
      </c>
      <c r="U66" s="648">
        <v>26</v>
      </c>
      <c r="V66" s="648">
        <v>27</v>
      </c>
      <c r="W66" s="648">
        <v>29</v>
      </c>
      <c r="X66" s="648">
        <v>30</v>
      </c>
      <c r="Y66" s="648">
        <v>31</v>
      </c>
      <c r="Z66" s="648">
        <v>32</v>
      </c>
      <c r="AA66" s="648">
        <v>33</v>
      </c>
      <c r="AB66" s="648">
        <v>34</v>
      </c>
    </row>
    <row r="67" spans="1:28" ht="15">
      <c r="A67" s="645">
        <v>0</v>
      </c>
      <c r="B67" s="647">
        <v>0</v>
      </c>
      <c r="C67" s="645">
        <v>1</v>
      </c>
      <c r="D67" s="646">
        <v>0</v>
      </c>
      <c r="E67" s="645">
        <v>0</v>
      </c>
      <c r="F67" s="647">
        <v>1</v>
      </c>
      <c r="G67" s="647">
        <v>0</v>
      </c>
      <c r="H67" s="647">
        <v>0</v>
      </c>
      <c r="I67" s="647">
        <v>0</v>
      </c>
      <c r="J67" s="647">
        <v>0</v>
      </c>
      <c r="K67" s="647">
        <v>0</v>
      </c>
      <c r="L67" s="647">
        <v>0</v>
      </c>
      <c r="M67" s="647">
        <v>0</v>
      </c>
      <c r="N67" s="647">
        <v>0</v>
      </c>
      <c r="O67" s="647">
        <v>1</v>
      </c>
      <c r="P67" s="647">
        <v>1</v>
      </c>
      <c r="Q67" s="648">
        <v>0</v>
      </c>
      <c r="R67" s="648">
        <v>0</v>
      </c>
      <c r="S67" s="648">
        <v>0</v>
      </c>
      <c r="T67" s="648">
        <v>0</v>
      </c>
      <c r="U67" s="648">
        <v>0</v>
      </c>
      <c r="V67" s="648">
        <v>1</v>
      </c>
      <c r="W67" s="648">
        <v>0</v>
      </c>
      <c r="X67" s="648">
        <v>0</v>
      </c>
      <c r="Y67" s="648">
        <v>0</v>
      </c>
      <c r="Z67" s="648">
        <v>1</v>
      </c>
      <c r="AA67" s="648">
        <v>0</v>
      </c>
      <c r="AB67" s="648">
        <v>0</v>
      </c>
    </row>
    <row r="68" spans="1:28" ht="15">
      <c r="A68" s="645">
        <v>0</v>
      </c>
      <c r="B68" s="647">
        <v>0</v>
      </c>
      <c r="C68" s="645">
        <v>0</v>
      </c>
      <c r="D68" s="646">
        <v>1</v>
      </c>
      <c r="E68" s="645">
        <v>1</v>
      </c>
      <c r="F68" s="647">
        <v>0</v>
      </c>
      <c r="G68" s="647">
        <v>0</v>
      </c>
      <c r="H68" s="647">
        <v>1</v>
      </c>
      <c r="I68" s="647">
        <v>0</v>
      </c>
      <c r="J68" s="647">
        <v>0</v>
      </c>
      <c r="K68" s="647">
        <v>0</v>
      </c>
      <c r="L68" s="647">
        <v>0</v>
      </c>
      <c r="M68" s="647">
        <v>1</v>
      </c>
      <c r="N68" s="647">
        <v>1</v>
      </c>
      <c r="O68" s="647">
        <v>0</v>
      </c>
      <c r="P68" s="647">
        <v>0</v>
      </c>
      <c r="Q68" s="648">
        <v>0</v>
      </c>
      <c r="R68" s="648">
        <v>1</v>
      </c>
      <c r="S68" s="648">
        <v>0</v>
      </c>
      <c r="T68" s="648">
        <v>1</v>
      </c>
      <c r="U68" s="648">
        <v>0</v>
      </c>
      <c r="V68" s="648">
        <v>0</v>
      </c>
      <c r="W68" s="648">
        <v>1</v>
      </c>
      <c r="X68" s="648">
        <v>1</v>
      </c>
      <c r="Y68" s="648">
        <v>0</v>
      </c>
      <c r="Z68" s="648">
        <v>0</v>
      </c>
      <c r="AA68" s="648">
        <v>1</v>
      </c>
      <c r="AB68" s="648">
        <v>1</v>
      </c>
    </row>
    <row r="69" spans="1:28" ht="15">
      <c r="A69" s="645">
        <v>0</v>
      </c>
      <c r="B69" s="647">
        <v>0</v>
      </c>
      <c r="C69" s="645">
        <v>0</v>
      </c>
      <c r="D69" s="646">
        <v>0</v>
      </c>
      <c r="E69" s="645">
        <v>0</v>
      </c>
      <c r="F69" s="647">
        <v>0</v>
      </c>
      <c r="G69" s="647">
        <v>0</v>
      </c>
      <c r="H69" s="647">
        <v>0</v>
      </c>
      <c r="I69" s="647">
        <v>0</v>
      </c>
      <c r="J69" s="647">
        <v>0</v>
      </c>
      <c r="K69" s="647">
        <v>0</v>
      </c>
      <c r="L69" s="647">
        <v>0</v>
      </c>
      <c r="M69" s="647">
        <v>0</v>
      </c>
      <c r="N69" s="647">
        <v>0</v>
      </c>
      <c r="O69" s="647">
        <v>0</v>
      </c>
      <c r="P69" s="647">
        <v>0</v>
      </c>
      <c r="Q69" s="648">
        <v>0</v>
      </c>
      <c r="R69" s="648">
        <v>0</v>
      </c>
      <c r="S69" s="648">
        <v>0</v>
      </c>
      <c r="T69" s="648">
        <v>0</v>
      </c>
      <c r="U69" s="648">
        <v>0</v>
      </c>
      <c r="V69" s="648">
        <v>0</v>
      </c>
      <c r="W69" s="648">
        <v>0</v>
      </c>
      <c r="X69" s="648">
        <v>0</v>
      </c>
      <c r="Y69" s="648">
        <v>1</v>
      </c>
      <c r="Z69" s="648">
        <v>0</v>
      </c>
      <c r="AA69" s="648">
        <v>0</v>
      </c>
      <c r="AB69" s="648">
        <v>0</v>
      </c>
    </row>
    <row r="70" spans="2:4" ht="15">
      <c r="B70" s="637"/>
      <c r="D70" s="55"/>
    </row>
    <row r="71" spans="2:4" ht="15">
      <c r="B71" s="637"/>
      <c r="D71" s="55"/>
    </row>
    <row r="72" spans="2:4" ht="15">
      <c r="B72" s="637"/>
      <c r="D72" s="55"/>
    </row>
    <row r="73" spans="2:4" ht="15">
      <c r="B73" s="637"/>
      <c r="D73" s="55"/>
    </row>
    <row r="74" spans="2:4" ht="15">
      <c r="B74" s="637"/>
      <c r="D74" s="55"/>
    </row>
    <row r="75" spans="2:4" ht="15">
      <c r="B75" s="637"/>
      <c r="D75" s="55"/>
    </row>
    <row r="76" spans="2:4" ht="15">
      <c r="B76" s="637"/>
      <c r="D76" s="55"/>
    </row>
    <row r="77" spans="2:4" ht="15">
      <c r="B77" s="637"/>
      <c r="D77" s="55"/>
    </row>
    <row r="78" spans="2:4" ht="15">
      <c r="B78" s="637"/>
      <c r="D78" s="55"/>
    </row>
    <row r="79" spans="2:4" ht="15">
      <c r="B79" s="637"/>
      <c r="D79" s="55"/>
    </row>
    <row r="80" spans="2:4" ht="15">
      <c r="B80" s="637"/>
      <c r="D80" s="55"/>
    </row>
    <row r="81" spans="2:4" ht="15">
      <c r="B81" s="637"/>
      <c r="D81" s="55"/>
    </row>
  </sheetData>
  <sheetProtection password="EC35" sheet="1" objects="1" scenarios="1"/>
  <mergeCells count="1">
    <mergeCell ref="L1:L65"/>
  </mergeCells>
  <printOptions horizontalCentered="1"/>
  <pageMargins left="0" right="0" top="0" bottom="0" header="0.5" footer="0.5"/>
  <pageSetup fitToWidth="0" fitToHeight="1" horizontalDpi="600" verticalDpi="600" orientation="portrait" scale="61"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1">
      <selection activeCell="A1" sqref="A1"/>
    </sheetView>
  </sheetViews>
  <sheetFormatPr defaultColWidth="8.88671875" defaultRowHeight="15"/>
  <cols>
    <col min="1" max="1" width="1.77734375" style="630" customWidth="1"/>
    <col min="2" max="2" width="8.3359375" style="630" customWidth="1"/>
    <col min="3" max="3" width="34.77734375" style="630" customWidth="1"/>
    <col min="4" max="4" width="7.99609375" style="630" customWidth="1"/>
    <col min="5" max="10" width="12.21484375" style="630" customWidth="1"/>
    <col min="11" max="11" width="1.88671875" style="630" customWidth="1"/>
    <col min="12" max="16384" width="8.88671875" style="630" customWidth="1"/>
  </cols>
  <sheetData>
    <row r="1" spans="2:12" ht="18">
      <c r="B1" s="35"/>
      <c r="C1" s="33" t="str">
        <f>"T4A(P)-"&amp;yeartext&amp;" SLIPS DATA ENTRY FORM"</f>
        <v>T4A(P)-2009 SLIPS DATA ENTRY FORM</v>
      </c>
      <c r="D1" s="33"/>
      <c r="E1" s="322" t="s">
        <v>1932</v>
      </c>
      <c r="F1" s="35"/>
      <c r="G1" s="35"/>
      <c r="H1" s="36"/>
      <c r="I1" s="35"/>
      <c r="J1" s="36" t="str">
        <f>yeartext</f>
        <v>2009</v>
      </c>
      <c r="K1" s="629"/>
      <c r="L1" s="1566" t="s">
        <v>35</v>
      </c>
    </row>
    <row r="2" spans="2:12" ht="15.75">
      <c r="B2" s="35"/>
      <c r="C2" s="35"/>
      <c r="D2" s="37"/>
      <c r="E2" s="629"/>
      <c r="F2" s="35"/>
      <c r="G2" s="35"/>
      <c r="H2" s="35"/>
      <c r="I2" s="35"/>
      <c r="J2" s="35"/>
      <c r="K2" s="629"/>
      <c r="L2" s="1566"/>
    </row>
    <row r="3" spans="2:12" ht="18">
      <c r="B3" s="38"/>
      <c r="C3" s="38" t="s">
        <v>1922</v>
      </c>
      <c r="D3" s="35"/>
      <c r="E3" s="37"/>
      <c r="F3" s="35"/>
      <c r="G3" s="35"/>
      <c r="H3" s="35"/>
      <c r="I3" s="35"/>
      <c r="J3" s="35"/>
      <c r="K3" s="629"/>
      <c r="L3" s="1566"/>
    </row>
    <row r="4" spans="2:12" ht="18">
      <c r="B4" s="38"/>
      <c r="C4" s="38" t="s">
        <v>1923</v>
      </c>
      <c r="D4" s="35"/>
      <c r="E4" s="37"/>
      <c r="F4" s="35"/>
      <c r="G4" s="35"/>
      <c r="H4" s="35"/>
      <c r="I4" s="35"/>
      <c r="J4" s="35"/>
      <c r="K4" s="629"/>
      <c r="L4" s="1566"/>
    </row>
    <row r="5" spans="2:12" ht="18">
      <c r="B5" s="38"/>
      <c r="C5" s="38" t="s">
        <v>1924</v>
      </c>
      <c r="D5" s="35"/>
      <c r="E5" s="37"/>
      <c r="F5" s="35"/>
      <c r="G5" s="35"/>
      <c r="H5" s="35"/>
      <c r="I5" s="35"/>
      <c r="J5" s="35"/>
      <c r="K5" s="629"/>
      <c r="L5" s="1566"/>
    </row>
    <row r="6" spans="2:12" ht="18">
      <c r="B6" s="38"/>
      <c r="C6" s="38" t="s">
        <v>1925</v>
      </c>
      <c r="D6" s="35"/>
      <c r="E6" s="37"/>
      <c r="F6" s="35"/>
      <c r="G6" s="35"/>
      <c r="H6" s="35"/>
      <c r="I6" s="35"/>
      <c r="J6" s="35"/>
      <c r="K6" s="629"/>
      <c r="L6" s="1566"/>
    </row>
    <row r="7" spans="2:12" ht="18">
      <c r="B7" s="38"/>
      <c r="C7" s="38" t="s">
        <v>1752</v>
      </c>
      <c r="D7" s="35"/>
      <c r="E7" s="37"/>
      <c r="F7" s="35"/>
      <c r="G7" s="35"/>
      <c r="H7" s="35"/>
      <c r="I7" s="35"/>
      <c r="J7" s="35"/>
      <c r="K7" s="629"/>
      <c r="L7" s="1566"/>
    </row>
    <row r="8" spans="2:12" ht="18">
      <c r="B8" s="38"/>
      <c r="C8" s="38" t="s">
        <v>1926</v>
      </c>
      <c r="D8" s="35"/>
      <c r="E8" s="37"/>
      <c r="F8" s="35"/>
      <c r="G8" s="35"/>
      <c r="H8" s="35"/>
      <c r="I8" s="35"/>
      <c r="J8" s="35"/>
      <c r="K8" s="629"/>
      <c r="L8" s="1566"/>
    </row>
    <row r="9" spans="2:12" ht="18">
      <c r="B9" s="38"/>
      <c r="C9" s="38" t="s">
        <v>1786</v>
      </c>
      <c r="D9" s="35"/>
      <c r="E9" s="37"/>
      <c r="F9" s="35"/>
      <c r="G9" s="35"/>
      <c r="H9" s="35"/>
      <c r="I9" s="35"/>
      <c r="J9" s="35"/>
      <c r="K9" s="629"/>
      <c r="L9" s="1566"/>
    </row>
    <row r="10" spans="2:12" ht="18">
      <c r="B10" s="38"/>
      <c r="C10" s="38" t="s">
        <v>672</v>
      </c>
      <c r="D10" s="35"/>
      <c r="E10" s="37"/>
      <c r="F10" s="35"/>
      <c r="G10" s="35"/>
      <c r="H10" s="35"/>
      <c r="I10" s="35"/>
      <c r="J10" s="35"/>
      <c r="K10" s="629"/>
      <c r="L10" s="1566"/>
    </row>
    <row r="11" spans="2:12" ht="18">
      <c r="B11" s="38"/>
      <c r="C11" s="38" t="s">
        <v>852</v>
      </c>
      <c r="D11" s="35"/>
      <c r="E11" s="37"/>
      <c r="F11" s="35"/>
      <c r="G11" s="35"/>
      <c r="H11" s="35"/>
      <c r="I11" s="35"/>
      <c r="J11" s="35"/>
      <c r="K11" s="629"/>
      <c r="L11" s="1566"/>
    </row>
    <row r="12" spans="2:12" ht="18">
      <c r="B12" s="38"/>
      <c r="C12" s="38" t="s">
        <v>660</v>
      </c>
      <c r="D12" s="35"/>
      <c r="E12" s="37"/>
      <c r="F12" s="35"/>
      <c r="G12" s="35"/>
      <c r="H12" s="35"/>
      <c r="I12" s="35"/>
      <c r="J12" s="35"/>
      <c r="K12" s="629"/>
      <c r="L12" s="1566"/>
    </row>
    <row r="13" spans="2:12" ht="18">
      <c r="B13" s="38"/>
      <c r="C13" s="38"/>
      <c r="D13" s="35"/>
      <c r="E13" s="37"/>
      <c r="F13" s="35"/>
      <c r="G13" s="35"/>
      <c r="H13" s="35"/>
      <c r="I13" s="35"/>
      <c r="J13" s="35"/>
      <c r="K13" s="629"/>
      <c r="L13" s="1566"/>
    </row>
    <row r="14" spans="2:12" ht="18">
      <c r="B14" s="38"/>
      <c r="C14" s="38"/>
      <c r="D14" s="35"/>
      <c r="E14" s="37"/>
      <c r="F14" s="35"/>
      <c r="G14" s="35"/>
      <c r="H14" s="35"/>
      <c r="I14" s="35"/>
      <c r="J14" s="35"/>
      <c r="K14" s="629"/>
      <c r="L14" s="1566"/>
    </row>
    <row r="15" spans="2:12" ht="48" customHeight="1">
      <c r="B15" s="41" t="s">
        <v>855</v>
      </c>
      <c r="C15" s="41" t="s">
        <v>1068</v>
      </c>
      <c r="D15" s="41" t="s">
        <v>673</v>
      </c>
      <c r="E15" s="41" t="s">
        <v>1927</v>
      </c>
      <c r="F15" s="41" t="s">
        <v>1928</v>
      </c>
      <c r="G15" s="41" t="s">
        <v>1929</v>
      </c>
      <c r="H15" s="41" t="s">
        <v>1930</v>
      </c>
      <c r="I15" s="41" t="s">
        <v>1931</v>
      </c>
      <c r="J15" s="42" t="s">
        <v>1217</v>
      </c>
      <c r="K15" s="629"/>
      <c r="L15" s="1566"/>
    </row>
    <row r="16" spans="2:12" ht="18">
      <c r="B16" s="35"/>
      <c r="C16" s="38"/>
      <c r="D16" s="38"/>
      <c r="E16" s="37"/>
      <c r="F16" s="35"/>
      <c r="G16" s="35"/>
      <c r="H16" s="35"/>
      <c r="I16" s="35"/>
      <c r="J16" s="35"/>
      <c r="K16" s="629"/>
      <c r="L16" s="1566"/>
    </row>
    <row r="17" spans="2:12" ht="18">
      <c r="B17" s="918" t="s">
        <v>1935</v>
      </c>
      <c r="C17" s="327" t="s">
        <v>1934</v>
      </c>
      <c r="D17" s="313" t="s">
        <v>1222</v>
      </c>
      <c r="E17" s="328"/>
      <c r="F17" s="328"/>
      <c r="G17" s="328"/>
      <c r="H17" s="328"/>
      <c r="I17" s="328"/>
      <c r="J17" s="631">
        <f>SUM(E17:I17)</f>
        <v>0</v>
      </c>
      <c r="K17" s="629"/>
      <c r="L17" s="1566"/>
    </row>
    <row r="18" spans="2:12" ht="18">
      <c r="B18" s="35"/>
      <c r="C18" s="38"/>
      <c r="D18" s="313"/>
      <c r="E18" s="37"/>
      <c r="F18" s="35"/>
      <c r="G18" s="35"/>
      <c r="H18" s="37"/>
      <c r="I18" s="35"/>
      <c r="J18" s="35"/>
      <c r="K18" s="629"/>
      <c r="L18" s="1566"/>
    </row>
    <row r="19" spans="2:12" ht="18">
      <c r="B19" s="919" t="s">
        <v>1936</v>
      </c>
      <c r="C19" s="327" t="s">
        <v>1933</v>
      </c>
      <c r="D19" s="313" t="s">
        <v>1227</v>
      </c>
      <c r="E19" s="328"/>
      <c r="F19" s="328"/>
      <c r="G19" s="328"/>
      <c r="H19" s="328"/>
      <c r="I19" s="328"/>
      <c r="J19" s="631">
        <f>SUM(E19:I19)</f>
        <v>0</v>
      </c>
      <c r="K19" s="629"/>
      <c r="L19" s="1566"/>
    </row>
    <row r="20" spans="1:256" ht="18">
      <c r="A20" s="371"/>
      <c r="B20" s="33"/>
      <c r="C20" s="322"/>
      <c r="D20" s="313"/>
      <c r="E20" s="33"/>
      <c r="F20" s="33"/>
      <c r="G20" s="33"/>
      <c r="H20" s="33"/>
      <c r="I20" s="33"/>
      <c r="J20" s="33"/>
      <c r="K20" s="33"/>
      <c r="L20" s="1566"/>
      <c r="M20" s="371"/>
      <c r="O20" s="371"/>
      <c r="P20" s="371"/>
      <c r="Q20" s="371"/>
      <c r="R20" s="371"/>
      <c r="S20" s="371"/>
      <c r="T20" s="371"/>
      <c r="U20" s="371"/>
      <c r="V20" s="371"/>
      <c r="W20" s="371"/>
      <c r="X20" s="371"/>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2:12" ht="18">
      <c r="B21" s="918" t="s">
        <v>1937</v>
      </c>
      <c r="C21" s="327" t="s">
        <v>1576</v>
      </c>
      <c r="D21" s="313">
        <v>22</v>
      </c>
      <c r="E21" s="328"/>
      <c r="F21" s="328"/>
      <c r="G21" s="328"/>
      <c r="H21" s="328"/>
      <c r="I21" s="328"/>
      <c r="J21" s="631">
        <f>SUM(E21:I21)</f>
        <v>0</v>
      </c>
      <c r="K21" s="629"/>
      <c r="L21" s="1566"/>
    </row>
    <row r="22" spans="2:12" ht="18">
      <c r="B22" s="38"/>
      <c r="C22" s="38"/>
      <c r="D22" s="35"/>
      <c r="E22" s="37"/>
      <c r="F22" s="35"/>
      <c r="G22" s="35"/>
      <c r="H22" s="35"/>
      <c r="I22" s="35"/>
      <c r="J22" s="35"/>
      <c r="K22" s="629"/>
      <c r="L22" s="1566"/>
    </row>
    <row r="23" spans="2:12" ht="18.75" thickBot="1">
      <c r="B23" s="298"/>
      <c r="C23" s="299"/>
      <c r="D23" s="298"/>
      <c r="E23" s="300"/>
      <c r="F23" s="301"/>
      <c r="G23" s="301"/>
      <c r="H23" s="632"/>
      <c r="I23" s="301"/>
      <c r="J23" s="633"/>
      <c r="K23" s="634"/>
      <c r="L23" s="1566"/>
    </row>
    <row r="24" spans="2:12" ht="18">
      <c r="B24" s="46"/>
      <c r="C24" s="33" t="str">
        <f>"T4A(P)-"&amp;yeartext&amp;" GENERAL DATA ENTRY"</f>
        <v>T4A(P)-2009 GENERAL DATA ENTRY</v>
      </c>
      <c r="D24" s="33"/>
      <c r="E24" s="322" t="s">
        <v>29</v>
      </c>
      <c r="F24" s="35"/>
      <c r="G24" s="35"/>
      <c r="H24" s="36"/>
      <c r="I24" s="35"/>
      <c r="J24" s="36" t="str">
        <f>yeartext</f>
        <v>2009</v>
      </c>
      <c r="K24" s="629"/>
      <c r="L24" s="1566"/>
    </row>
    <row r="25" spans="2:12" ht="18">
      <c r="B25" s="46"/>
      <c r="C25" s="49"/>
      <c r="D25" s="46"/>
      <c r="E25" s="51"/>
      <c r="F25" s="48"/>
      <c r="G25" s="48"/>
      <c r="H25" s="635"/>
      <c r="I25" s="48"/>
      <c r="J25" s="636"/>
      <c r="K25" s="629"/>
      <c r="L25" s="1566"/>
    </row>
    <row r="26" spans="2:12" ht="18">
      <c r="B26" s="46"/>
      <c r="C26" s="41" t="s">
        <v>114</v>
      </c>
      <c r="D26" s="41" t="s">
        <v>855</v>
      </c>
      <c r="E26" s="42" t="s">
        <v>115</v>
      </c>
      <c r="F26" s="329"/>
      <c r="G26" s="340" t="s">
        <v>1533</v>
      </c>
      <c r="H26" s="329"/>
      <c r="I26" s="329"/>
      <c r="J26" s="329"/>
      <c r="K26" s="629"/>
      <c r="L26" s="1566"/>
    </row>
    <row r="27" spans="2:12" ht="18">
      <c r="B27" s="46"/>
      <c r="C27" s="296" t="s">
        <v>113</v>
      </c>
      <c r="D27" s="297" t="s">
        <v>865</v>
      </c>
      <c r="E27" s="334">
        <f>J17</f>
        <v>0</v>
      </c>
      <c r="F27" s="329"/>
      <c r="G27" s="340" t="s">
        <v>1534</v>
      </c>
      <c r="H27" s="329"/>
      <c r="I27" s="329"/>
      <c r="J27" s="329"/>
      <c r="K27" s="629"/>
      <c r="L27" s="1566"/>
    </row>
    <row r="28" spans="2:12" ht="18">
      <c r="B28" s="46"/>
      <c r="C28" s="296" t="s">
        <v>113</v>
      </c>
      <c r="D28" s="297" t="s">
        <v>864</v>
      </c>
      <c r="E28" s="334">
        <f>J19</f>
        <v>0</v>
      </c>
      <c r="F28" s="329"/>
      <c r="G28" s="48"/>
      <c r="H28" s="329"/>
      <c r="I28" s="329"/>
      <c r="J28" s="329"/>
      <c r="K28" s="629"/>
      <c r="L28" s="1566"/>
    </row>
    <row r="29" spans="2:12" ht="18">
      <c r="B29" s="46"/>
      <c r="C29" s="296" t="s">
        <v>2067</v>
      </c>
      <c r="D29" s="297" t="s">
        <v>1230</v>
      </c>
      <c r="E29" s="334">
        <f>J21</f>
        <v>0</v>
      </c>
      <c r="F29" s="329"/>
      <c r="G29" s="330" t="s">
        <v>670</v>
      </c>
      <c r="H29" s="329"/>
      <c r="I29" s="329"/>
      <c r="J29" s="329"/>
      <c r="K29" s="629"/>
      <c r="L29" s="1566"/>
    </row>
    <row r="30" spans="2:12" ht="18">
      <c r="B30" s="46"/>
      <c r="C30" s="311"/>
      <c r="D30" s="312"/>
      <c r="E30" s="326"/>
      <c r="F30" s="329"/>
      <c r="G30" s="330" t="s">
        <v>671</v>
      </c>
      <c r="H30" s="330"/>
      <c r="I30" s="330"/>
      <c r="J30" s="330"/>
      <c r="K30" s="629"/>
      <c r="L30" s="1566"/>
    </row>
    <row r="31" spans="2:12" ht="18">
      <c r="B31" s="46"/>
      <c r="C31" s="313"/>
      <c r="D31" s="46"/>
      <c r="E31" s="330"/>
      <c r="F31" s="329"/>
      <c r="G31" s="330"/>
      <c r="H31" s="330"/>
      <c r="I31" s="330"/>
      <c r="J31" s="330"/>
      <c r="K31" s="629"/>
      <c r="L31" s="1566"/>
    </row>
    <row r="32" spans="2:12" ht="18">
      <c r="B32" s="46"/>
      <c r="C32" s="313"/>
      <c r="D32" s="46"/>
      <c r="E32" s="330"/>
      <c r="F32" s="330"/>
      <c r="G32" s="330" t="s">
        <v>2363</v>
      </c>
      <c r="H32" s="330"/>
      <c r="I32" s="330"/>
      <c r="J32" s="330"/>
      <c r="K32" s="629"/>
      <c r="L32" s="1566"/>
    </row>
    <row r="33" spans="2:12" ht="18">
      <c r="B33" s="46"/>
      <c r="C33" s="313"/>
      <c r="D33" s="46"/>
      <c r="E33" s="330"/>
      <c r="F33" s="330"/>
      <c r="G33" s="330" t="s">
        <v>1532</v>
      </c>
      <c r="H33" s="330"/>
      <c r="I33" s="330"/>
      <c r="J33" s="330"/>
      <c r="K33" s="629"/>
      <c r="L33" s="1566"/>
    </row>
    <row r="34" spans="2:12" ht="18">
      <c r="B34" s="46"/>
      <c r="C34" s="49"/>
      <c r="D34" s="46"/>
      <c r="E34" s="51"/>
      <c r="F34" s="48"/>
      <c r="G34" s="48"/>
      <c r="H34" s="635"/>
      <c r="I34" s="48"/>
      <c r="J34" s="636"/>
      <c r="K34" s="629"/>
      <c r="L34" s="1566"/>
    </row>
    <row r="35" spans="2:12" ht="18">
      <c r="B35" s="46"/>
      <c r="C35" s="49"/>
      <c r="D35" s="46"/>
      <c r="E35" s="51"/>
      <c r="F35" s="48"/>
      <c r="G35" s="48"/>
      <c r="H35" s="635"/>
      <c r="I35" s="48"/>
      <c r="J35" s="636"/>
      <c r="K35" s="629"/>
      <c r="L35" s="1566"/>
    </row>
    <row r="36" spans="2:4" ht="15">
      <c r="B36" s="637"/>
      <c r="D36" s="55"/>
    </row>
    <row r="37" spans="2:4" ht="15">
      <c r="B37" s="637"/>
      <c r="D37" s="55"/>
    </row>
    <row r="38" spans="2:4" ht="15">
      <c r="B38" s="637"/>
      <c r="D38" s="55"/>
    </row>
    <row r="39" spans="2:4" ht="15">
      <c r="B39" s="637"/>
      <c r="D39" s="55"/>
    </row>
    <row r="40" spans="2:4" ht="15">
      <c r="B40" s="637"/>
      <c r="D40" s="55"/>
    </row>
    <row r="41" spans="2:4" ht="15">
      <c r="B41" s="637"/>
      <c r="D41" s="55"/>
    </row>
    <row r="42" spans="2:4" ht="15">
      <c r="B42" s="637"/>
      <c r="D42" s="55"/>
    </row>
    <row r="43" spans="2:4" ht="15">
      <c r="B43" s="637"/>
      <c r="D43" s="55"/>
    </row>
    <row r="44" spans="2:4" ht="15">
      <c r="B44" s="637"/>
      <c r="D44" s="55"/>
    </row>
    <row r="45" spans="2:4" ht="15">
      <c r="B45" s="637"/>
      <c r="D45" s="55"/>
    </row>
    <row r="46" spans="2:4" ht="15">
      <c r="B46" s="637"/>
      <c r="D46" s="55"/>
    </row>
    <row r="47" spans="2:4" ht="15">
      <c r="B47" s="637"/>
      <c r="D47" s="55"/>
    </row>
  </sheetData>
  <sheetProtection password="EC35" sheet="1" objects="1" scenarios="1"/>
  <mergeCells count="1">
    <mergeCell ref="L1:L35"/>
  </mergeCells>
  <printOptions horizontalCentered="1"/>
  <pageMargins left="0" right="0" top="0" bottom="0" header="0.5" footer="0.5"/>
  <pageSetup fitToHeight="0" fitToWidth="1" horizontalDpi="600" verticalDpi="600" orientation="portrait" scale="66" r:id="rId1"/>
  <colBreaks count="1" manualBreakCount="1">
    <brk id="11"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B1:L51"/>
  <sheetViews>
    <sheetView zoomScalePageLayoutView="0" workbookViewId="0" topLeftCell="A1">
      <selection activeCell="A1" sqref="A1"/>
    </sheetView>
  </sheetViews>
  <sheetFormatPr defaultColWidth="8.88671875" defaultRowHeight="15"/>
  <cols>
    <col min="1" max="1" width="1.77734375" style="630" customWidth="1"/>
    <col min="2" max="2" width="8.3359375" style="630" customWidth="1"/>
    <col min="3" max="3" width="34.77734375" style="630" customWidth="1"/>
    <col min="4" max="4" width="7.99609375" style="630" customWidth="1"/>
    <col min="5" max="10" width="12.21484375" style="630" customWidth="1"/>
    <col min="11" max="11" width="1.88671875" style="630" customWidth="1"/>
    <col min="12" max="16384" width="8.88671875" style="630" customWidth="1"/>
  </cols>
  <sheetData>
    <row r="1" spans="2:12" ht="18">
      <c r="B1" s="35"/>
      <c r="C1" s="33" t="str">
        <f>"T4A(OAS)-"&amp;yeartext&amp;" SLIPS DATA ENTRY FORM"</f>
        <v>T4A(OAS)-2009 SLIPS DATA ENTRY FORM</v>
      </c>
      <c r="D1" s="33"/>
      <c r="E1" s="322" t="s">
        <v>2403</v>
      </c>
      <c r="F1" s="35"/>
      <c r="G1" s="35"/>
      <c r="H1" s="36"/>
      <c r="I1" s="35"/>
      <c r="J1" s="36" t="str">
        <f>yeartext</f>
        <v>2009</v>
      </c>
      <c r="K1" s="629"/>
      <c r="L1" s="1566" t="s">
        <v>35</v>
      </c>
    </row>
    <row r="2" spans="2:12" ht="15.75">
      <c r="B2" s="35"/>
      <c r="C2" s="35"/>
      <c r="D2" s="37"/>
      <c r="E2" s="629"/>
      <c r="F2" s="35"/>
      <c r="G2" s="35"/>
      <c r="H2" s="35"/>
      <c r="I2" s="35"/>
      <c r="J2" s="35"/>
      <c r="K2" s="629"/>
      <c r="L2" s="1566"/>
    </row>
    <row r="3" spans="2:12" ht="18">
      <c r="B3" s="38"/>
      <c r="C3" s="38" t="s">
        <v>1337</v>
      </c>
      <c r="D3" s="35"/>
      <c r="E3" s="37"/>
      <c r="F3" s="35"/>
      <c r="G3" s="35"/>
      <c r="H3" s="35"/>
      <c r="I3" s="35"/>
      <c r="J3" s="35"/>
      <c r="K3" s="629"/>
      <c r="L3" s="1566"/>
    </row>
    <row r="4" spans="2:12" ht="18">
      <c r="B4" s="38"/>
      <c r="C4" s="38" t="s">
        <v>1301</v>
      </c>
      <c r="D4" s="35"/>
      <c r="E4" s="37"/>
      <c r="F4" s="35"/>
      <c r="G4" s="35"/>
      <c r="H4" s="35"/>
      <c r="I4" s="35"/>
      <c r="J4" s="35"/>
      <c r="K4" s="629"/>
      <c r="L4" s="1566"/>
    </row>
    <row r="5" spans="2:12" ht="18">
      <c r="B5" s="38"/>
      <c r="C5" s="38" t="s">
        <v>1302</v>
      </c>
      <c r="D5" s="35"/>
      <c r="E5" s="37"/>
      <c r="F5" s="35"/>
      <c r="G5" s="35"/>
      <c r="H5" s="35"/>
      <c r="I5" s="35"/>
      <c r="J5" s="35"/>
      <c r="K5" s="629"/>
      <c r="L5" s="1566"/>
    </row>
    <row r="6" spans="2:12" ht="18">
      <c r="B6" s="38"/>
      <c r="C6" s="38" t="s">
        <v>1751</v>
      </c>
      <c r="D6" s="35"/>
      <c r="E6" s="37"/>
      <c r="F6" s="35"/>
      <c r="G6" s="35"/>
      <c r="H6" s="35"/>
      <c r="I6" s="35"/>
      <c r="J6" s="35"/>
      <c r="K6" s="629"/>
      <c r="L6" s="1566"/>
    </row>
    <row r="7" spans="2:12" ht="18">
      <c r="B7" s="38"/>
      <c r="C7" s="38" t="s">
        <v>1752</v>
      </c>
      <c r="D7" s="35"/>
      <c r="E7" s="37"/>
      <c r="F7" s="35"/>
      <c r="G7" s="35"/>
      <c r="H7" s="35"/>
      <c r="I7" s="35"/>
      <c r="J7" s="35"/>
      <c r="K7" s="629"/>
      <c r="L7" s="1566"/>
    </row>
    <row r="8" spans="2:12" ht="18">
      <c r="B8" s="38"/>
      <c r="C8" s="38" t="s">
        <v>861</v>
      </c>
      <c r="D8" s="35"/>
      <c r="E8" s="37"/>
      <c r="F8" s="35"/>
      <c r="G8" s="35"/>
      <c r="H8" s="35"/>
      <c r="I8" s="35"/>
      <c r="J8" s="35"/>
      <c r="K8" s="629"/>
      <c r="L8" s="1566"/>
    </row>
    <row r="9" spans="2:12" ht="18">
      <c r="B9" s="38"/>
      <c r="C9" s="38" t="s">
        <v>578</v>
      </c>
      <c r="D9" s="35"/>
      <c r="E9" s="37"/>
      <c r="F9" s="35"/>
      <c r="G9" s="35"/>
      <c r="H9" s="35"/>
      <c r="I9" s="35"/>
      <c r="J9" s="35"/>
      <c r="K9" s="629"/>
      <c r="L9" s="1566"/>
    </row>
    <row r="10" spans="2:12" ht="18">
      <c r="B10" s="38"/>
      <c r="C10" s="38" t="s">
        <v>1753</v>
      </c>
      <c r="D10" s="35"/>
      <c r="E10" s="37"/>
      <c r="F10" s="35"/>
      <c r="G10" s="35"/>
      <c r="H10" s="35"/>
      <c r="I10" s="35"/>
      <c r="J10" s="35"/>
      <c r="K10" s="629"/>
      <c r="L10" s="1566"/>
    </row>
    <row r="11" spans="2:12" ht="18">
      <c r="B11" s="38"/>
      <c r="C11" s="38" t="s">
        <v>852</v>
      </c>
      <c r="D11" s="35"/>
      <c r="E11" s="37"/>
      <c r="F11" s="35"/>
      <c r="G11" s="35"/>
      <c r="H11" s="35"/>
      <c r="I11" s="35"/>
      <c r="J11" s="35"/>
      <c r="K11" s="629"/>
      <c r="L11" s="1566"/>
    </row>
    <row r="12" spans="2:12" ht="18">
      <c r="B12" s="38"/>
      <c r="C12" s="38" t="s">
        <v>660</v>
      </c>
      <c r="D12" s="35"/>
      <c r="E12" s="37"/>
      <c r="F12" s="35"/>
      <c r="G12" s="35"/>
      <c r="H12" s="35"/>
      <c r="I12" s="35"/>
      <c r="J12" s="35"/>
      <c r="K12" s="629"/>
      <c r="L12" s="1566"/>
    </row>
    <row r="13" spans="2:12" ht="18">
      <c r="B13" s="38"/>
      <c r="C13" s="38"/>
      <c r="D13" s="35"/>
      <c r="E13" s="37"/>
      <c r="F13" s="35"/>
      <c r="G13" s="35"/>
      <c r="H13" s="35"/>
      <c r="I13" s="35"/>
      <c r="J13" s="35"/>
      <c r="K13" s="629"/>
      <c r="L13" s="1566"/>
    </row>
    <row r="14" spans="2:12" ht="18">
      <c r="B14" s="38"/>
      <c r="C14" s="38"/>
      <c r="D14" s="35"/>
      <c r="E14" s="37"/>
      <c r="F14" s="35"/>
      <c r="G14" s="35"/>
      <c r="H14" s="35"/>
      <c r="I14" s="35"/>
      <c r="J14" s="35"/>
      <c r="K14" s="629"/>
      <c r="L14" s="1566"/>
    </row>
    <row r="15" spans="2:12" ht="54">
      <c r="B15" s="41" t="s">
        <v>855</v>
      </c>
      <c r="C15" s="41" t="s">
        <v>1068</v>
      </c>
      <c r="D15" s="41" t="s">
        <v>673</v>
      </c>
      <c r="E15" s="41" t="s">
        <v>862</v>
      </c>
      <c r="F15" s="41" t="s">
        <v>1369</v>
      </c>
      <c r="G15" s="41" t="s">
        <v>1370</v>
      </c>
      <c r="H15" s="41" t="s">
        <v>1371</v>
      </c>
      <c r="I15" s="41" t="s">
        <v>1372</v>
      </c>
      <c r="J15" s="42" t="s">
        <v>1217</v>
      </c>
      <c r="K15" s="629"/>
      <c r="L15" s="1566"/>
    </row>
    <row r="16" spans="2:12" ht="18">
      <c r="B16" s="35"/>
      <c r="C16" s="38"/>
      <c r="D16" s="38"/>
      <c r="E16" s="37"/>
      <c r="F16" s="35"/>
      <c r="G16" s="35"/>
      <c r="H16" s="35"/>
      <c r="I16" s="35"/>
      <c r="J16" s="35"/>
      <c r="K16" s="629"/>
      <c r="L16" s="1566"/>
    </row>
    <row r="17" spans="2:12" ht="18">
      <c r="B17" s="46">
        <v>113</v>
      </c>
      <c r="C17" s="331" t="s">
        <v>2018</v>
      </c>
      <c r="D17" s="313">
        <v>18</v>
      </c>
      <c r="E17" s="328"/>
      <c r="F17" s="328"/>
      <c r="G17" s="328"/>
      <c r="H17" s="328"/>
      <c r="I17" s="328"/>
      <c r="J17" s="631">
        <f>SUM(E17:I17)</f>
        <v>0</v>
      </c>
      <c r="K17" s="629"/>
      <c r="L17" s="1566"/>
    </row>
    <row r="18" spans="2:12" ht="18">
      <c r="B18" s="35"/>
      <c r="C18" s="38"/>
      <c r="D18" s="313"/>
      <c r="E18" s="37"/>
      <c r="F18" s="35"/>
      <c r="G18" s="35"/>
      <c r="H18" s="35"/>
      <c r="I18" s="35"/>
      <c r="J18" s="35"/>
      <c r="K18" s="629"/>
      <c r="L18" s="1566"/>
    </row>
    <row r="19" spans="2:12" ht="18">
      <c r="B19" s="46"/>
      <c r="C19" s="327" t="s">
        <v>2019</v>
      </c>
      <c r="D19" s="313" t="s">
        <v>122</v>
      </c>
      <c r="E19" s="328"/>
      <c r="F19" s="328"/>
      <c r="G19" s="328"/>
      <c r="H19" s="328"/>
      <c r="I19" s="328"/>
      <c r="J19" s="631">
        <f>SUM(E19:I19)</f>
        <v>0</v>
      </c>
      <c r="K19" s="629"/>
      <c r="L19" s="1566"/>
    </row>
    <row r="20" spans="2:12" ht="18">
      <c r="B20" s="35"/>
      <c r="C20" s="38"/>
      <c r="D20" s="327"/>
      <c r="E20" s="37"/>
      <c r="F20" s="35"/>
      <c r="G20" s="35"/>
      <c r="H20" s="35"/>
      <c r="I20" s="35"/>
      <c r="J20" s="35"/>
      <c r="K20" s="629"/>
      <c r="L20" s="1566"/>
    </row>
    <row r="21" spans="2:12" ht="18">
      <c r="B21" s="46" t="s">
        <v>2376</v>
      </c>
      <c r="C21" s="327" t="s">
        <v>2020</v>
      </c>
      <c r="D21" s="313">
        <v>20</v>
      </c>
      <c r="E21" s="328"/>
      <c r="F21" s="328"/>
      <c r="G21" s="328"/>
      <c r="H21" s="328"/>
      <c r="I21" s="328"/>
      <c r="J21" s="631">
        <f>SUM(E21:I21)</f>
        <v>0</v>
      </c>
      <c r="K21" s="629"/>
      <c r="L21" s="1566"/>
    </row>
    <row r="22" spans="2:12" ht="18">
      <c r="B22" s="35"/>
      <c r="C22" s="38"/>
      <c r="D22" s="327"/>
      <c r="E22" s="37"/>
      <c r="F22" s="35"/>
      <c r="G22" s="35"/>
      <c r="H22" s="35"/>
      <c r="I22" s="35"/>
      <c r="J22" s="35"/>
      <c r="K22" s="629"/>
      <c r="L22" s="1566"/>
    </row>
    <row r="23" spans="2:12" ht="18">
      <c r="B23" s="46" t="s">
        <v>954</v>
      </c>
      <c r="C23" s="327" t="s">
        <v>2021</v>
      </c>
      <c r="D23" s="313">
        <v>21</v>
      </c>
      <c r="E23" s="328"/>
      <c r="F23" s="328"/>
      <c r="G23" s="328"/>
      <c r="H23" s="328"/>
      <c r="I23" s="328"/>
      <c r="J23" s="631">
        <f>SUM(E23:I23)</f>
        <v>0</v>
      </c>
      <c r="K23" s="629"/>
      <c r="L23" s="1566"/>
    </row>
    <row r="24" spans="2:12" ht="18">
      <c r="B24" s="35"/>
      <c r="C24" s="38"/>
      <c r="D24" s="327"/>
      <c r="E24" s="33"/>
      <c r="F24" s="35"/>
      <c r="G24" s="35"/>
      <c r="H24" s="35"/>
      <c r="I24" s="35"/>
      <c r="J24" s="35"/>
      <c r="K24" s="629"/>
      <c r="L24" s="1566"/>
    </row>
    <row r="25" spans="2:12" ht="18">
      <c r="B25" s="46" t="s">
        <v>1230</v>
      </c>
      <c r="C25" s="327" t="s">
        <v>854</v>
      </c>
      <c r="D25" s="313">
        <v>22</v>
      </c>
      <c r="E25" s="328"/>
      <c r="F25" s="328"/>
      <c r="G25" s="328"/>
      <c r="H25" s="328"/>
      <c r="I25" s="328"/>
      <c r="J25" s="631">
        <f>SUM(E25:I25)</f>
        <v>0</v>
      </c>
      <c r="K25" s="629"/>
      <c r="L25" s="1566"/>
    </row>
    <row r="26" spans="2:12" ht="18">
      <c r="B26" s="35"/>
      <c r="C26" s="38"/>
      <c r="D26" s="327"/>
      <c r="E26" s="33"/>
      <c r="F26" s="35"/>
      <c r="G26" s="35"/>
      <c r="H26" s="35"/>
      <c r="I26" s="35"/>
      <c r="J26" s="35"/>
      <c r="K26" s="629"/>
      <c r="L26" s="1566"/>
    </row>
    <row r="27" spans="2:12" ht="18">
      <c r="B27" s="46" t="s">
        <v>1230</v>
      </c>
      <c r="C27" s="327" t="s">
        <v>953</v>
      </c>
      <c r="D27" s="313">
        <v>23</v>
      </c>
      <c r="E27" s="328"/>
      <c r="F27" s="328"/>
      <c r="G27" s="328"/>
      <c r="H27" s="328"/>
      <c r="I27" s="328"/>
      <c r="J27" s="631">
        <f>SUM(E27:I27)</f>
        <v>0</v>
      </c>
      <c r="K27" s="629"/>
      <c r="L27" s="1566"/>
    </row>
    <row r="28" spans="2:12" ht="18">
      <c r="B28" s="38"/>
      <c r="C28" s="38"/>
      <c r="D28" s="35"/>
      <c r="E28" s="37"/>
      <c r="F28" s="35"/>
      <c r="G28" s="35"/>
      <c r="H28" s="35"/>
      <c r="I28" s="35"/>
      <c r="J28" s="35"/>
      <c r="K28" s="629"/>
      <c r="L28" s="1566"/>
    </row>
    <row r="29" spans="2:12" ht="18.75" thickBot="1">
      <c r="B29" s="298"/>
      <c r="C29" s="299"/>
      <c r="D29" s="298"/>
      <c r="E29" s="300"/>
      <c r="F29" s="301"/>
      <c r="G29" s="301"/>
      <c r="H29" s="632"/>
      <c r="I29" s="301"/>
      <c r="J29" s="633"/>
      <c r="K29" s="634"/>
      <c r="L29" s="1566"/>
    </row>
    <row r="30" spans="2:12" ht="18">
      <c r="B30" s="46"/>
      <c r="C30" s="33" t="str">
        <f>"T4A(OAS)-"&amp;yeartext&amp;" GENERAL DATA ENTRY"</f>
        <v>T4A(OAS)-2009 GENERAL DATA ENTRY</v>
      </c>
      <c r="D30" s="33"/>
      <c r="E30" s="34" t="s">
        <v>2403</v>
      </c>
      <c r="F30" s="35"/>
      <c r="G30" s="35"/>
      <c r="H30" s="36"/>
      <c r="I30" s="35"/>
      <c r="J30" s="36" t="str">
        <f>yeartext</f>
        <v>2009</v>
      </c>
      <c r="K30" s="629"/>
      <c r="L30" s="1566"/>
    </row>
    <row r="31" spans="2:12" ht="18">
      <c r="B31" s="46"/>
      <c r="C31" s="49"/>
      <c r="D31" s="46"/>
      <c r="E31" s="51"/>
      <c r="F31" s="48"/>
      <c r="G31" s="48"/>
      <c r="H31" s="635"/>
      <c r="I31" s="48"/>
      <c r="J31" s="636"/>
      <c r="K31" s="629"/>
      <c r="L31" s="1566"/>
    </row>
    <row r="32" spans="2:12" ht="18">
      <c r="B32" s="46"/>
      <c r="C32" s="41" t="s">
        <v>114</v>
      </c>
      <c r="D32" s="41" t="s">
        <v>855</v>
      </c>
      <c r="E32" s="41" t="s">
        <v>115</v>
      </c>
      <c r="F32" s="329"/>
      <c r="G32" s="340" t="s">
        <v>1533</v>
      </c>
      <c r="H32" s="329"/>
      <c r="I32" s="329"/>
      <c r="J32" s="329"/>
      <c r="K32" s="629"/>
      <c r="L32" s="1566"/>
    </row>
    <row r="33" spans="2:12" ht="18">
      <c r="B33" s="46"/>
      <c r="C33" s="302" t="s">
        <v>113</v>
      </c>
      <c r="D33" s="303" t="s">
        <v>1892</v>
      </c>
      <c r="E33" s="334">
        <f>J17</f>
        <v>0</v>
      </c>
      <c r="F33" s="330"/>
      <c r="G33" s="340" t="s">
        <v>1534</v>
      </c>
      <c r="H33" s="330"/>
      <c r="I33" s="330"/>
      <c r="J33" s="330"/>
      <c r="K33" s="629"/>
      <c r="L33" s="1566"/>
    </row>
    <row r="34" spans="2:12" ht="18">
      <c r="B34" s="46"/>
      <c r="C34" s="296" t="s">
        <v>113</v>
      </c>
      <c r="D34" s="297" t="s">
        <v>1690</v>
      </c>
      <c r="E34" s="334">
        <f>IF(J23&lt;0,0,J23)</f>
        <v>0</v>
      </c>
      <c r="F34" s="330"/>
      <c r="G34" s="340"/>
      <c r="H34" s="330"/>
      <c r="I34" s="330"/>
      <c r="J34" s="330"/>
      <c r="K34" s="629"/>
      <c r="L34" s="1566"/>
    </row>
    <row r="35" spans="2:12" ht="18">
      <c r="B35" s="46"/>
      <c r="C35" s="296" t="s">
        <v>117</v>
      </c>
      <c r="D35" s="297" t="s">
        <v>2376</v>
      </c>
      <c r="E35" s="334">
        <f>J21</f>
        <v>0</v>
      </c>
      <c r="F35" s="330"/>
      <c r="G35" s="330" t="s">
        <v>670</v>
      </c>
      <c r="H35" s="330"/>
      <c r="I35" s="330"/>
      <c r="J35" s="330"/>
      <c r="K35" s="629"/>
      <c r="L35" s="1566"/>
    </row>
    <row r="36" spans="2:12" ht="18">
      <c r="B36" s="46"/>
      <c r="C36" s="296" t="s">
        <v>117</v>
      </c>
      <c r="D36" s="297" t="s">
        <v>2377</v>
      </c>
      <c r="E36" s="334">
        <f>J23</f>
        <v>0</v>
      </c>
      <c r="F36" s="330"/>
      <c r="G36" s="330" t="s">
        <v>671</v>
      </c>
      <c r="H36" s="330"/>
      <c r="I36" s="330"/>
      <c r="J36" s="330"/>
      <c r="K36" s="629"/>
      <c r="L36" s="1566"/>
    </row>
    <row r="37" spans="2:12" ht="18">
      <c r="B37" s="46"/>
      <c r="C37" s="296" t="s">
        <v>2067</v>
      </c>
      <c r="D37" s="297" t="s">
        <v>1230</v>
      </c>
      <c r="E37" s="334">
        <f>J25+J27</f>
        <v>0</v>
      </c>
      <c r="F37" s="330"/>
      <c r="G37" s="330"/>
      <c r="H37" s="330"/>
      <c r="I37" s="330"/>
      <c r="J37" s="330"/>
      <c r="K37" s="629"/>
      <c r="L37" s="1566"/>
    </row>
    <row r="38" spans="2:12" ht="18">
      <c r="B38" s="46"/>
      <c r="C38" s="311"/>
      <c r="D38" s="312"/>
      <c r="E38" s="326"/>
      <c r="F38" s="330"/>
      <c r="G38" s="330" t="s">
        <v>2363</v>
      </c>
      <c r="H38" s="330"/>
      <c r="I38" s="330"/>
      <c r="J38" s="330"/>
      <c r="K38" s="629"/>
      <c r="L38" s="1566"/>
    </row>
    <row r="39" spans="2:12" ht="18">
      <c r="B39" s="46"/>
      <c r="C39" s="49"/>
      <c r="D39" s="46"/>
      <c r="E39" s="51"/>
      <c r="F39" s="48"/>
      <c r="G39" s="330" t="s">
        <v>1532</v>
      </c>
      <c r="H39" s="635"/>
      <c r="I39" s="48"/>
      <c r="J39" s="636"/>
      <c r="K39" s="629"/>
      <c r="L39" s="1566"/>
    </row>
    <row r="40" spans="2:4" ht="15">
      <c r="B40" s="637"/>
      <c r="D40" s="55"/>
    </row>
    <row r="41" spans="2:4" ht="15">
      <c r="B41" s="637"/>
      <c r="D41" s="55"/>
    </row>
    <row r="42" spans="2:4" ht="15">
      <c r="B42" s="637"/>
      <c r="D42" s="55"/>
    </row>
    <row r="43" spans="2:4" ht="15">
      <c r="B43" s="637"/>
      <c r="D43" s="55"/>
    </row>
    <row r="44" spans="2:4" ht="15">
      <c r="B44" s="637"/>
      <c r="D44" s="55"/>
    </row>
    <row r="45" spans="2:4" ht="15">
      <c r="B45" s="637"/>
      <c r="D45" s="55"/>
    </row>
    <row r="46" spans="2:4" ht="15">
      <c r="B46" s="637"/>
      <c r="D46" s="55"/>
    </row>
    <row r="47" spans="2:4" ht="15">
      <c r="B47" s="637"/>
      <c r="D47" s="55"/>
    </row>
    <row r="48" spans="2:4" ht="15">
      <c r="B48" s="637"/>
      <c r="D48" s="55"/>
    </row>
    <row r="49" spans="2:4" ht="15">
      <c r="B49" s="637"/>
      <c r="D49" s="55"/>
    </row>
    <row r="50" spans="2:4" ht="15">
      <c r="B50" s="637"/>
      <c r="D50" s="55"/>
    </row>
    <row r="51" spans="2:4" ht="15">
      <c r="B51" s="637"/>
      <c r="D51" s="55"/>
    </row>
  </sheetData>
  <sheetProtection password="EC35" sheet="1" objects="1" scenarios="1"/>
  <mergeCells count="1">
    <mergeCell ref="L1:L39"/>
  </mergeCells>
  <printOptions horizontalCentered="1"/>
  <pageMargins left="0" right="0" top="0" bottom="0" header="0.5" footer="0.5"/>
  <pageSetup fitToHeight="0" fitToWidth="1" horizontalDpi="600" verticalDpi="600" orientation="portrait" scale="66"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I80"/>
  <sheetViews>
    <sheetView zoomScalePageLayoutView="0" workbookViewId="0" topLeftCell="A1">
      <selection activeCell="A1" sqref="A1"/>
    </sheetView>
  </sheetViews>
  <sheetFormatPr defaultColWidth="9.77734375" defaultRowHeight="15"/>
  <cols>
    <col min="1" max="1" width="13.3359375" style="0" customWidth="1"/>
    <col min="2" max="2" width="70.886718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6.3359375" style="0" customWidth="1"/>
  </cols>
  <sheetData>
    <row r="1" spans="1:8" ht="20.25">
      <c r="A1" s="78"/>
      <c r="B1" s="350" t="s">
        <v>70</v>
      </c>
      <c r="C1" s="78"/>
      <c r="D1" s="78"/>
      <c r="E1" s="78"/>
      <c r="F1" s="78"/>
      <c r="G1" s="78"/>
      <c r="H1" s="78"/>
    </row>
    <row r="2" spans="1:8" ht="15">
      <c r="A2" s="78"/>
      <c r="B2" s="78"/>
      <c r="C2" s="78"/>
      <c r="D2" s="78"/>
      <c r="E2" s="78"/>
      <c r="F2" s="78"/>
      <c r="G2" s="78"/>
      <c r="H2" s="78"/>
    </row>
    <row r="3" spans="1:8" ht="18">
      <c r="A3" s="1578" t="str">
        <f>"Canada Revenue Agency Online General Income Tax and Benefit Package -"&amp;yeartext</f>
        <v>Canada Revenue Agency Online General Income Tax and Benefit Package -2009</v>
      </c>
      <c r="B3" s="1579"/>
      <c r="C3" s="78"/>
      <c r="D3" s="78"/>
      <c r="E3" s="78"/>
      <c r="F3" s="78"/>
      <c r="G3" s="78"/>
      <c r="H3" s="78"/>
    </row>
    <row r="4" spans="1:8" ht="15">
      <c r="A4" s="78"/>
      <c r="B4" s="78" t="s">
        <v>71</v>
      </c>
      <c r="C4" s="78"/>
      <c r="D4" s="78"/>
      <c r="E4" s="78"/>
      <c r="F4" s="78"/>
      <c r="G4" s="78"/>
      <c r="H4" s="78"/>
    </row>
    <row r="5" spans="1:8" ht="15">
      <c r="A5" s="78"/>
      <c r="B5" s="78"/>
      <c r="C5" s="78"/>
      <c r="D5" s="78"/>
      <c r="E5" s="78"/>
      <c r="F5" s="78"/>
      <c r="G5" s="78"/>
      <c r="H5" s="78"/>
    </row>
    <row r="6" spans="1:9" ht="20.25">
      <c r="A6" s="721"/>
      <c r="B6" s="350" t="s">
        <v>1866</v>
      </c>
      <c r="C6" s="74"/>
      <c r="D6" s="74"/>
      <c r="E6" s="188"/>
      <c r="F6" s="74"/>
      <c r="G6" s="188"/>
      <c r="H6" s="78"/>
      <c r="I6" s="1566" t="s">
        <v>35</v>
      </c>
    </row>
    <row r="7" spans="1:9" ht="20.25">
      <c r="A7" s="734" t="s">
        <v>1183</v>
      </c>
      <c r="B7" s="350"/>
      <c r="C7" s="74"/>
      <c r="D7" s="74"/>
      <c r="E7" s="188"/>
      <c r="F7" s="74"/>
      <c r="G7" s="188"/>
      <c r="H7" s="78"/>
      <c r="I7" s="1566"/>
    </row>
    <row r="8" spans="1:9" ht="20.25">
      <c r="A8" s="734" t="s">
        <v>1181</v>
      </c>
      <c r="B8" s="350"/>
      <c r="C8" s="74"/>
      <c r="D8" s="74"/>
      <c r="E8" s="188"/>
      <c r="F8" s="74"/>
      <c r="G8" s="188"/>
      <c r="H8" s="78"/>
      <c r="I8" s="1566"/>
    </row>
    <row r="9" spans="1:9" ht="38.25" customHeight="1">
      <c r="A9" s="1574" t="s">
        <v>1347</v>
      </c>
      <c r="B9" s="1575"/>
      <c r="C9" s="74"/>
      <c r="D9" s="74"/>
      <c r="E9" s="188"/>
      <c r="F9" s="74"/>
      <c r="G9" s="188"/>
      <c r="H9" s="78"/>
      <c r="I9" s="1566"/>
    </row>
    <row r="10" spans="1:9" ht="20.25">
      <c r="A10" s="735" t="s">
        <v>1863</v>
      </c>
      <c r="B10" s="350"/>
      <c r="C10" s="74"/>
      <c r="D10" s="74"/>
      <c r="E10" s="188"/>
      <c r="F10" s="74"/>
      <c r="G10" s="188"/>
      <c r="H10" s="78"/>
      <c r="I10" s="1566"/>
    </row>
    <row r="11" spans="1:9" ht="18">
      <c r="A11" s="734" t="s">
        <v>1862</v>
      </c>
      <c r="B11" s="570"/>
      <c r="C11" s="78"/>
      <c r="D11" s="78"/>
      <c r="E11" s="78"/>
      <c r="F11" s="78"/>
      <c r="G11" s="78"/>
      <c r="H11" s="78"/>
      <c r="I11" s="1566"/>
    </row>
    <row r="12" spans="1:9" ht="18">
      <c r="A12" s="734" t="s">
        <v>454</v>
      </c>
      <c r="B12" s="570"/>
      <c r="C12" s="78"/>
      <c r="D12" s="78"/>
      <c r="E12" s="78"/>
      <c r="F12" s="78"/>
      <c r="G12" s="78"/>
      <c r="H12" s="78"/>
      <c r="I12" s="1566"/>
    </row>
    <row r="13" spans="1:9" ht="18">
      <c r="A13" s="734" t="s">
        <v>1794</v>
      </c>
      <c r="B13" s="570"/>
      <c r="C13" s="78"/>
      <c r="D13" s="78"/>
      <c r="E13" s="78"/>
      <c r="F13" s="78"/>
      <c r="G13" s="78"/>
      <c r="H13" s="78"/>
      <c r="I13" s="1566"/>
    </row>
    <row r="14" spans="1:9" ht="18">
      <c r="A14" s="725" t="s">
        <v>453</v>
      </c>
      <c r="B14" s="78"/>
      <c r="C14" s="78"/>
      <c r="D14" s="78"/>
      <c r="E14" s="78"/>
      <c r="F14" s="78"/>
      <c r="G14" s="78"/>
      <c r="H14" s="78"/>
      <c r="I14" s="1566"/>
    </row>
    <row r="15" spans="1:9" ht="18">
      <c r="A15" s="725"/>
      <c r="B15" s="78"/>
      <c r="C15" s="78"/>
      <c r="D15" s="78"/>
      <c r="E15" s="78"/>
      <c r="F15" s="78"/>
      <c r="G15" s="78"/>
      <c r="H15" s="78"/>
      <c r="I15" s="1566"/>
    </row>
    <row r="16" spans="1:9" ht="20.25">
      <c r="A16" s="735" t="s">
        <v>1865</v>
      </c>
      <c r="B16" s="78"/>
      <c r="C16" s="78"/>
      <c r="D16" s="78"/>
      <c r="E16" s="78"/>
      <c r="F16" s="78"/>
      <c r="G16" s="78"/>
      <c r="H16" s="78"/>
      <c r="I16" s="1566"/>
    </row>
    <row r="17" spans="1:9" ht="18">
      <c r="A17" s="1576" t="s">
        <v>940</v>
      </c>
      <c r="B17" s="1577"/>
      <c r="C17" s="78"/>
      <c r="D17" s="78"/>
      <c r="E17" s="78"/>
      <c r="F17" s="78"/>
      <c r="G17" s="78"/>
      <c r="H17" s="78"/>
      <c r="I17" s="1566"/>
    </row>
    <row r="18" spans="1:9" ht="18">
      <c r="A18" s="725"/>
      <c r="B18" s="78"/>
      <c r="C18" s="78"/>
      <c r="D18" s="78"/>
      <c r="E18" s="78"/>
      <c r="F18" s="78"/>
      <c r="G18" s="78"/>
      <c r="H18" s="78"/>
      <c r="I18" s="1566"/>
    </row>
    <row r="19" spans="1:9" ht="20.25">
      <c r="A19" s="735" t="s">
        <v>1389</v>
      </c>
      <c r="B19" s="78"/>
      <c r="C19" s="78"/>
      <c r="D19" s="78"/>
      <c r="E19" s="78"/>
      <c r="F19" s="78"/>
      <c r="G19" s="78"/>
      <c r="H19" s="78"/>
      <c r="I19" s="1566"/>
    </row>
    <row r="20" spans="1:9" ht="18">
      <c r="A20" s="725"/>
      <c r="B20" s="78"/>
      <c r="C20" s="78"/>
      <c r="D20" s="78"/>
      <c r="E20" s="78"/>
      <c r="F20" s="78"/>
      <c r="G20" s="78"/>
      <c r="H20" s="78"/>
      <c r="I20" s="1566"/>
    </row>
    <row r="21" spans="1:9" ht="18">
      <c r="A21" s="727" t="s">
        <v>1796</v>
      </c>
      <c r="B21" s="78"/>
      <c r="C21" s="78"/>
      <c r="D21" s="78"/>
      <c r="E21" s="78"/>
      <c r="F21" s="78"/>
      <c r="G21" s="78"/>
      <c r="H21" s="78"/>
      <c r="I21" s="1566"/>
    </row>
    <row r="22" spans="1:9" ht="18">
      <c r="A22" s="727" t="s">
        <v>1910</v>
      </c>
      <c r="B22" s="78"/>
      <c r="C22" s="78"/>
      <c r="D22" s="78"/>
      <c r="E22" s="78"/>
      <c r="F22" s="78"/>
      <c r="G22" s="78"/>
      <c r="H22" s="78"/>
      <c r="I22" s="1566"/>
    </row>
    <row r="23" spans="1:9" ht="18">
      <c r="A23" s="725" t="s">
        <v>1795</v>
      </c>
      <c r="B23" s="78"/>
      <c r="C23" s="78"/>
      <c r="D23" s="78"/>
      <c r="E23" s="78"/>
      <c r="F23" s="78"/>
      <c r="G23" s="78"/>
      <c r="H23" s="78"/>
      <c r="I23" s="1566"/>
    </row>
    <row r="24" spans="1:9" ht="18">
      <c r="A24" s="725" t="s">
        <v>1309</v>
      </c>
      <c r="B24" s="78"/>
      <c r="C24" s="78"/>
      <c r="D24" s="78"/>
      <c r="E24" s="78"/>
      <c r="F24" s="78"/>
      <c r="G24" s="78"/>
      <c r="H24" s="78"/>
      <c r="I24" s="1566"/>
    </row>
    <row r="25" spans="1:9" ht="18">
      <c r="A25" s="725" t="s">
        <v>1308</v>
      </c>
      <c r="B25" s="78"/>
      <c r="C25" s="78"/>
      <c r="D25" s="78"/>
      <c r="E25" s="78"/>
      <c r="F25" s="78"/>
      <c r="G25" s="78"/>
      <c r="H25" s="78"/>
      <c r="I25" s="1566"/>
    </row>
    <row r="26" spans="1:9" ht="15.75">
      <c r="A26" s="728" t="s">
        <v>381</v>
      </c>
      <c r="B26" s="78"/>
      <c r="C26" s="103" t="s">
        <v>1847</v>
      </c>
      <c r="D26" s="78"/>
      <c r="E26" s="78"/>
      <c r="F26" s="78"/>
      <c r="G26" s="78"/>
      <c r="H26" s="78"/>
      <c r="I26" s="1566"/>
    </row>
    <row r="27" spans="1:9" ht="18">
      <c r="A27" s="725" t="s">
        <v>1848</v>
      </c>
      <c r="B27" s="78"/>
      <c r="C27" s="208"/>
      <c r="D27" s="78"/>
      <c r="E27" s="78" t="s">
        <v>2411</v>
      </c>
      <c r="F27" s="78"/>
      <c r="G27" s="78"/>
      <c r="H27" s="78"/>
      <c r="I27" s="1566"/>
    </row>
    <row r="28" spans="1:9" ht="18">
      <c r="A28" s="725" t="s">
        <v>1476</v>
      </c>
      <c r="B28" s="78"/>
      <c r="C28" s="75"/>
      <c r="D28" s="78"/>
      <c r="E28" s="78" t="s">
        <v>2411</v>
      </c>
      <c r="F28" s="78"/>
      <c r="G28" s="78"/>
      <c r="H28" s="78"/>
      <c r="I28" s="1566"/>
    </row>
    <row r="29" spans="1:9" ht="18">
      <c r="A29" s="725" t="s">
        <v>1477</v>
      </c>
      <c r="B29" s="78"/>
      <c r="C29" s="253"/>
      <c r="D29" s="78"/>
      <c r="E29" s="78" t="s">
        <v>2411</v>
      </c>
      <c r="F29" s="78"/>
      <c r="G29" s="78"/>
      <c r="H29" s="78"/>
      <c r="I29" s="1566"/>
    </row>
    <row r="30" spans="1:9" ht="15">
      <c r="A30" s="729" t="s">
        <v>1835</v>
      </c>
      <c r="B30" s="78"/>
      <c r="C30" s="254"/>
      <c r="D30" s="78"/>
      <c r="E30" s="78" t="s">
        <v>2426</v>
      </c>
      <c r="F30" s="78"/>
      <c r="G30" s="78"/>
      <c r="H30" s="78"/>
      <c r="I30" s="1566"/>
    </row>
    <row r="31" spans="1:9" ht="18">
      <c r="A31" s="725" t="s">
        <v>1905</v>
      </c>
      <c r="B31" s="78"/>
      <c r="C31" s="422"/>
      <c r="D31" s="78"/>
      <c r="E31" s="78"/>
      <c r="F31" s="78"/>
      <c r="G31" s="78"/>
      <c r="H31" s="78"/>
      <c r="I31" s="1566"/>
    </row>
    <row r="32" spans="1:9" ht="18">
      <c r="A32" s="725" t="s">
        <v>1849</v>
      </c>
      <c r="B32" s="78"/>
      <c r="C32" s="82"/>
      <c r="D32" s="78"/>
      <c r="E32" s="78"/>
      <c r="F32" s="78"/>
      <c r="G32" s="78"/>
      <c r="H32" s="78"/>
      <c r="I32" s="1566"/>
    </row>
    <row r="33" spans="1:9" ht="18">
      <c r="A33" s="725"/>
      <c r="B33" s="78"/>
      <c r="C33" s="78"/>
      <c r="D33" s="78"/>
      <c r="E33" s="78"/>
      <c r="F33" s="78"/>
      <c r="G33" s="78"/>
      <c r="H33" s="78"/>
      <c r="I33" s="1566"/>
    </row>
    <row r="34" spans="1:9" ht="18">
      <c r="A34" s="727" t="s">
        <v>234</v>
      </c>
      <c r="B34" s="78"/>
      <c r="C34" s="78"/>
      <c r="D34" s="78"/>
      <c r="E34" s="78"/>
      <c r="F34" s="78"/>
      <c r="G34" s="78"/>
      <c r="H34" s="78"/>
      <c r="I34" s="1566"/>
    </row>
    <row r="35" spans="1:9" ht="18">
      <c r="A35" s="727" t="s">
        <v>606</v>
      </c>
      <c r="B35" s="78"/>
      <c r="C35" s="78"/>
      <c r="D35" s="78"/>
      <c r="E35" s="78"/>
      <c r="F35" s="78"/>
      <c r="G35" s="78"/>
      <c r="H35" s="78"/>
      <c r="I35" s="1566"/>
    </row>
    <row r="36" spans="1:9" ht="18">
      <c r="A36" s="725" t="s">
        <v>1323</v>
      </c>
      <c r="B36" s="78"/>
      <c r="C36" s="78"/>
      <c r="D36" s="78"/>
      <c r="E36" s="78"/>
      <c r="F36" s="78"/>
      <c r="G36" s="78"/>
      <c r="H36" s="78"/>
      <c r="I36" s="1566"/>
    </row>
    <row r="37" spans="1:9" ht="18">
      <c r="A37" s="725" t="s">
        <v>1310</v>
      </c>
      <c r="B37" s="78"/>
      <c r="C37" s="78"/>
      <c r="D37" s="78"/>
      <c r="E37" s="78"/>
      <c r="F37" s="78"/>
      <c r="G37" s="78"/>
      <c r="H37" s="78"/>
      <c r="I37" s="1566"/>
    </row>
    <row r="38" spans="1:9" ht="18">
      <c r="A38" s="725" t="s">
        <v>1324</v>
      </c>
      <c r="B38" s="78"/>
      <c r="C38" s="78"/>
      <c r="D38" s="78"/>
      <c r="E38" s="78"/>
      <c r="F38" s="78"/>
      <c r="G38" s="78"/>
      <c r="H38" s="78"/>
      <c r="I38" s="1566"/>
    </row>
    <row r="39" spans="1:9" ht="18">
      <c r="A39" s="725"/>
      <c r="B39" s="78"/>
      <c r="C39" s="78"/>
      <c r="D39" s="78"/>
      <c r="E39" s="78"/>
      <c r="F39" s="78"/>
      <c r="G39" s="78"/>
      <c r="H39" s="78"/>
      <c r="I39" s="1566"/>
    </row>
    <row r="40" spans="1:9" ht="18">
      <c r="A40" s="727" t="s">
        <v>189</v>
      </c>
      <c r="B40" s="86"/>
      <c r="C40" s="86"/>
      <c r="D40" s="86"/>
      <c r="E40" s="86"/>
      <c r="F40" s="86"/>
      <c r="G40" s="86"/>
      <c r="H40" s="86"/>
      <c r="I40" s="1566"/>
    </row>
    <row r="41" spans="1:9" ht="15" customHeight="1">
      <c r="A41" s="727" t="s">
        <v>1755</v>
      </c>
      <c r="B41" s="86"/>
      <c r="C41" s="86"/>
      <c r="D41" s="86"/>
      <c r="E41" s="86"/>
      <c r="F41" s="86"/>
      <c r="G41" s="86"/>
      <c r="H41" s="86"/>
      <c r="I41" s="1566"/>
    </row>
    <row r="42" spans="1:9" ht="15" customHeight="1">
      <c r="A42" s="725" t="s">
        <v>190</v>
      </c>
      <c r="B42" s="114"/>
      <c r="C42" s="114"/>
      <c r="D42" s="114"/>
      <c r="E42" s="114"/>
      <c r="F42" s="114"/>
      <c r="G42" s="114"/>
      <c r="H42" s="114"/>
      <c r="I42" s="1566"/>
    </row>
    <row r="43" spans="1:9" ht="15" customHeight="1">
      <c r="A43" s="725" t="s">
        <v>1759</v>
      </c>
      <c r="B43" s="114"/>
      <c r="C43" s="114"/>
      <c r="D43" s="114"/>
      <c r="E43" s="114"/>
      <c r="F43" s="114"/>
      <c r="G43" s="114"/>
      <c r="H43" s="114"/>
      <c r="I43" s="1566"/>
    </row>
    <row r="44" spans="1:9" ht="15" customHeight="1">
      <c r="A44" s="725" t="s">
        <v>191</v>
      </c>
      <c r="B44" s="114"/>
      <c r="C44" s="114"/>
      <c r="D44" s="114"/>
      <c r="E44" s="114"/>
      <c r="F44" s="114"/>
      <c r="G44" s="114"/>
      <c r="H44" s="114"/>
      <c r="I44" s="1566"/>
    </row>
    <row r="45" spans="1:9" ht="15" customHeight="1">
      <c r="A45" s="725" t="s">
        <v>955</v>
      </c>
      <c r="B45" s="114"/>
      <c r="C45" s="114"/>
      <c r="D45" s="114"/>
      <c r="E45" s="114"/>
      <c r="F45" s="114"/>
      <c r="G45" s="114"/>
      <c r="H45" s="114"/>
      <c r="I45" s="1566"/>
    </row>
    <row r="46" spans="1:9" ht="15" customHeight="1">
      <c r="A46" s="725" t="s">
        <v>873</v>
      </c>
      <c r="B46" s="114"/>
      <c r="C46" s="114"/>
      <c r="D46" s="114"/>
      <c r="E46" s="114"/>
      <c r="F46" s="114"/>
      <c r="G46" s="114"/>
      <c r="H46" s="114"/>
      <c r="I46" s="1566"/>
    </row>
    <row r="47" spans="1:9" ht="15" customHeight="1">
      <c r="A47" s="725" t="s">
        <v>1388</v>
      </c>
      <c r="B47" s="114"/>
      <c r="C47" s="114"/>
      <c r="D47" s="114"/>
      <c r="E47" s="114"/>
      <c r="F47" s="114"/>
      <c r="G47" s="114"/>
      <c r="H47" s="114"/>
      <c r="I47" s="1566"/>
    </row>
    <row r="48" spans="1:9" ht="18">
      <c r="A48" s="725"/>
      <c r="B48" s="114"/>
      <c r="C48" s="114"/>
      <c r="D48" s="114"/>
      <c r="E48" s="114"/>
      <c r="F48" s="114"/>
      <c r="G48" s="114"/>
      <c r="H48" s="114"/>
      <c r="I48" s="1566"/>
    </row>
    <row r="49" spans="1:9" ht="18">
      <c r="A49" s="727"/>
      <c r="B49" s="78"/>
      <c r="C49" s="78"/>
      <c r="D49" s="78"/>
      <c r="E49" s="78"/>
      <c r="F49" s="78"/>
      <c r="G49" s="78"/>
      <c r="H49" s="78"/>
      <c r="I49" s="1566"/>
    </row>
    <row r="50" spans="1:9" ht="18.75" customHeight="1">
      <c r="A50" s="735" t="s">
        <v>1720</v>
      </c>
      <c r="B50" s="78"/>
      <c r="C50" s="121"/>
      <c r="D50" s="78"/>
      <c r="E50" s="78"/>
      <c r="F50" s="78"/>
      <c r="G50" s="78"/>
      <c r="H50" s="78"/>
      <c r="I50" s="1566"/>
    </row>
    <row r="51" spans="1:9" ht="18.75" customHeight="1">
      <c r="A51" s="735"/>
      <c r="B51" s="78"/>
      <c r="C51" s="121"/>
      <c r="D51" s="78"/>
      <c r="E51" s="78"/>
      <c r="F51" s="78"/>
      <c r="G51" s="78"/>
      <c r="H51" s="78"/>
      <c r="I51" s="1566"/>
    </row>
    <row r="52" spans="1:9" ht="18.75" customHeight="1">
      <c r="A52" s="883" t="s">
        <v>1954</v>
      </c>
      <c r="B52" s="883" t="s">
        <v>1955</v>
      </c>
      <c r="C52" s="121"/>
      <c r="D52" s="78"/>
      <c r="E52" s="78"/>
      <c r="F52" s="78"/>
      <c r="G52" s="78"/>
      <c r="H52" s="78"/>
      <c r="I52" s="1566"/>
    </row>
    <row r="53" spans="1:9" ht="18">
      <c r="A53" s="727"/>
      <c r="B53" s="78"/>
      <c r="C53" s="78"/>
      <c r="D53" s="78"/>
      <c r="E53" s="78"/>
      <c r="F53" s="78"/>
      <c r="G53" s="78"/>
      <c r="H53" s="78"/>
      <c r="I53" s="1566"/>
    </row>
    <row r="54" spans="1:9" ht="18">
      <c r="A54" s="884" t="s">
        <v>903</v>
      </c>
      <c r="B54" s="727" t="s">
        <v>1582</v>
      </c>
      <c r="C54" s="78"/>
      <c r="D54" s="78"/>
      <c r="E54" s="78"/>
      <c r="F54" s="78"/>
      <c r="G54" s="78"/>
      <c r="H54" s="78"/>
      <c r="I54" s="1566"/>
    </row>
    <row r="55" spans="1:9" ht="18">
      <c r="A55" s="884" t="s">
        <v>903</v>
      </c>
      <c r="B55" s="727" t="s">
        <v>1674</v>
      </c>
      <c r="C55" s="78"/>
      <c r="D55" s="78"/>
      <c r="E55" s="78"/>
      <c r="F55" s="78"/>
      <c r="G55" s="78"/>
      <c r="H55" s="78"/>
      <c r="I55" s="1566"/>
    </row>
    <row r="56" spans="1:9" ht="18">
      <c r="A56" s="727"/>
      <c r="B56" s="725" t="s">
        <v>1673</v>
      </c>
      <c r="C56" s="78"/>
      <c r="D56" s="78"/>
      <c r="E56" s="78"/>
      <c r="F56" s="78"/>
      <c r="G56" s="78"/>
      <c r="H56" s="78"/>
      <c r="I56" s="1566"/>
    </row>
    <row r="57" spans="1:9" ht="18">
      <c r="A57" s="884" t="s">
        <v>903</v>
      </c>
      <c r="B57" s="727" t="s">
        <v>1719</v>
      </c>
      <c r="C57" s="78"/>
      <c r="D57" s="78"/>
      <c r="E57" s="78"/>
      <c r="F57" s="78"/>
      <c r="G57" s="78"/>
      <c r="H57" s="78"/>
      <c r="I57" s="1566"/>
    </row>
    <row r="58" spans="1:9" ht="18">
      <c r="A58" s="884" t="s">
        <v>903</v>
      </c>
      <c r="B58" s="727" t="s">
        <v>1043</v>
      </c>
      <c r="C58" s="78"/>
      <c r="D58" s="78"/>
      <c r="E58" s="78"/>
      <c r="F58" s="78"/>
      <c r="G58" s="78"/>
      <c r="H58" s="78"/>
      <c r="I58" s="1566"/>
    </row>
    <row r="59" spans="1:9" ht="18">
      <c r="A59" s="884" t="s">
        <v>903</v>
      </c>
      <c r="B59" s="727" t="s">
        <v>617</v>
      </c>
      <c r="C59" s="78"/>
      <c r="D59" s="78"/>
      <c r="E59" s="78"/>
      <c r="F59" s="78"/>
      <c r="G59" s="78"/>
      <c r="H59" s="78"/>
      <c r="I59" s="1566"/>
    </row>
    <row r="60" spans="1:9" ht="18">
      <c r="A60" s="884" t="s">
        <v>903</v>
      </c>
      <c r="B60" s="727" t="s">
        <v>618</v>
      </c>
      <c r="C60" s="78"/>
      <c r="D60" s="78"/>
      <c r="E60" s="78"/>
      <c r="F60" s="78"/>
      <c r="G60" s="78"/>
      <c r="H60" s="78"/>
      <c r="I60" s="1566"/>
    </row>
    <row r="61" spans="1:9" ht="18">
      <c r="A61" s="727"/>
      <c r="B61" s="725" t="s">
        <v>1390</v>
      </c>
      <c r="C61" s="78"/>
      <c r="D61" s="78"/>
      <c r="E61" s="78"/>
      <c r="F61" s="78"/>
      <c r="G61" s="78"/>
      <c r="H61" s="78"/>
      <c r="I61" s="1566"/>
    </row>
    <row r="62" spans="1:9" ht="18">
      <c r="A62" s="884" t="s">
        <v>903</v>
      </c>
      <c r="B62" s="730" t="s">
        <v>619</v>
      </c>
      <c r="C62" s="78"/>
      <c r="D62" s="78"/>
      <c r="E62" s="78"/>
      <c r="F62" s="78"/>
      <c r="G62" s="78"/>
      <c r="H62" s="78"/>
      <c r="I62" s="1566"/>
    </row>
    <row r="63" spans="1:9" ht="18">
      <c r="A63" s="884" t="s">
        <v>903</v>
      </c>
      <c r="B63" s="730" t="s">
        <v>2627</v>
      </c>
      <c r="C63" s="78"/>
      <c r="D63" s="78"/>
      <c r="E63" s="78"/>
      <c r="F63" s="78"/>
      <c r="G63" s="78"/>
      <c r="H63" s="78"/>
      <c r="I63" s="1566"/>
    </row>
    <row r="64" spans="1:9" ht="18">
      <c r="A64" s="727"/>
      <c r="B64" s="730" t="s">
        <v>600</v>
      </c>
      <c r="C64" s="78"/>
      <c r="D64" s="78"/>
      <c r="E64" s="78"/>
      <c r="F64" s="78"/>
      <c r="G64" s="78"/>
      <c r="H64" s="78"/>
      <c r="I64" s="1566"/>
    </row>
    <row r="65" spans="1:9" ht="18">
      <c r="A65" s="727"/>
      <c r="B65" s="730" t="s">
        <v>599</v>
      </c>
      <c r="C65" s="78"/>
      <c r="D65" s="78"/>
      <c r="E65" s="78"/>
      <c r="F65" s="78"/>
      <c r="G65" s="78"/>
      <c r="H65" s="78"/>
      <c r="I65" s="1566"/>
    </row>
    <row r="66" spans="1:9" ht="18.75" customHeight="1">
      <c r="A66" s="727"/>
      <c r="B66" s="727" t="s">
        <v>601</v>
      </c>
      <c r="C66" s="78"/>
      <c r="D66" s="78"/>
      <c r="E66" s="78"/>
      <c r="F66" s="78"/>
      <c r="G66" s="78"/>
      <c r="H66" s="78"/>
      <c r="I66" s="1566"/>
    </row>
    <row r="67" spans="1:9" ht="18.75" customHeight="1">
      <c r="A67" s="727"/>
      <c r="B67" s="727" t="s">
        <v>646</v>
      </c>
      <c r="C67" s="78"/>
      <c r="D67" s="78"/>
      <c r="E67" s="78"/>
      <c r="F67" s="78"/>
      <c r="G67" s="78"/>
      <c r="H67" s="78"/>
      <c r="I67" s="1566"/>
    </row>
    <row r="68" spans="1:9" ht="18.75" customHeight="1">
      <c r="A68" s="884" t="s">
        <v>903</v>
      </c>
      <c r="B68" s="727" t="s">
        <v>1174</v>
      </c>
      <c r="C68" s="78"/>
      <c r="D68" s="78"/>
      <c r="E68" s="78"/>
      <c r="F68" s="78"/>
      <c r="G68" s="78"/>
      <c r="H68" s="78"/>
      <c r="I68" s="1566"/>
    </row>
    <row r="69" spans="1:9" ht="18.75" customHeight="1">
      <c r="A69" s="727"/>
      <c r="B69" s="727" t="s">
        <v>647</v>
      </c>
      <c r="C69" s="78"/>
      <c r="D69" s="78"/>
      <c r="E69" s="78"/>
      <c r="F69" s="78"/>
      <c r="G69" s="78"/>
      <c r="H69" s="78"/>
      <c r="I69" s="1566"/>
    </row>
    <row r="70" spans="1:9" ht="18.75" customHeight="1">
      <c r="A70" s="727"/>
      <c r="B70" s="727" t="s">
        <v>648</v>
      </c>
      <c r="C70" s="78"/>
      <c r="D70" s="78"/>
      <c r="E70" s="78"/>
      <c r="F70" s="78"/>
      <c r="G70" s="78"/>
      <c r="H70" s="78"/>
      <c r="I70" s="1566"/>
    </row>
    <row r="71" spans="1:9" ht="18.75" customHeight="1">
      <c r="A71" s="727"/>
      <c r="B71" s="727" t="s">
        <v>1175</v>
      </c>
      <c r="C71" s="78"/>
      <c r="D71" s="78"/>
      <c r="E71" s="78"/>
      <c r="F71" s="78"/>
      <c r="G71" s="78"/>
      <c r="H71" s="78"/>
      <c r="I71" s="1566"/>
    </row>
    <row r="72" spans="1:9" ht="18.75" customHeight="1">
      <c r="A72" s="727"/>
      <c r="B72" s="727"/>
      <c r="C72" s="78"/>
      <c r="D72" s="78"/>
      <c r="E72" s="78"/>
      <c r="F72" s="78"/>
      <c r="G72" s="78"/>
      <c r="H72" s="78"/>
      <c r="I72" s="1566"/>
    </row>
    <row r="73" spans="1:9" ht="18.75" customHeight="1">
      <c r="A73" s="727"/>
      <c r="B73" s="893" t="s">
        <v>1042</v>
      </c>
      <c r="C73" s="78"/>
      <c r="D73" s="78"/>
      <c r="E73" s="78"/>
      <c r="F73" s="78"/>
      <c r="G73" s="78"/>
      <c r="H73" s="78"/>
      <c r="I73" s="1566"/>
    </row>
    <row r="74" spans="1:9" ht="18.75" customHeight="1">
      <c r="A74" s="727"/>
      <c r="B74" s="78"/>
      <c r="C74" s="78"/>
      <c r="D74" s="78"/>
      <c r="E74" s="78"/>
      <c r="F74" s="78"/>
      <c r="G74" s="78"/>
      <c r="H74" s="78"/>
      <c r="I74" s="1566"/>
    </row>
    <row r="75" spans="1:9" ht="18">
      <c r="A75" s="725"/>
      <c r="B75" s="78"/>
      <c r="C75" s="78"/>
      <c r="D75" s="78"/>
      <c r="E75" s="78"/>
      <c r="F75" s="78"/>
      <c r="G75" s="78"/>
      <c r="H75" s="78"/>
      <c r="I75" s="1566"/>
    </row>
    <row r="76" spans="1:9" ht="18">
      <c r="A76" s="725" t="s">
        <v>1800</v>
      </c>
      <c r="B76" s="78"/>
      <c r="C76" s="78"/>
      <c r="D76" s="78"/>
      <c r="E76" s="78"/>
      <c r="F76" s="78"/>
      <c r="G76" s="78"/>
      <c r="H76" s="78"/>
      <c r="I76" s="1566"/>
    </row>
    <row r="77" spans="1:9" ht="18">
      <c r="A77" s="725" t="s">
        <v>1660</v>
      </c>
      <c r="B77" s="78"/>
      <c r="C77" s="78"/>
      <c r="D77" s="78"/>
      <c r="E77" s="78"/>
      <c r="F77" s="78"/>
      <c r="G77" s="78"/>
      <c r="H77" s="78"/>
      <c r="I77" s="1566"/>
    </row>
    <row r="78" spans="1:9" ht="30.75" customHeight="1">
      <c r="A78" s="729"/>
      <c r="B78" s="78"/>
      <c r="C78" s="78"/>
      <c r="D78" s="78"/>
      <c r="E78" s="78"/>
      <c r="F78" s="78"/>
      <c r="G78" s="78"/>
      <c r="H78" s="78"/>
      <c r="I78" s="1566"/>
    </row>
    <row r="79" spans="1:9" ht="15.75">
      <c r="A79" s="733"/>
      <c r="B79" s="78"/>
      <c r="C79" s="78"/>
      <c r="D79" s="78"/>
      <c r="E79" s="78"/>
      <c r="F79" s="78"/>
      <c r="G79" s="78"/>
      <c r="H79" s="78"/>
      <c r="I79" s="1566"/>
    </row>
    <row r="80" spans="1:9" ht="15">
      <c r="A80" s="112"/>
      <c r="B80" s="78"/>
      <c r="C80" s="78"/>
      <c r="D80" s="78"/>
      <c r="E80" s="78"/>
      <c r="F80" s="78"/>
      <c r="G80" s="115"/>
      <c r="H80" s="78"/>
      <c r="I80" s="1566"/>
    </row>
  </sheetData>
  <sheetProtection password="EC35" sheet="1" objects="1" scenarios="1"/>
  <mergeCells count="4">
    <mergeCell ref="I6:I80"/>
    <mergeCell ref="A9:B9"/>
    <mergeCell ref="A17:B17"/>
    <mergeCell ref="A3:B3"/>
  </mergeCells>
  <hyperlinks>
    <hyperlink ref="A54" location="'T4'!E14" display="GO THERE"/>
    <hyperlink ref="A55" location="Sch7!E12" display="GO THERE"/>
    <hyperlink ref="A57" location="'T1 GEN-1'!T25" display="GO THERE"/>
    <hyperlink ref="A59" location="'Sch4-2'!C34" display="GO THERE"/>
    <hyperlink ref="A60" location="MISC!E77" display="GO THERE"/>
    <hyperlink ref="A62" location="'T778'!B18" display="GO THERE"/>
    <hyperlink ref="A68" location="Sch11!I13" display="GO THERE"/>
    <hyperlink ref="A9" location="HELP!A49" display="Common Data Items &amp; Where to Put Them"/>
    <hyperlink ref="A58" location="'T778'!B18" display="GO THERE"/>
    <hyperlink ref="A9:B9" location="HELP!A64" display="Common Data Items &amp; Where to Put Them"/>
    <hyperlink ref="A17:B17" location="README!A1" display="Go to the README sheet for the basic set of instructions"/>
    <hyperlink ref="A3" r:id="rId1" display="http://www.cra-arc.gc.ca/formspubs/t1gnrl/menu-eng.html"/>
    <hyperlink ref="A63" location="MISC!E57" display="GO THERE"/>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58" r:id="rId3"/>
  <rowBreaks count="1" manualBreakCount="1">
    <brk id="49" max="8" man="1"/>
  </rowBreaks>
  <drawing r:id="rId2"/>
</worksheet>
</file>

<file path=xl/worksheets/sheet30.xml><?xml version="1.0" encoding="utf-8"?>
<worksheet xmlns="http://schemas.openxmlformats.org/spreadsheetml/2006/main" xmlns:r="http://schemas.openxmlformats.org/officeDocument/2006/relationships">
  <sheetPr>
    <pageSetUpPr fitToPage="1"/>
  </sheetPr>
  <dimension ref="B1:L97"/>
  <sheetViews>
    <sheetView zoomScalePageLayoutView="0" workbookViewId="0" topLeftCell="A1">
      <selection activeCell="A1" sqref="A1"/>
    </sheetView>
  </sheetViews>
  <sheetFormatPr defaultColWidth="8.88671875" defaultRowHeight="15"/>
  <cols>
    <col min="1" max="1" width="1.77734375" style="630" customWidth="1"/>
    <col min="2" max="2" width="8.3359375" style="630" customWidth="1"/>
    <col min="3" max="3" width="34.77734375" style="630" customWidth="1"/>
    <col min="4" max="4" width="7.99609375" style="630" customWidth="1"/>
    <col min="5" max="10" width="12.21484375" style="630" customWidth="1"/>
    <col min="11" max="11" width="1.88671875" style="630" customWidth="1"/>
    <col min="12" max="12" width="10.77734375" style="630" customWidth="1"/>
    <col min="13" max="16384" width="8.88671875" style="630" customWidth="1"/>
  </cols>
  <sheetData>
    <row r="1" spans="2:12" ht="18">
      <c r="B1" s="35"/>
      <c r="C1" s="33" t="str">
        <f>"T4E-"&amp;yeartext&amp;" SLIPS DATA ENTRY FORM"</f>
        <v>T4E-2009 SLIPS DATA ENTRY FORM</v>
      </c>
      <c r="D1" s="33"/>
      <c r="E1" s="322" t="s">
        <v>1432</v>
      </c>
      <c r="F1" s="35"/>
      <c r="G1" s="35"/>
      <c r="H1" s="36"/>
      <c r="I1" s="35"/>
      <c r="J1" s="36" t="str">
        <f>yeartext</f>
        <v>2009</v>
      </c>
      <c r="K1" s="629"/>
      <c r="L1" s="1566" t="s">
        <v>35</v>
      </c>
    </row>
    <row r="2" spans="2:12" ht="15.75">
      <c r="B2" s="35"/>
      <c r="C2" s="35"/>
      <c r="D2" s="37"/>
      <c r="E2" s="629"/>
      <c r="F2" s="35"/>
      <c r="G2" s="35"/>
      <c r="H2" s="35"/>
      <c r="I2" s="35"/>
      <c r="J2" s="35"/>
      <c r="K2" s="629"/>
      <c r="L2" s="1566"/>
    </row>
    <row r="3" spans="2:12" ht="18">
      <c r="B3" s="38"/>
      <c r="C3" s="38" t="s">
        <v>2404</v>
      </c>
      <c r="D3" s="35"/>
      <c r="E3" s="37"/>
      <c r="F3" s="35"/>
      <c r="G3" s="35"/>
      <c r="H3" s="35"/>
      <c r="I3" s="35"/>
      <c r="J3" s="35"/>
      <c r="K3" s="629"/>
      <c r="L3" s="1566"/>
    </row>
    <row r="4" spans="2:12" ht="18">
      <c r="B4" s="38"/>
      <c r="C4" s="38" t="s">
        <v>2405</v>
      </c>
      <c r="D4" s="35"/>
      <c r="E4" s="37"/>
      <c r="F4" s="35"/>
      <c r="G4" s="35"/>
      <c r="H4" s="35"/>
      <c r="I4" s="35"/>
      <c r="J4" s="35"/>
      <c r="K4" s="629"/>
      <c r="L4" s="1566"/>
    </row>
    <row r="5" spans="2:12" ht="18">
      <c r="B5" s="38"/>
      <c r="C5" s="38" t="s">
        <v>1386</v>
      </c>
      <c r="D5" s="35"/>
      <c r="E5" s="37"/>
      <c r="F5" s="35"/>
      <c r="G5" s="35"/>
      <c r="H5" s="35"/>
      <c r="I5" s="35"/>
      <c r="J5" s="35"/>
      <c r="K5" s="629"/>
      <c r="L5" s="1566"/>
    </row>
    <row r="6" spans="2:12" ht="18">
      <c r="B6" s="38"/>
      <c r="C6" s="38" t="s">
        <v>1338</v>
      </c>
      <c r="D6" s="35"/>
      <c r="E6" s="37"/>
      <c r="F6" s="35"/>
      <c r="G6" s="35"/>
      <c r="H6" s="35"/>
      <c r="I6" s="35"/>
      <c r="J6" s="35"/>
      <c r="K6" s="629"/>
      <c r="L6" s="1566"/>
    </row>
    <row r="7" spans="2:12" ht="18">
      <c r="B7" s="38"/>
      <c r="C7" s="38" t="s">
        <v>1752</v>
      </c>
      <c r="D7" s="35"/>
      <c r="E7" s="37"/>
      <c r="F7" s="35"/>
      <c r="G7" s="35"/>
      <c r="H7" s="35"/>
      <c r="I7" s="35"/>
      <c r="J7" s="35"/>
      <c r="K7" s="629"/>
      <c r="L7" s="1566"/>
    </row>
    <row r="8" spans="2:12" ht="18">
      <c r="B8" s="38"/>
      <c r="C8" s="38" t="s">
        <v>1133</v>
      </c>
      <c r="D8" s="35"/>
      <c r="E8" s="37"/>
      <c r="F8" s="35"/>
      <c r="G8" s="35"/>
      <c r="H8" s="35"/>
      <c r="I8" s="35"/>
      <c r="J8" s="35"/>
      <c r="K8" s="629"/>
      <c r="L8" s="1566"/>
    </row>
    <row r="9" spans="2:12" ht="18">
      <c r="B9" s="38"/>
      <c r="C9" s="38" t="s">
        <v>1517</v>
      </c>
      <c r="D9" s="35"/>
      <c r="E9" s="37"/>
      <c r="F9" s="35"/>
      <c r="G9" s="35"/>
      <c r="H9" s="35"/>
      <c r="I9" s="35"/>
      <c r="J9" s="35"/>
      <c r="K9" s="629"/>
      <c r="L9" s="1566"/>
    </row>
    <row r="10" spans="2:12" ht="18">
      <c r="B10" s="38"/>
      <c r="C10" s="38" t="s">
        <v>1312</v>
      </c>
      <c r="D10" s="35"/>
      <c r="E10" s="37"/>
      <c r="F10" s="35"/>
      <c r="G10" s="35"/>
      <c r="H10" s="35"/>
      <c r="I10" s="35"/>
      <c r="J10" s="35"/>
      <c r="K10" s="629"/>
      <c r="L10" s="1566"/>
    </row>
    <row r="11" spans="2:12" ht="18">
      <c r="B11" s="38"/>
      <c r="C11" s="38" t="s">
        <v>852</v>
      </c>
      <c r="D11" s="35"/>
      <c r="E11" s="37"/>
      <c r="F11" s="35"/>
      <c r="G11" s="35"/>
      <c r="H11" s="35"/>
      <c r="I11" s="35"/>
      <c r="J11" s="35"/>
      <c r="K11" s="629"/>
      <c r="L11" s="1566"/>
    </row>
    <row r="12" spans="2:12" ht="18">
      <c r="B12" s="38"/>
      <c r="C12" s="38" t="s">
        <v>660</v>
      </c>
      <c r="D12" s="35"/>
      <c r="E12" s="37"/>
      <c r="F12" s="35"/>
      <c r="G12" s="35"/>
      <c r="H12" s="35"/>
      <c r="I12" s="35"/>
      <c r="J12" s="35"/>
      <c r="K12" s="629"/>
      <c r="L12" s="1566"/>
    </row>
    <row r="13" spans="2:12" ht="18">
      <c r="B13" s="38"/>
      <c r="C13" s="38"/>
      <c r="D13" s="35"/>
      <c r="E13" s="37"/>
      <c r="F13" s="35"/>
      <c r="G13" s="35"/>
      <c r="H13" s="35"/>
      <c r="I13" s="35"/>
      <c r="J13" s="35"/>
      <c r="K13" s="629"/>
      <c r="L13" s="1566"/>
    </row>
    <row r="14" spans="2:12" ht="18">
      <c r="B14" s="38"/>
      <c r="C14" s="38"/>
      <c r="D14" s="35"/>
      <c r="E14" s="37"/>
      <c r="F14" s="35"/>
      <c r="G14" s="35"/>
      <c r="H14" s="35"/>
      <c r="I14" s="35"/>
      <c r="J14" s="35"/>
      <c r="K14" s="629"/>
      <c r="L14" s="1566"/>
    </row>
    <row r="15" spans="2:12" ht="36">
      <c r="B15" s="41" t="s">
        <v>855</v>
      </c>
      <c r="C15" s="41" t="s">
        <v>1068</v>
      </c>
      <c r="D15" s="41" t="s">
        <v>673</v>
      </c>
      <c r="E15" s="41" t="s">
        <v>1134</v>
      </c>
      <c r="F15" s="41" t="s">
        <v>1135</v>
      </c>
      <c r="G15" s="41" t="s">
        <v>1136</v>
      </c>
      <c r="H15" s="41" t="s">
        <v>1137</v>
      </c>
      <c r="I15" s="41" t="s">
        <v>1138</v>
      </c>
      <c r="J15" s="42" t="s">
        <v>1217</v>
      </c>
      <c r="K15" s="629"/>
      <c r="L15" s="1566"/>
    </row>
    <row r="16" spans="2:12" ht="18">
      <c r="B16" s="35"/>
      <c r="C16" s="38"/>
      <c r="D16" s="38"/>
      <c r="E16" s="37"/>
      <c r="F16" s="35"/>
      <c r="G16" s="35"/>
      <c r="H16" s="35"/>
      <c r="I16" s="35"/>
      <c r="J16" s="35"/>
      <c r="K16" s="629"/>
      <c r="L16" s="1566"/>
    </row>
    <row r="17" spans="2:12" ht="18">
      <c r="B17" s="46"/>
      <c r="C17" s="331" t="s">
        <v>610</v>
      </c>
      <c r="D17" s="313" t="s">
        <v>1527</v>
      </c>
      <c r="E17" s="337"/>
      <c r="F17" s="337"/>
      <c r="G17" s="337"/>
      <c r="H17" s="337"/>
      <c r="I17" s="337"/>
      <c r="J17" s="649">
        <f>MAX(0,E17,F17,G17,H17,I17)</f>
        <v>0</v>
      </c>
      <c r="K17" s="629"/>
      <c r="L17" s="1566"/>
    </row>
    <row r="18" spans="2:12" ht="18">
      <c r="B18" s="35"/>
      <c r="C18" s="38"/>
      <c r="D18" s="313"/>
      <c r="E18" s="37"/>
      <c r="F18" s="35"/>
      <c r="G18" s="35"/>
      <c r="H18" s="35"/>
      <c r="I18" s="35"/>
      <c r="J18" s="35"/>
      <c r="K18" s="629"/>
      <c r="L18" s="1566"/>
    </row>
    <row r="19" spans="2:12" ht="18">
      <c r="B19" s="46" t="s">
        <v>1893</v>
      </c>
      <c r="C19" s="327" t="s">
        <v>611</v>
      </c>
      <c r="D19" s="313" t="s">
        <v>1220</v>
      </c>
      <c r="E19" s="328"/>
      <c r="F19" s="328"/>
      <c r="G19" s="328"/>
      <c r="H19" s="328"/>
      <c r="I19" s="328"/>
      <c r="J19" s="631">
        <f>SUM(E19:I19)</f>
        <v>0</v>
      </c>
      <c r="K19" s="629"/>
      <c r="L19" s="1566"/>
    </row>
    <row r="20" spans="2:12" ht="18">
      <c r="B20" s="46"/>
      <c r="C20" s="327"/>
      <c r="D20" s="313"/>
      <c r="E20" s="37"/>
      <c r="F20" s="35"/>
      <c r="G20" s="35"/>
      <c r="H20" s="35"/>
      <c r="I20" s="35"/>
      <c r="J20" s="35"/>
      <c r="K20" s="629"/>
      <c r="L20" s="1566"/>
    </row>
    <row r="21" spans="2:12" ht="18">
      <c r="B21" s="46"/>
      <c r="C21" s="327" t="s">
        <v>612</v>
      </c>
      <c r="D21" s="313" t="s">
        <v>126</v>
      </c>
      <c r="E21" s="328"/>
      <c r="F21" s="328"/>
      <c r="G21" s="328"/>
      <c r="H21" s="328"/>
      <c r="I21" s="328"/>
      <c r="J21" s="631">
        <f>SUM(E21:I21)</f>
        <v>0</v>
      </c>
      <c r="K21" s="629"/>
      <c r="L21" s="1566"/>
    </row>
    <row r="22" spans="2:12" ht="18">
      <c r="B22" s="35"/>
      <c r="C22" s="38"/>
      <c r="D22" s="327"/>
      <c r="E22" s="33"/>
      <c r="F22" s="35"/>
      <c r="G22" s="35"/>
      <c r="H22" s="35"/>
      <c r="I22" s="35"/>
      <c r="J22" s="35"/>
      <c r="K22" s="629"/>
      <c r="L22" s="1566"/>
    </row>
    <row r="23" spans="2:12" ht="18">
      <c r="B23" s="46"/>
      <c r="C23" s="327" t="s">
        <v>2000</v>
      </c>
      <c r="D23" s="313" t="s">
        <v>1224</v>
      </c>
      <c r="E23" s="328"/>
      <c r="F23" s="328"/>
      <c r="G23" s="328"/>
      <c r="H23" s="328"/>
      <c r="I23" s="328"/>
      <c r="J23" s="631">
        <f>SUM(E23:I23)</f>
        <v>0</v>
      </c>
      <c r="K23" s="629"/>
      <c r="L23" s="1566"/>
    </row>
    <row r="24" spans="2:12" ht="18">
      <c r="B24" s="35"/>
      <c r="C24" s="327" t="s">
        <v>2001</v>
      </c>
      <c r="D24" s="327"/>
      <c r="E24" s="33"/>
      <c r="F24" s="35"/>
      <c r="G24" s="35"/>
      <c r="H24" s="35"/>
      <c r="I24" s="35"/>
      <c r="J24" s="35"/>
      <c r="K24" s="629"/>
      <c r="L24" s="1566"/>
    </row>
    <row r="25" spans="2:12" ht="18">
      <c r="B25" s="35"/>
      <c r="C25" s="327" t="s">
        <v>1028</v>
      </c>
      <c r="D25" s="313" t="s">
        <v>1225</v>
      </c>
      <c r="E25" s="328"/>
      <c r="F25" s="328"/>
      <c r="G25" s="328"/>
      <c r="H25" s="328"/>
      <c r="I25" s="328"/>
      <c r="J25" s="631">
        <f>SUM(E25:I25)</f>
        <v>0</v>
      </c>
      <c r="K25" s="629"/>
      <c r="L25" s="1566"/>
    </row>
    <row r="26" spans="2:12" ht="18">
      <c r="B26" s="35"/>
      <c r="C26" s="327"/>
      <c r="D26" s="327"/>
      <c r="E26" s="33"/>
      <c r="F26" s="35"/>
      <c r="G26" s="35"/>
      <c r="H26" s="35"/>
      <c r="I26" s="35"/>
      <c r="J26" s="35"/>
      <c r="K26" s="629"/>
      <c r="L26" s="1566"/>
    </row>
    <row r="27" spans="2:12" ht="18">
      <c r="B27" s="46"/>
      <c r="C27" s="331" t="s">
        <v>1768</v>
      </c>
      <c r="D27" s="313" t="s">
        <v>1227</v>
      </c>
      <c r="E27" s="328"/>
      <c r="F27" s="328"/>
      <c r="G27" s="328"/>
      <c r="H27" s="328"/>
      <c r="I27" s="328"/>
      <c r="J27" s="631">
        <f>SUM(E27:I27)</f>
        <v>0</v>
      </c>
      <c r="K27" s="629"/>
      <c r="L27" s="1566"/>
    </row>
    <row r="28" spans="2:12" ht="18">
      <c r="B28" s="35"/>
      <c r="C28" s="327"/>
      <c r="D28" s="327"/>
      <c r="E28" s="33"/>
      <c r="F28" s="35"/>
      <c r="G28" s="35"/>
      <c r="H28" s="35"/>
      <c r="I28" s="35"/>
      <c r="J28" s="35"/>
      <c r="K28" s="629"/>
      <c r="L28" s="1566"/>
    </row>
    <row r="29" spans="2:12" ht="18">
      <c r="B29" s="46" t="s">
        <v>1767</v>
      </c>
      <c r="C29" s="331" t="s">
        <v>1769</v>
      </c>
      <c r="D29" s="313" t="s">
        <v>127</v>
      </c>
      <c r="E29" s="328"/>
      <c r="F29" s="328"/>
      <c r="G29" s="328"/>
      <c r="H29" s="328"/>
      <c r="I29" s="328"/>
      <c r="J29" s="631">
        <f>SUM(E29:I29)</f>
        <v>0</v>
      </c>
      <c r="K29" s="629"/>
      <c r="L29" s="1566"/>
    </row>
    <row r="30" spans="2:12" ht="18">
      <c r="B30" s="35"/>
      <c r="C30" s="327"/>
      <c r="D30" s="327"/>
      <c r="E30" s="33"/>
      <c r="F30" s="35"/>
      <c r="G30" s="35"/>
      <c r="H30" s="35"/>
      <c r="I30" s="35"/>
      <c r="J30" s="35"/>
      <c r="K30" s="629"/>
      <c r="L30" s="1566"/>
    </row>
    <row r="31" spans="2:12" ht="18">
      <c r="B31" s="46" t="s">
        <v>1230</v>
      </c>
      <c r="C31" s="331" t="s">
        <v>2002</v>
      </c>
      <c r="D31" s="313">
        <v>22</v>
      </c>
      <c r="E31" s="328"/>
      <c r="F31" s="328"/>
      <c r="G31" s="328"/>
      <c r="H31" s="328"/>
      <c r="I31" s="328"/>
      <c r="J31" s="631">
        <f>SUM(E31:I31)</f>
        <v>0</v>
      </c>
      <c r="K31" s="629"/>
      <c r="L31" s="1566"/>
    </row>
    <row r="32" spans="2:12" ht="18">
      <c r="B32" s="35"/>
      <c r="C32" s="38"/>
      <c r="D32" s="313"/>
      <c r="E32" s="37"/>
      <c r="F32" s="35"/>
      <c r="G32" s="35"/>
      <c r="H32" s="35"/>
      <c r="I32" s="35"/>
      <c r="J32" s="35"/>
      <c r="K32" s="629"/>
      <c r="L32" s="1566"/>
    </row>
    <row r="33" spans="2:12" ht="18">
      <c r="B33" s="46" t="s">
        <v>1230</v>
      </c>
      <c r="C33" s="327" t="s">
        <v>953</v>
      </c>
      <c r="D33" s="313">
        <v>23</v>
      </c>
      <c r="E33" s="328"/>
      <c r="F33" s="328"/>
      <c r="G33" s="328"/>
      <c r="H33" s="328"/>
      <c r="I33" s="328"/>
      <c r="J33" s="631">
        <f>SUM(E33:I33)</f>
        <v>0</v>
      </c>
      <c r="K33" s="629"/>
      <c r="L33" s="1566"/>
    </row>
    <row r="34" spans="2:12" ht="18">
      <c r="B34" s="35"/>
      <c r="C34" s="38"/>
      <c r="D34" s="327"/>
      <c r="E34" s="37"/>
      <c r="F34" s="35"/>
      <c r="G34" s="35"/>
      <c r="H34" s="35"/>
      <c r="I34" s="35"/>
      <c r="J34" s="35"/>
      <c r="K34" s="629"/>
      <c r="L34" s="1566"/>
    </row>
    <row r="35" spans="2:12" ht="18">
      <c r="B35" s="46" t="s">
        <v>1230</v>
      </c>
      <c r="C35" s="327" t="s">
        <v>1746</v>
      </c>
      <c r="D35" s="313">
        <v>24</v>
      </c>
      <c r="E35" s="328"/>
      <c r="F35" s="328"/>
      <c r="G35" s="328"/>
      <c r="H35" s="328"/>
      <c r="I35" s="328"/>
      <c r="J35" s="631">
        <f>SUM(E35:I35)</f>
        <v>0</v>
      </c>
      <c r="K35" s="629"/>
      <c r="L35" s="1566"/>
    </row>
    <row r="36" spans="2:12" ht="18">
      <c r="B36" s="33"/>
      <c r="C36" s="33"/>
      <c r="D36" s="33"/>
      <c r="E36" s="33"/>
      <c r="F36" s="33"/>
      <c r="G36" s="33"/>
      <c r="H36" s="33"/>
      <c r="I36" s="33"/>
      <c r="J36" s="33"/>
      <c r="K36" s="629"/>
      <c r="L36" s="1566"/>
    </row>
    <row r="37" spans="2:12" ht="18">
      <c r="B37" s="46"/>
      <c r="C37" s="1091" t="s">
        <v>1039</v>
      </c>
      <c r="D37" s="313">
        <v>26</v>
      </c>
      <c r="E37" s="328"/>
      <c r="F37" s="328"/>
      <c r="G37" s="328"/>
      <c r="H37" s="328"/>
      <c r="I37" s="328"/>
      <c r="J37" s="631">
        <f>SUM(E37:I37)</f>
        <v>0</v>
      </c>
      <c r="K37" s="629"/>
      <c r="L37" s="1566"/>
    </row>
    <row r="38" spans="2:12" ht="18">
      <c r="B38" s="35"/>
      <c r="C38" s="38"/>
      <c r="D38" s="327"/>
      <c r="E38" s="33"/>
      <c r="F38" s="35"/>
      <c r="G38" s="35"/>
      <c r="H38" s="35"/>
      <c r="I38" s="35"/>
      <c r="J38" s="35"/>
      <c r="K38" s="629"/>
      <c r="L38" s="1566"/>
    </row>
    <row r="39" spans="2:12" ht="18">
      <c r="B39" s="46"/>
      <c r="C39" s="327" t="s">
        <v>720</v>
      </c>
      <c r="D39" s="313" t="s">
        <v>1713</v>
      </c>
      <c r="E39" s="328"/>
      <c r="F39" s="328"/>
      <c r="G39" s="328"/>
      <c r="H39" s="328"/>
      <c r="I39" s="328"/>
      <c r="J39" s="631">
        <f>SUM(E39:I39)</f>
        <v>0</v>
      </c>
      <c r="K39" s="629"/>
      <c r="L39" s="1566"/>
    </row>
    <row r="40" spans="2:12" ht="18">
      <c r="B40" s="35"/>
      <c r="C40" s="38"/>
      <c r="D40" s="327"/>
      <c r="E40" s="33"/>
      <c r="F40" s="35"/>
      <c r="G40" s="35"/>
      <c r="H40" s="35"/>
      <c r="I40" s="35"/>
      <c r="J40" s="35"/>
      <c r="K40" s="629"/>
      <c r="L40" s="1566"/>
    </row>
    <row r="41" spans="2:12" ht="18">
      <c r="B41" s="46" t="s">
        <v>2376</v>
      </c>
      <c r="C41" s="327" t="s">
        <v>1040</v>
      </c>
      <c r="D41" s="313" t="s">
        <v>716</v>
      </c>
      <c r="E41" s="328"/>
      <c r="F41" s="328"/>
      <c r="G41" s="328"/>
      <c r="H41" s="328"/>
      <c r="I41" s="328"/>
      <c r="J41" s="631">
        <f>SUM(E41:I41)</f>
        <v>0</v>
      </c>
      <c r="K41" s="629"/>
      <c r="L41" s="1566"/>
    </row>
    <row r="42" spans="2:12" ht="18">
      <c r="B42" s="38"/>
      <c r="C42" s="38"/>
      <c r="D42" s="35"/>
      <c r="E42" s="37"/>
      <c r="F42" s="35"/>
      <c r="G42" s="35"/>
      <c r="H42" s="35"/>
      <c r="I42" s="35"/>
      <c r="J42" s="35"/>
      <c r="K42" s="629"/>
      <c r="L42" s="1566"/>
    </row>
    <row r="43" spans="2:12" ht="18">
      <c r="B43" s="38"/>
      <c r="C43" s="327" t="s">
        <v>1036</v>
      </c>
      <c r="D43" s="313" t="s">
        <v>2010</v>
      </c>
      <c r="E43" s="328"/>
      <c r="F43" s="328"/>
      <c r="G43" s="328"/>
      <c r="H43" s="328"/>
      <c r="I43" s="328"/>
      <c r="J43" s="35"/>
      <c r="K43" s="629"/>
      <c r="L43" s="1566"/>
    </row>
    <row r="44" spans="2:12" ht="18">
      <c r="B44" s="38"/>
      <c r="C44" s="327" t="s">
        <v>1035</v>
      </c>
      <c r="D44" s="35"/>
      <c r="E44" s="37"/>
      <c r="F44" s="35"/>
      <c r="G44" s="35"/>
      <c r="H44" s="35"/>
      <c r="I44" s="35"/>
      <c r="J44" s="35"/>
      <c r="K44" s="629"/>
      <c r="L44" s="1566"/>
    </row>
    <row r="45" spans="2:12" ht="18">
      <c r="B45" s="38"/>
      <c r="C45" s="327" t="s">
        <v>1038</v>
      </c>
      <c r="D45" s="313" t="s">
        <v>715</v>
      </c>
      <c r="E45" s="328"/>
      <c r="F45" s="328"/>
      <c r="G45" s="328"/>
      <c r="H45" s="328"/>
      <c r="I45" s="328"/>
      <c r="J45" s="35"/>
      <c r="K45" s="629"/>
      <c r="L45" s="1566"/>
    </row>
    <row r="46" spans="2:12" ht="18.75" thickBot="1">
      <c r="B46" s="298"/>
      <c r="C46" s="299" t="s">
        <v>1037</v>
      </c>
      <c r="D46" s="298"/>
      <c r="E46" s="300"/>
      <c r="F46" s="301"/>
      <c r="G46" s="301"/>
      <c r="H46" s="632"/>
      <c r="I46" s="301"/>
      <c r="J46" s="633"/>
      <c r="K46" s="634"/>
      <c r="L46" s="1566"/>
    </row>
    <row r="47" spans="2:12" ht="18">
      <c r="B47" s="46"/>
      <c r="C47" s="33" t="str">
        <f>"T4E-"&amp;yeartext&amp;" GENERAL DATA ENTRY"</f>
        <v>T4E-2009 GENERAL DATA ENTRY</v>
      </c>
      <c r="D47" s="33"/>
      <c r="E47" s="322" t="s">
        <v>1432</v>
      </c>
      <c r="F47" s="35"/>
      <c r="G47" s="35"/>
      <c r="H47" s="36"/>
      <c r="I47" s="35"/>
      <c r="J47" s="36" t="str">
        <f>yeartext</f>
        <v>2009</v>
      </c>
      <c r="K47" s="629"/>
      <c r="L47" s="1566"/>
    </row>
    <row r="48" spans="2:12" ht="18">
      <c r="B48" s="46"/>
      <c r="C48" s="49"/>
      <c r="D48" s="46"/>
      <c r="E48" s="51"/>
      <c r="F48" s="48"/>
      <c r="G48" s="48"/>
      <c r="H48" s="635"/>
      <c r="I48" s="48"/>
      <c r="J48" s="636"/>
      <c r="K48" s="629"/>
      <c r="L48" s="1566"/>
    </row>
    <row r="49" spans="2:12" ht="18">
      <c r="B49" s="46"/>
      <c r="C49" s="41" t="s">
        <v>114</v>
      </c>
      <c r="D49" s="41" t="s">
        <v>855</v>
      </c>
      <c r="E49" s="41" t="s">
        <v>115</v>
      </c>
      <c r="F49" s="329"/>
      <c r="G49" s="340" t="s">
        <v>1533</v>
      </c>
      <c r="H49" s="329"/>
      <c r="I49" s="329"/>
      <c r="J49" s="329"/>
      <c r="K49" s="629"/>
      <c r="L49" s="1566"/>
    </row>
    <row r="50" spans="2:12" ht="18">
      <c r="B50" s="46"/>
      <c r="C50" s="296" t="s">
        <v>113</v>
      </c>
      <c r="D50" s="297" t="s">
        <v>1893</v>
      </c>
      <c r="E50" s="334">
        <f>J19-J25</f>
        <v>0</v>
      </c>
      <c r="F50" s="329"/>
      <c r="G50" s="340" t="s">
        <v>1534</v>
      </c>
      <c r="H50" s="329"/>
      <c r="I50" s="329"/>
      <c r="J50" s="329"/>
      <c r="K50" s="629"/>
      <c r="L50" s="1566"/>
    </row>
    <row r="51" spans="2:12" ht="18">
      <c r="B51" s="46"/>
      <c r="C51" s="296" t="s">
        <v>117</v>
      </c>
      <c r="D51" s="297" t="s">
        <v>2376</v>
      </c>
      <c r="E51" s="334">
        <f>J41</f>
        <v>0</v>
      </c>
      <c r="F51" s="329"/>
      <c r="G51" s="340"/>
      <c r="H51" s="329"/>
      <c r="I51" s="329"/>
      <c r="J51" s="329"/>
      <c r="K51" s="629"/>
      <c r="L51" s="1566"/>
    </row>
    <row r="52" spans="2:12" ht="18">
      <c r="B52" s="46"/>
      <c r="C52" s="296" t="s">
        <v>117</v>
      </c>
      <c r="D52" s="297" t="s">
        <v>1470</v>
      </c>
      <c r="E52" s="334">
        <f>E80</f>
        <v>0</v>
      </c>
      <c r="F52" s="329"/>
      <c r="G52" s="340"/>
      <c r="H52" s="329"/>
      <c r="I52" s="329"/>
      <c r="J52" s="329"/>
      <c r="K52" s="629"/>
      <c r="L52" s="1566"/>
    </row>
    <row r="53" spans="2:12" ht="18">
      <c r="B53" s="46"/>
      <c r="C53" s="296" t="s">
        <v>117</v>
      </c>
      <c r="D53" s="297" t="s">
        <v>1767</v>
      </c>
      <c r="E53" s="334">
        <f>J29</f>
        <v>0</v>
      </c>
      <c r="F53" s="329"/>
      <c r="G53" s="340"/>
      <c r="H53" s="329"/>
      <c r="I53" s="329"/>
      <c r="J53" s="329"/>
      <c r="K53" s="629"/>
      <c r="L53" s="1566"/>
    </row>
    <row r="54" spans="2:12" ht="18">
      <c r="B54" s="46"/>
      <c r="C54" s="296" t="s">
        <v>2067</v>
      </c>
      <c r="D54" s="297" t="s">
        <v>1471</v>
      </c>
      <c r="E54" s="334">
        <f>E80</f>
        <v>0</v>
      </c>
      <c r="F54" s="329"/>
      <c r="G54" s="340"/>
      <c r="H54" s="329"/>
      <c r="I54" s="329"/>
      <c r="J54" s="329"/>
      <c r="K54" s="629"/>
      <c r="L54" s="1566"/>
    </row>
    <row r="55" spans="2:12" ht="18">
      <c r="B55" s="46"/>
      <c r="C55" s="296" t="s">
        <v>2067</v>
      </c>
      <c r="D55" s="297" t="s">
        <v>1230</v>
      </c>
      <c r="E55" s="334">
        <f>J31+J33+J35</f>
        <v>0</v>
      </c>
      <c r="F55" s="329"/>
      <c r="G55" s="330" t="s">
        <v>670</v>
      </c>
      <c r="H55" s="329"/>
      <c r="I55" s="329"/>
      <c r="J55" s="329"/>
      <c r="K55" s="629"/>
      <c r="L55" s="1566"/>
    </row>
    <row r="56" spans="2:12" ht="18">
      <c r="B56" s="46"/>
      <c r="C56" s="311"/>
      <c r="D56" s="312"/>
      <c r="E56" s="326"/>
      <c r="F56" s="330"/>
      <c r="G56" s="330" t="s">
        <v>671</v>
      </c>
      <c r="H56" s="330"/>
      <c r="I56" s="330"/>
      <c r="J56" s="330"/>
      <c r="K56" s="629"/>
      <c r="L56" s="1566"/>
    </row>
    <row r="57" spans="2:12" ht="18">
      <c r="B57" s="46"/>
      <c r="C57" s="313"/>
      <c r="D57" s="46"/>
      <c r="E57" s="330"/>
      <c r="F57" s="330"/>
      <c r="G57" s="330"/>
      <c r="H57" s="330"/>
      <c r="I57" s="330"/>
      <c r="J57" s="330"/>
      <c r="K57" s="629"/>
      <c r="L57" s="1566"/>
    </row>
    <row r="58" spans="2:12" ht="18">
      <c r="B58" s="46"/>
      <c r="C58" s="313"/>
      <c r="D58" s="46"/>
      <c r="E58" s="330"/>
      <c r="F58" s="330"/>
      <c r="G58" s="330" t="s">
        <v>2363</v>
      </c>
      <c r="H58" s="330"/>
      <c r="I58" s="330"/>
      <c r="J58" s="330"/>
      <c r="K58" s="629"/>
      <c r="L58" s="1566"/>
    </row>
    <row r="59" spans="2:12" ht="18">
      <c r="B59" s="46"/>
      <c r="C59" s="331" t="s">
        <v>627</v>
      </c>
      <c r="D59" s="46"/>
      <c r="E59" s="330"/>
      <c r="F59" s="330"/>
      <c r="G59" s="330" t="s">
        <v>1532</v>
      </c>
      <c r="H59" s="330"/>
      <c r="I59" s="330"/>
      <c r="J59" s="330"/>
      <c r="K59" s="629"/>
      <c r="L59" s="1566"/>
    </row>
    <row r="60" spans="2:12" ht="33.75" customHeight="1">
      <c r="B60" s="46"/>
      <c r="C60" s="1335" t="s">
        <v>1030</v>
      </c>
      <c r="D60" s="46"/>
      <c r="E60" s="330"/>
      <c r="F60" s="330"/>
      <c r="G60" s="330"/>
      <c r="H60" s="330"/>
      <c r="I60" s="330"/>
      <c r="J60" s="330"/>
      <c r="K60" s="629"/>
      <c r="L60" s="1566"/>
    </row>
    <row r="61" spans="2:12" ht="18">
      <c r="B61" s="46"/>
      <c r="C61" s="332" t="s">
        <v>2531</v>
      </c>
      <c r="D61" s="46"/>
      <c r="E61" s="330"/>
      <c r="F61" s="330"/>
      <c r="G61" s="330"/>
      <c r="H61" s="330"/>
      <c r="I61" s="330"/>
      <c r="J61" s="330"/>
      <c r="K61" s="629"/>
      <c r="L61" s="1566"/>
    </row>
    <row r="62" spans="2:12" ht="18">
      <c r="B62" s="46"/>
      <c r="C62" s="313"/>
      <c r="D62" s="46"/>
      <c r="E62" s="330"/>
      <c r="F62" s="330"/>
      <c r="G62" s="330"/>
      <c r="H62" s="330"/>
      <c r="I62" s="330"/>
      <c r="J62" s="330"/>
      <c r="K62" s="629"/>
      <c r="L62" s="1566"/>
    </row>
    <row r="63" spans="2:12" ht="18">
      <c r="B63" s="46"/>
      <c r="C63" s="313"/>
      <c r="D63" s="46"/>
      <c r="E63" s="330"/>
      <c r="F63" s="330"/>
      <c r="G63" s="330"/>
      <c r="H63" s="330"/>
      <c r="I63" s="330"/>
      <c r="J63" s="330"/>
      <c r="K63" s="629"/>
      <c r="L63" s="1566"/>
    </row>
    <row r="64" spans="2:12" ht="18">
      <c r="B64" s="46"/>
      <c r="C64" s="332" t="s">
        <v>1679</v>
      </c>
      <c r="D64" s="46"/>
      <c r="E64" s="330"/>
      <c r="F64" s="330"/>
      <c r="G64" s="330"/>
      <c r="H64" s="330"/>
      <c r="I64" s="330"/>
      <c r="J64" s="330"/>
      <c r="K64" s="629"/>
      <c r="L64" s="1566"/>
    </row>
    <row r="65" spans="2:12" ht="18">
      <c r="B65" s="46"/>
      <c r="C65" s="333" t="s">
        <v>1683</v>
      </c>
      <c r="D65" s="46"/>
      <c r="E65" s="334">
        <f>IF(J17=0.3,J21,0)</f>
        <v>0</v>
      </c>
      <c r="F65" s="335"/>
      <c r="G65" s="330"/>
      <c r="H65" s="330"/>
      <c r="I65" s="330"/>
      <c r="J65" s="330"/>
      <c r="K65" s="629"/>
      <c r="L65" s="1566"/>
    </row>
    <row r="66" spans="2:12" ht="18">
      <c r="B66" s="46"/>
      <c r="C66" s="332"/>
      <c r="D66" s="46"/>
      <c r="E66" s="330"/>
      <c r="F66" s="330"/>
      <c r="G66" s="330"/>
      <c r="H66" s="330"/>
      <c r="I66" s="330"/>
      <c r="J66" s="330"/>
      <c r="K66" s="629"/>
      <c r="L66" s="1566"/>
    </row>
    <row r="67" spans="2:12" ht="18">
      <c r="B67" s="46"/>
      <c r="C67" s="333" t="s">
        <v>2440</v>
      </c>
      <c r="D67" s="46"/>
      <c r="E67" s="334">
        <f>J41</f>
        <v>0</v>
      </c>
      <c r="F67" s="335"/>
      <c r="G67" s="330"/>
      <c r="H67" s="330"/>
      <c r="I67" s="330"/>
      <c r="J67" s="330"/>
      <c r="K67" s="629"/>
      <c r="L67" s="1566"/>
    </row>
    <row r="68" spans="2:12" ht="18">
      <c r="B68" s="46"/>
      <c r="C68" s="332" t="s">
        <v>1682</v>
      </c>
      <c r="D68" s="46"/>
      <c r="E68" s="330"/>
      <c r="F68" s="330"/>
      <c r="G68" s="330"/>
      <c r="H68" s="330"/>
      <c r="I68" s="330"/>
      <c r="J68" s="330"/>
      <c r="K68" s="629"/>
      <c r="L68" s="1566"/>
    </row>
    <row r="69" spans="2:12" ht="18.75" thickBot="1">
      <c r="B69" s="46"/>
      <c r="C69" s="333" t="s">
        <v>1681</v>
      </c>
      <c r="D69" s="46"/>
      <c r="E69" s="336">
        <f>MAX(E65-E67,0)</f>
        <v>0</v>
      </c>
      <c r="F69" s="335" t="s">
        <v>1029</v>
      </c>
      <c r="G69" s="330"/>
      <c r="H69" s="330"/>
      <c r="I69" s="330"/>
      <c r="J69" s="330"/>
      <c r="K69" s="629"/>
      <c r="L69" s="1566"/>
    </row>
    <row r="70" spans="2:12" ht="27" customHeight="1" thickTop="1">
      <c r="B70" s="46"/>
      <c r="C70" s="332" t="s">
        <v>2534</v>
      </c>
      <c r="D70" s="46"/>
      <c r="E70" s="1533"/>
      <c r="F70" s="335"/>
      <c r="G70" s="330"/>
      <c r="H70" s="330"/>
      <c r="I70" s="330"/>
      <c r="J70" s="330"/>
      <c r="K70" s="629"/>
      <c r="L70" s="1566"/>
    </row>
    <row r="71" spans="2:12" ht="22.5" customHeight="1">
      <c r="B71" s="46"/>
      <c r="C71" s="1335" t="s">
        <v>1031</v>
      </c>
      <c r="D71" s="46"/>
      <c r="E71" s="330"/>
      <c r="F71" s="335"/>
      <c r="G71" s="330"/>
      <c r="H71" s="330"/>
      <c r="I71" s="330"/>
      <c r="J71" s="330"/>
      <c r="K71" s="629"/>
      <c r="L71" s="1566"/>
    </row>
    <row r="72" spans="2:12" ht="18">
      <c r="B72" s="46"/>
      <c r="C72" s="332" t="s">
        <v>2533</v>
      </c>
      <c r="D72" s="46"/>
      <c r="E72" s="330"/>
      <c r="F72" s="330"/>
      <c r="G72" s="330"/>
      <c r="H72" s="330"/>
      <c r="I72" s="330"/>
      <c r="J72" s="330"/>
      <c r="K72" s="629"/>
      <c r="L72" s="1566"/>
    </row>
    <row r="73" spans="2:12" ht="18">
      <c r="B73" s="46"/>
      <c r="C73" s="333" t="s">
        <v>2532</v>
      </c>
      <c r="D73" s="46"/>
      <c r="E73" s="334">
        <f>line213+line234+E70-line117-line125</f>
        <v>0</v>
      </c>
      <c r="F73" s="335" t="s">
        <v>848</v>
      </c>
      <c r="G73" s="330"/>
      <c r="H73" s="330"/>
      <c r="I73" s="330"/>
      <c r="J73" s="330"/>
      <c r="K73" s="629"/>
      <c r="L73" s="1566"/>
    </row>
    <row r="74" spans="2:12" ht="24.75" customHeight="1">
      <c r="B74" s="46"/>
      <c r="C74" s="333" t="s">
        <v>1523</v>
      </c>
      <c r="D74" s="46"/>
      <c r="E74" s="334">
        <v>52875</v>
      </c>
      <c r="F74" s="335"/>
      <c r="G74" s="330"/>
      <c r="H74" s="330"/>
      <c r="I74" s="330"/>
      <c r="J74" s="330"/>
      <c r="K74" s="629"/>
      <c r="L74" s="1566"/>
    </row>
    <row r="75" spans="2:12" ht="18">
      <c r="B75" s="46"/>
      <c r="C75" s="332" t="s">
        <v>1032</v>
      </c>
      <c r="D75" s="46"/>
      <c r="E75" s="330"/>
      <c r="F75" s="330"/>
      <c r="G75" s="330"/>
      <c r="H75" s="330"/>
      <c r="I75" s="330"/>
      <c r="J75" s="330"/>
      <c r="K75" s="629"/>
      <c r="L75" s="1566"/>
    </row>
    <row r="76" spans="2:12" ht="18.75" thickBot="1">
      <c r="B76" s="46"/>
      <c r="C76" s="333" t="s">
        <v>1033</v>
      </c>
      <c r="D76" s="46"/>
      <c r="E76" s="336">
        <f>MAX(E73-E74,0)</f>
        <v>0</v>
      </c>
      <c r="F76" s="335" t="s">
        <v>986</v>
      </c>
      <c r="G76" s="330"/>
      <c r="H76" s="330"/>
      <c r="I76" s="330"/>
      <c r="J76" s="330"/>
      <c r="K76" s="629"/>
      <c r="L76" s="1566"/>
    </row>
    <row r="77" spans="2:12" ht="18.75" thickTop="1">
      <c r="B77" s="46"/>
      <c r="C77" s="332"/>
      <c r="D77" s="46"/>
      <c r="E77" s="330"/>
      <c r="F77" s="330"/>
      <c r="G77" s="330"/>
      <c r="H77" s="330"/>
      <c r="I77" s="330"/>
      <c r="J77" s="330"/>
      <c r="K77" s="629"/>
      <c r="L77" s="1566"/>
    </row>
    <row r="78" spans="2:12" ht="18">
      <c r="B78" s="46"/>
      <c r="C78" s="333" t="s">
        <v>1034</v>
      </c>
      <c r="D78" s="46"/>
      <c r="E78" s="334">
        <f>MIN(E69,E76)</f>
        <v>0</v>
      </c>
      <c r="F78" s="335" t="s">
        <v>849</v>
      </c>
      <c r="G78" s="330"/>
      <c r="H78" s="330"/>
      <c r="I78" s="330"/>
      <c r="J78" s="330"/>
      <c r="K78" s="629"/>
      <c r="L78" s="1566"/>
    </row>
    <row r="79" spans="2:12" ht="18">
      <c r="B79" s="46"/>
      <c r="C79" s="332"/>
      <c r="D79" s="46"/>
      <c r="E79" s="338"/>
      <c r="F79" s="330"/>
      <c r="G79" s="330"/>
      <c r="H79" s="330"/>
      <c r="I79" s="330"/>
      <c r="J79" s="330"/>
      <c r="K79" s="629"/>
      <c r="L79" s="1566"/>
    </row>
    <row r="80" spans="2:12" ht="18">
      <c r="B80" s="46"/>
      <c r="C80" s="333" t="s">
        <v>1680</v>
      </c>
      <c r="D80" s="46"/>
      <c r="E80" s="334">
        <f>0.3*E78</f>
        <v>0</v>
      </c>
      <c r="F80" s="335" t="s">
        <v>850</v>
      </c>
      <c r="G80" s="330"/>
      <c r="H80" s="330"/>
      <c r="I80" s="330"/>
      <c r="J80" s="330"/>
      <c r="K80" s="629"/>
      <c r="L80" s="1566"/>
    </row>
    <row r="81" spans="2:12" ht="18">
      <c r="B81" s="46"/>
      <c r="C81" s="332"/>
      <c r="D81" s="46"/>
      <c r="E81" s="330"/>
      <c r="F81" s="330"/>
      <c r="G81" s="330"/>
      <c r="H81" s="330"/>
      <c r="I81" s="330"/>
      <c r="J81" s="330"/>
      <c r="K81" s="629"/>
      <c r="L81" s="1566"/>
    </row>
    <row r="82" spans="2:12" ht="18">
      <c r="B82" s="46"/>
      <c r="C82" s="331" t="s">
        <v>571</v>
      </c>
      <c r="D82" s="46"/>
      <c r="E82" s="330"/>
      <c r="F82" s="330"/>
      <c r="G82" s="330"/>
      <c r="H82" s="330"/>
      <c r="I82" s="330"/>
      <c r="J82" s="330"/>
      <c r="K82" s="629"/>
      <c r="L82" s="1566"/>
    </row>
    <row r="83" spans="2:12" ht="18">
      <c r="B83" s="46"/>
      <c r="C83" s="331" t="s">
        <v>572</v>
      </c>
      <c r="D83" s="46"/>
      <c r="E83" s="51"/>
      <c r="F83" s="48"/>
      <c r="G83" s="48"/>
      <c r="H83" s="635"/>
      <c r="I83" s="48"/>
      <c r="J83" s="636"/>
      <c r="K83" s="629"/>
      <c r="L83" s="1566"/>
    </row>
    <row r="84" spans="2:12" ht="18">
      <c r="B84" s="46"/>
      <c r="C84" s="331" t="s">
        <v>2530</v>
      </c>
      <c r="D84" s="46"/>
      <c r="E84" s="51"/>
      <c r="F84" s="48"/>
      <c r="G84" s="48"/>
      <c r="H84" s="635"/>
      <c r="I84" s="48"/>
      <c r="J84" s="636"/>
      <c r="K84" s="629"/>
      <c r="L84" s="1566"/>
    </row>
    <row r="85" spans="2:12" ht="18">
      <c r="B85" s="46"/>
      <c r="C85" s="332"/>
      <c r="D85" s="46"/>
      <c r="E85" s="51"/>
      <c r="F85" s="48"/>
      <c r="G85" s="48"/>
      <c r="H85" s="635"/>
      <c r="I85" s="48"/>
      <c r="J85" s="636"/>
      <c r="K85" s="629"/>
      <c r="L85" s="1566"/>
    </row>
    <row r="86" spans="2:4" ht="15">
      <c r="B86" s="637"/>
      <c r="D86" s="55"/>
    </row>
    <row r="87" spans="2:4" ht="15">
      <c r="B87" s="637"/>
      <c r="D87" s="55"/>
    </row>
    <row r="88" spans="2:4" ht="15">
      <c r="B88" s="637"/>
      <c r="D88" s="55"/>
    </row>
    <row r="89" spans="2:4" ht="15">
      <c r="B89" s="637"/>
      <c r="D89" s="55"/>
    </row>
    <row r="90" spans="2:4" ht="15">
      <c r="B90" s="637"/>
      <c r="D90" s="55"/>
    </row>
    <row r="91" spans="2:4" ht="15">
      <c r="B91" s="637"/>
      <c r="D91" s="55"/>
    </row>
    <row r="92" spans="2:4" ht="15">
      <c r="B92" s="637"/>
      <c r="D92" s="55"/>
    </row>
    <row r="93" spans="2:4" ht="15">
      <c r="B93" s="637"/>
      <c r="D93" s="55"/>
    </row>
    <row r="94" spans="2:4" ht="15">
      <c r="B94" s="637"/>
      <c r="D94" s="55"/>
    </row>
    <row r="95" spans="2:4" ht="15">
      <c r="B95" s="637"/>
      <c r="D95" s="55"/>
    </row>
    <row r="96" spans="2:4" ht="15">
      <c r="B96" s="637"/>
      <c r="D96" s="55"/>
    </row>
    <row r="97" spans="2:4" ht="15">
      <c r="B97" s="637"/>
      <c r="D97" s="55"/>
    </row>
  </sheetData>
  <sheetProtection password="EC35" sheet="1" objects="1" scenarios="1"/>
  <mergeCells count="1">
    <mergeCell ref="L1:L85"/>
  </mergeCells>
  <printOptions horizontalCentered="1"/>
  <pageMargins left="0" right="0" top="0" bottom="0" header="0.5" footer="0.5"/>
  <pageSetup fitToHeight="0" fitToWidth="1" horizontalDpi="600" verticalDpi="600" orientation="portrait" scale="66" r:id="rId3"/>
  <rowBreaks count="1" manualBreakCount="1">
    <brk id="62" max="10" man="1"/>
  </rowBreaks>
  <legacyDrawing r:id="rId2"/>
</worksheet>
</file>

<file path=xl/worksheets/sheet31.xml><?xml version="1.0" encoding="utf-8"?>
<worksheet xmlns="http://schemas.openxmlformats.org/spreadsheetml/2006/main" xmlns:r="http://schemas.openxmlformats.org/officeDocument/2006/relationships">
  <sheetPr>
    <pageSetUpPr fitToPage="1"/>
  </sheetPr>
  <dimension ref="B1:L73"/>
  <sheetViews>
    <sheetView zoomScalePageLayoutView="0" workbookViewId="0" topLeftCell="A1">
      <selection activeCell="A1" sqref="A1"/>
    </sheetView>
  </sheetViews>
  <sheetFormatPr defaultColWidth="8.88671875" defaultRowHeight="15"/>
  <cols>
    <col min="1" max="1" width="1.77734375" style="630" customWidth="1"/>
    <col min="2" max="2" width="8.3359375" style="630" customWidth="1"/>
    <col min="3" max="3" width="37.6640625" style="630" customWidth="1"/>
    <col min="4" max="4" width="7.99609375" style="630" customWidth="1"/>
    <col min="5" max="10" width="12.21484375" style="630" customWidth="1"/>
    <col min="11" max="11" width="1.88671875" style="630" customWidth="1"/>
    <col min="12" max="16384" width="8.88671875" style="630" customWidth="1"/>
  </cols>
  <sheetData>
    <row r="1" spans="2:12" ht="18">
      <c r="B1" s="35"/>
      <c r="C1" s="33" t="str">
        <f>"T4PS-"&amp;yeartext&amp;" SLIPS DATA ENTRY"</f>
        <v>T4PS-2009 SLIPS DATA ENTRY</v>
      </c>
      <c r="D1" s="322" t="s">
        <v>1403</v>
      </c>
      <c r="E1" s="322"/>
      <c r="F1" s="35"/>
      <c r="G1" s="35"/>
      <c r="H1" s="36"/>
      <c r="I1" s="35"/>
      <c r="J1" s="36"/>
      <c r="K1" s="36" t="str">
        <f>yeartext</f>
        <v>2009</v>
      </c>
      <c r="L1" s="1566" t="s">
        <v>35</v>
      </c>
    </row>
    <row r="2" spans="2:12" ht="18">
      <c r="B2" s="35"/>
      <c r="C2" s="35"/>
      <c r="D2" s="322" t="s">
        <v>974</v>
      </c>
      <c r="E2" s="629"/>
      <c r="F2" s="35"/>
      <c r="G2" s="35"/>
      <c r="H2" s="35"/>
      <c r="I2" s="35"/>
      <c r="J2" s="35"/>
      <c r="K2" s="629"/>
      <c r="L2" s="1566"/>
    </row>
    <row r="3" spans="2:12" ht="18">
      <c r="B3" s="38"/>
      <c r="C3" s="38" t="s">
        <v>2047</v>
      </c>
      <c r="D3" s="35"/>
      <c r="E3" s="37"/>
      <c r="F3" s="35"/>
      <c r="G3" s="35"/>
      <c r="H3" s="35"/>
      <c r="I3" s="35"/>
      <c r="J3" s="35"/>
      <c r="K3" s="629"/>
      <c r="L3" s="1566"/>
    </row>
    <row r="4" spans="2:12" ht="18">
      <c r="B4" s="38"/>
      <c r="C4" s="38" t="s">
        <v>2048</v>
      </c>
      <c r="D4" s="35"/>
      <c r="E4" s="37"/>
      <c r="F4" s="35"/>
      <c r="G4" s="35"/>
      <c r="H4" s="35"/>
      <c r="I4" s="35"/>
      <c r="J4" s="35"/>
      <c r="K4" s="629"/>
      <c r="L4" s="1566"/>
    </row>
    <row r="5" spans="2:12" ht="18">
      <c r="B5" s="38"/>
      <c r="C5" s="38" t="s">
        <v>2049</v>
      </c>
      <c r="D5" s="35"/>
      <c r="E5" s="37"/>
      <c r="F5" s="35"/>
      <c r="G5" s="35"/>
      <c r="H5" s="35"/>
      <c r="I5" s="35"/>
      <c r="J5" s="35"/>
      <c r="K5" s="629"/>
      <c r="L5" s="1566"/>
    </row>
    <row r="6" spans="2:12" ht="18">
      <c r="B6" s="38"/>
      <c r="C6" s="38" t="s">
        <v>1320</v>
      </c>
      <c r="D6" s="35"/>
      <c r="E6" s="37"/>
      <c r="F6" s="35"/>
      <c r="G6" s="35"/>
      <c r="H6" s="35"/>
      <c r="I6" s="35"/>
      <c r="J6" s="35"/>
      <c r="K6" s="629"/>
      <c r="L6" s="1566"/>
    </row>
    <row r="7" spans="2:12" ht="18">
      <c r="B7" s="38"/>
      <c r="C7" s="38" t="s">
        <v>1752</v>
      </c>
      <c r="D7" s="35"/>
      <c r="E7" s="37"/>
      <c r="F7" s="35"/>
      <c r="G7" s="35"/>
      <c r="H7" s="35"/>
      <c r="I7" s="35"/>
      <c r="J7" s="35"/>
      <c r="K7" s="629"/>
      <c r="L7" s="1566"/>
    </row>
    <row r="8" spans="2:12" ht="18">
      <c r="B8" s="38"/>
      <c r="C8" s="38" t="s">
        <v>1364</v>
      </c>
      <c r="D8" s="35"/>
      <c r="E8" s="37"/>
      <c r="F8" s="35"/>
      <c r="G8" s="35"/>
      <c r="H8" s="35"/>
      <c r="I8" s="35"/>
      <c r="J8" s="35"/>
      <c r="K8" s="629"/>
      <c r="L8" s="1566"/>
    </row>
    <row r="9" spans="2:12" ht="18">
      <c r="B9" s="38"/>
      <c r="C9" s="38" t="s">
        <v>2365</v>
      </c>
      <c r="D9" s="35"/>
      <c r="E9" s="37"/>
      <c r="F9" s="35"/>
      <c r="G9" s="35"/>
      <c r="H9" s="35"/>
      <c r="I9" s="35"/>
      <c r="J9" s="35"/>
      <c r="K9" s="629"/>
      <c r="L9" s="1566"/>
    </row>
    <row r="10" spans="2:12" ht="18">
      <c r="B10" s="38"/>
      <c r="C10" s="38" t="s">
        <v>2408</v>
      </c>
      <c r="D10" s="35"/>
      <c r="E10" s="37"/>
      <c r="F10" s="35"/>
      <c r="G10" s="35"/>
      <c r="H10" s="35"/>
      <c r="I10" s="35"/>
      <c r="J10" s="35"/>
      <c r="K10" s="629"/>
      <c r="L10" s="1566"/>
    </row>
    <row r="11" spans="2:12" ht="18">
      <c r="B11" s="38"/>
      <c r="C11" s="38" t="s">
        <v>852</v>
      </c>
      <c r="D11" s="35"/>
      <c r="E11" s="37"/>
      <c r="F11" s="35"/>
      <c r="G11" s="35"/>
      <c r="H11" s="35"/>
      <c r="I11" s="35"/>
      <c r="J11" s="35"/>
      <c r="K11" s="629"/>
      <c r="L11" s="1566"/>
    </row>
    <row r="12" spans="2:12" ht="18">
      <c r="B12" s="38"/>
      <c r="C12" s="38" t="s">
        <v>660</v>
      </c>
      <c r="D12" s="35"/>
      <c r="E12" s="37"/>
      <c r="F12" s="35"/>
      <c r="G12" s="35"/>
      <c r="H12" s="35"/>
      <c r="I12" s="35"/>
      <c r="J12" s="35"/>
      <c r="K12" s="629"/>
      <c r="L12" s="1566"/>
    </row>
    <row r="13" spans="2:12" ht="18">
      <c r="B13" s="38"/>
      <c r="C13" s="38"/>
      <c r="D13" s="35"/>
      <c r="E13" s="37"/>
      <c r="F13" s="35"/>
      <c r="G13" s="35"/>
      <c r="H13" s="35"/>
      <c r="I13" s="35"/>
      <c r="J13" s="35"/>
      <c r="K13" s="629"/>
      <c r="L13" s="1566"/>
    </row>
    <row r="14" spans="2:12" ht="18">
      <c r="B14" s="38"/>
      <c r="C14" s="38"/>
      <c r="D14" s="35"/>
      <c r="E14" s="37"/>
      <c r="F14" s="35"/>
      <c r="G14" s="35"/>
      <c r="H14" s="35"/>
      <c r="I14" s="35"/>
      <c r="J14" s="35"/>
      <c r="K14" s="629"/>
      <c r="L14" s="1566"/>
    </row>
    <row r="15" spans="2:12" ht="40.5" customHeight="1">
      <c r="B15" s="41" t="s">
        <v>855</v>
      </c>
      <c r="C15" s="41" t="s">
        <v>1068</v>
      </c>
      <c r="D15" s="41" t="s">
        <v>673</v>
      </c>
      <c r="E15" s="41" t="s">
        <v>1365</v>
      </c>
      <c r="F15" s="41" t="s">
        <v>1366</v>
      </c>
      <c r="G15" s="41" t="s">
        <v>1367</v>
      </c>
      <c r="H15" s="41" t="s">
        <v>1368</v>
      </c>
      <c r="I15" s="41" t="s">
        <v>2364</v>
      </c>
      <c r="J15" s="42" t="s">
        <v>1217</v>
      </c>
      <c r="K15" s="629"/>
      <c r="L15" s="1566"/>
    </row>
    <row r="16" spans="2:12" ht="18">
      <c r="B16" s="35"/>
      <c r="C16" s="38"/>
      <c r="D16" s="38"/>
      <c r="E16" s="37"/>
      <c r="F16" s="35"/>
      <c r="G16" s="35"/>
      <c r="H16" s="35"/>
      <c r="I16" s="35"/>
      <c r="J16" s="35"/>
      <c r="K16" s="629"/>
      <c r="L16" s="1566"/>
    </row>
    <row r="17" spans="2:12" ht="18">
      <c r="B17" s="35"/>
      <c r="C17" s="327" t="s">
        <v>1709</v>
      </c>
      <c r="D17" s="327"/>
      <c r="E17" s="345"/>
      <c r="F17" s="345"/>
      <c r="G17" s="345"/>
      <c r="H17" s="345"/>
      <c r="I17" s="345"/>
      <c r="J17" s="35" t="s">
        <v>48</v>
      </c>
      <c r="K17" s="629"/>
      <c r="L17" s="1566"/>
    </row>
    <row r="18" spans="2:12" ht="18">
      <c r="B18" s="35"/>
      <c r="C18" s="327"/>
      <c r="D18" s="327"/>
      <c r="E18" s="37"/>
      <c r="F18" s="35"/>
      <c r="G18" s="35"/>
      <c r="H18" s="35"/>
      <c r="I18" s="35"/>
      <c r="J18" s="35"/>
      <c r="K18" s="629"/>
      <c r="L18" s="1566"/>
    </row>
    <row r="19" spans="2:12" ht="18">
      <c r="B19" s="35"/>
      <c r="C19" s="1808" t="s">
        <v>75</v>
      </c>
      <c r="D19" s="327"/>
      <c r="E19" s="37"/>
      <c r="F19" s="35"/>
      <c r="G19" s="35"/>
      <c r="H19" s="35"/>
      <c r="I19" s="35"/>
      <c r="J19" s="35"/>
      <c r="K19" s="629"/>
      <c r="L19" s="1566"/>
    </row>
    <row r="20" spans="2:12" ht="18">
      <c r="B20" s="35"/>
      <c r="C20" s="1809"/>
      <c r="D20" s="1090" t="s">
        <v>956</v>
      </c>
      <c r="E20" s="328"/>
      <c r="F20" s="264"/>
      <c r="G20" s="264"/>
      <c r="H20" s="264"/>
      <c r="I20" s="264"/>
      <c r="J20" s="631">
        <f>SUM(E20:I20)</f>
        <v>0</v>
      </c>
      <c r="K20" s="629"/>
      <c r="L20" s="1566"/>
    </row>
    <row r="21" spans="2:12" ht="18">
      <c r="B21" s="35"/>
      <c r="C21" s="327"/>
      <c r="D21" s="33"/>
      <c r="E21" s="37"/>
      <c r="F21" s="35"/>
      <c r="G21" s="35"/>
      <c r="H21" s="35"/>
      <c r="I21" s="35"/>
      <c r="J21" s="35"/>
      <c r="K21" s="629"/>
      <c r="L21" s="1566"/>
    </row>
    <row r="22" spans="2:12" ht="18">
      <c r="B22" s="56" t="s">
        <v>598</v>
      </c>
      <c r="C22" s="1808" t="s">
        <v>76</v>
      </c>
      <c r="D22" s="33"/>
      <c r="E22" s="37"/>
      <c r="F22" s="35"/>
      <c r="G22" s="35"/>
      <c r="H22" s="35"/>
      <c r="I22" s="35"/>
      <c r="J22" s="35"/>
      <c r="K22" s="629"/>
      <c r="L22" s="1566"/>
    </row>
    <row r="23" spans="2:12" ht="18">
      <c r="B23" s="56" t="s">
        <v>1894</v>
      </c>
      <c r="C23" s="1809"/>
      <c r="D23" s="1090" t="s">
        <v>1712</v>
      </c>
      <c r="E23" s="328"/>
      <c r="F23" s="264"/>
      <c r="G23" s="264"/>
      <c r="H23" s="264"/>
      <c r="I23" s="264"/>
      <c r="J23" s="631">
        <f>SUM(E23:I23)</f>
        <v>0</v>
      </c>
      <c r="K23" s="629"/>
      <c r="L23" s="1566"/>
    </row>
    <row r="24" spans="2:12" ht="18">
      <c r="B24" s="35"/>
      <c r="C24" s="327"/>
      <c r="D24" s="1090"/>
      <c r="E24" s="37"/>
      <c r="F24" s="35"/>
      <c r="G24" s="35"/>
      <c r="H24" s="35"/>
      <c r="I24" s="35"/>
      <c r="J24" s="35"/>
      <c r="K24" s="629"/>
      <c r="L24" s="1566"/>
    </row>
    <row r="25" spans="2:12" ht="18">
      <c r="B25" s="35"/>
      <c r="C25" s="1808" t="s">
        <v>594</v>
      </c>
      <c r="D25" s="1090"/>
      <c r="E25" s="37"/>
      <c r="F25" s="35"/>
      <c r="G25" s="35"/>
      <c r="H25" s="35"/>
      <c r="I25" s="35"/>
      <c r="J25" s="35"/>
      <c r="K25" s="629"/>
      <c r="L25" s="1566"/>
    </row>
    <row r="26" spans="2:12" ht="18">
      <c r="B26" s="56" t="s">
        <v>2379</v>
      </c>
      <c r="C26" s="1809"/>
      <c r="D26" s="1090" t="s">
        <v>958</v>
      </c>
      <c r="E26" s="328">
        <f>E23*0.133333</f>
        <v>0</v>
      </c>
      <c r="F26" s="328">
        <f>F23*0.133333</f>
        <v>0</v>
      </c>
      <c r="G26" s="328">
        <f>G23*0.133333</f>
        <v>0</v>
      </c>
      <c r="H26" s="328">
        <f>H23*0.133333</f>
        <v>0</v>
      </c>
      <c r="I26" s="328">
        <f>I23*0.133333</f>
        <v>0</v>
      </c>
      <c r="J26" s="631">
        <f>SUM(E26:I26)</f>
        <v>0</v>
      </c>
      <c r="K26" s="629"/>
      <c r="L26" s="1566"/>
    </row>
    <row r="27" spans="2:12" ht="18">
      <c r="B27" s="35"/>
      <c r="C27" s="38"/>
      <c r="D27" s="327"/>
      <c r="E27" s="37"/>
      <c r="F27" s="35"/>
      <c r="G27" s="35"/>
      <c r="H27" s="35"/>
      <c r="I27" s="35"/>
      <c r="J27" s="35"/>
      <c r="K27" s="629"/>
      <c r="L27" s="1566"/>
    </row>
    <row r="28" spans="2:12" ht="18">
      <c r="B28" s="46"/>
      <c r="C28" s="327" t="s">
        <v>595</v>
      </c>
      <c r="D28" s="313" t="s">
        <v>716</v>
      </c>
      <c r="E28" s="328"/>
      <c r="F28" s="328"/>
      <c r="G28" s="328"/>
      <c r="H28" s="328"/>
      <c r="I28" s="328"/>
      <c r="J28" s="631">
        <f>SUM(E28:I28)</f>
        <v>0</v>
      </c>
      <c r="K28" s="629"/>
      <c r="L28" s="1566"/>
    </row>
    <row r="29" spans="2:12" ht="18">
      <c r="B29" s="35"/>
      <c r="C29" s="38"/>
      <c r="D29" s="313"/>
      <c r="E29" s="37"/>
      <c r="F29" s="35"/>
      <c r="G29" s="35"/>
      <c r="H29" s="37"/>
      <c r="I29" s="35"/>
      <c r="J29" s="35"/>
      <c r="K29" s="629"/>
      <c r="L29" s="1566"/>
    </row>
    <row r="30" spans="2:12" ht="18">
      <c r="B30" s="56">
        <v>120</v>
      </c>
      <c r="C30" s="1091" t="s">
        <v>596</v>
      </c>
      <c r="D30" s="313" t="s">
        <v>717</v>
      </c>
      <c r="E30" s="328"/>
      <c r="F30" s="328"/>
      <c r="G30" s="328"/>
      <c r="H30" s="328"/>
      <c r="I30" s="328"/>
      <c r="J30" s="631">
        <f>SUM(E30:I30)</f>
        <v>0</v>
      </c>
      <c r="K30" s="629"/>
      <c r="L30" s="1566"/>
    </row>
    <row r="31" spans="2:12" ht="18">
      <c r="B31" s="33"/>
      <c r="C31" s="322"/>
      <c r="D31" s="313"/>
      <c r="E31" s="33"/>
      <c r="F31" s="33"/>
      <c r="G31" s="33"/>
      <c r="H31" s="33"/>
      <c r="I31" s="33"/>
      <c r="J31" s="33"/>
      <c r="K31" s="629"/>
      <c r="L31" s="1566"/>
    </row>
    <row r="32" spans="2:12" ht="18">
      <c r="B32" s="33"/>
      <c r="C32" s="1808" t="s">
        <v>597</v>
      </c>
      <c r="D32" s="313"/>
      <c r="E32" s="33"/>
      <c r="F32" s="33"/>
      <c r="G32" s="33"/>
      <c r="H32" s="33"/>
      <c r="I32" s="33"/>
      <c r="J32" s="33"/>
      <c r="K32" s="629"/>
      <c r="L32" s="1566"/>
    </row>
    <row r="33" spans="2:12" ht="18">
      <c r="B33" s="56" t="s">
        <v>2379</v>
      </c>
      <c r="C33" s="1810"/>
      <c r="D33" s="313" t="s">
        <v>718</v>
      </c>
      <c r="E33" s="328">
        <f>E30*0.189655</f>
        <v>0</v>
      </c>
      <c r="F33" s="328">
        <f>F30*0.189655</f>
        <v>0</v>
      </c>
      <c r="G33" s="328">
        <f>G30*0.189655</f>
        <v>0</v>
      </c>
      <c r="H33" s="328">
        <f>H30*0.189655</f>
        <v>0</v>
      </c>
      <c r="I33" s="328">
        <f>I30*0.189655</f>
        <v>0</v>
      </c>
      <c r="J33" s="631">
        <f>SUM(E33:I33)</f>
        <v>0</v>
      </c>
      <c r="K33" s="629"/>
      <c r="L33" s="1566"/>
    </row>
    <row r="34" spans="2:12" ht="18">
      <c r="B34" s="35"/>
      <c r="C34" s="38"/>
      <c r="D34" s="313"/>
      <c r="E34" s="33"/>
      <c r="F34" s="35"/>
      <c r="G34" s="35"/>
      <c r="H34" s="35"/>
      <c r="I34" s="35"/>
      <c r="J34" s="35"/>
      <c r="K34" s="629"/>
      <c r="L34" s="1566"/>
    </row>
    <row r="35" spans="2:12" ht="18">
      <c r="B35" s="56" t="s">
        <v>54</v>
      </c>
      <c r="C35" s="327" t="s">
        <v>1672</v>
      </c>
      <c r="D35" s="313" t="s">
        <v>2011</v>
      </c>
      <c r="E35" s="328"/>
      <c r="F35" s="328"/>
      <c r="G35" s="328"/>
      <c r="H35" s="328"/>
      <c r="I35" s="328"/>
      <c r="J35" s="631">
        <f>SUM(E35:I35)</f>
        <v>0</v>
      </c>
      <c r="K35" s="629"/>
      <c r="L35" s="1566"/>
    </row>
    <row r="36" spans="2:12" ht="18">
      <c r="B36" s="341"/>
      <c r="C36" s="38"/>
      <c r="D36" s="313"/>
      <c r="E36" s="33"/>
      <c r="F36" s="35"/>
      <c r="G36" s="35"/>
      <c r="H36" s="35"/>
      <c r="I36" s="35"/>
      <c r="J36" s="35"/>
      <c r="K36" s="629"/>
      <c r="L36" s="1566"/>
    </row>
    <row r="37" spans="2:12" ht="18">
      <c r="B37" s="46" t="s">
        <v>116</v>
      </c>
      <c r="C37" s="327" t="s">
        <v>1915</v>
      </c>
      <c r="D37" s="313" t="s">
        <v>711</v>
      </c>
      <c r="E37" s="328"/>
      <c r="F37" s="328"/>
      <c r="G37" s="328"/>
      <c r="H37" s="328"/>
      <c r="I37" s="328"/>
      <c r="J37" s="631">
        <f>SUM(E37:I37)</f>
        <v>0</v>
      </c>
      <c r="K37" s="629"/>
      <c r="L37" s="1566"/>
    </row>
    <row r="38" spans="2:12" ht="18">
      <c r="B38" s="35"/>
      <c r="C38" s="38"/>
      <c r="D38" s="327"/>
      <c r="E38" s="37"/>
      <c r="F38" s="35"/>
      <c r="G38" s="35"/>
      <c r="H38" s="35"/>
      <c r="I38" s="35"/>
      <c r="J38" s="35"/>
      <c r="K38" s="629"/>
      <c r="L38" s="1566"/>
    </row>
    <row r="39" spans="2:12" ht="18">
      <c r="B39" s="46" t="s">
        <v>1693</v>
      </c>
      <c r="C39" s="327" t="s">
        <v>1670</v>
      </c>
      <c r="D39" s="313" t="s">
        <v>715</v>
      </c>
      <c r="E39" s="328"/>
      <c r="F39" s="328"/>
      <c r="G39" s="328"/>
      <c r="H39" s="328"/>
      <c r="I39" s="328"/>
      <c r="J39" s="631">
        <f>SUM(E39:I39)</f>
        <v>0</v>
      </c>
      <c r="K39" s="629"/>
      <c r="L39" s="1566"/>
    </row>
    <row r="40" spans="2:12" ht="18">
      <c r="B40" s="35"/>
      <c r="C40" s="327" t="s">
        <v>1671</v>
      </c>
      <c r="D40" s="313"/>
      <c r="E40" s="37"/>
      <c r="F40" s="35"/>
      <c r="G40" s="35"/>
      <c r="H40" s="37"/>
      <c r="I40" s="35"/>
      <c r="J40" s="35"/>
      <c r="K40" s="629"/>
      <c r="L40" s="1566"/>
    </row>
    <row r="41" spans="2:12" ht="18">
      <c r="B41" s="56" t="s">
        <v>2381</v>
      </c>
      <c r="C41" s="327" t="s">
        <v>215</v>
      </c>
      <c r="D41" s="313" t="s">
        <v>1231</v>
      </c>
      <c r="E41" s="328"/>
      <c r="F41" s="328"/>
      <c r="G41" s="328"/>
      <c r="H41" s="328"/>
      <c r="I41" s="328"/>
      <c r="J41" s="631">
        <f>SUM(E41:I41)</f>
        <v>0</v>
      </c>
      <c r="K41" s="629"/>
      <c r="L41" s="1566"/>
    </row>
    <row r="42" spans="2:12" ht="18">
      <c r="B42" s="33"/>
      <c r="C42" s="344" t="s">
        <v>1064</v>
      </c>
      <c r="D42" s="313"/>
      <c r="E42" s="33"/>
      <c r="F42" s="33"/>
      <c r="G42" s="33"/>
      <c r="H42" s="33"/>
      <c r="I42" s="33"/>
      <c r="J42" s="33"/>
      <c r="K42" s="629"/>
      <c r="L42" s="1566"/>
    </row>
    <row r="43" spans="2:12" ht="18">
      <c r="B43" s="56" t="s">
        <v>2381</v>
      </c>
      <c r="C43" s="327" t="s">
        <v>699</v>
      </c>
      <c r="D43" s="313" t="s">
        <v>1697</v>
      </c>
      <c r="E43" s="328"/>
      <c r="F43" s="328"/>
      <c r="G43" s="328"/>
      <c r="H43" s="328"/>
      <c r="I43" s="328"/>
      <c r="J43" s="631">
        <f>SUM(E43:I43)</f>
        <v>0</v>
      </c>
      <c r="K43" s="629"/>
      <c r="L43" s="1566"/>
    </row>
    <row r="44" spans="2:12" ht="18">
      <c r="B44" s="35"/>
      <c r="C44" s="38" t="s">
        <v>1064</v>
      </c>
      <c r="D44" s="313"/>
      <c r="E44" s="33"/>
      <c r="F44" s="35"/>
      <c r="G44" s="35"/>
      <c r="H44" s="35"/>
      <c r="I44" s="35"/>
      <c r="J44" s="35"/>
      <c r="K44" s="629"/>
      <c r="L44" s="1566"/>
    </row>
    <row r="45" spans="2:12" ht="18">
      <c r="B45" s="46" t="s">
        <v>2380</v>
      </c>
      <c r="C45" s="327" t="s">
        <v>729</v>
      </c>
      <c r="D45" s="313" t="s">
        <v>666</v>
      </c>
      <c r="E45" s="328"/>
      <c r="F45" s="328"/>
      <c r="G45" s="328"/>
      <c r="H45" s="328"/>
      <c r="I45" s="328"/>
      <c r="J45" s="631">
        <f>SUM(E45:I45)</f>
        <v>0</v>
      </c>
      <c r="K45" s="629"/>
      <c r="L45" s="1566"/>
    </row>
    <row r="46" spans="2:12" ht="18">
      <c r="B46" s="341"/>
      <c r="C46" s="38" t="s">
        <v>1064</v>
      </c>
      <c r="D46" s="35"/>
      <c r="E46" s="37"/>
      <c r="F46" s="35"/>
      <c r="G46" s="35"/>
      <c r="H46" s="35"/>
      <c r="I46" s="35"/>
      <c r="J46" s="35"/>
      <c r="K46" s="629"/>
      <c r="L46" s="1566"/>
    </row>
    <row r="47" spans="2:12" ht="18.75" thickBot="1">
      <c r="B47" s="298"/>
      <c r="C47" s="299"/>
      <c r="D47" s="298"/>
      <c r="E47" s="300"/>
      <c r="F47" s="301"/>
      <c r="G47" s="301"/>
      <c r="H47" s="632"/>
      <c r="I47" s="301"/>
      <c r="J47" s="633"/>
      <c r="K47" s="634"/>
      <c r="L47" s="1566"/>
    </row>
    <row r="48" spans="2:12" ht="18">
      <c r="B48" s="46"/>
      <c r="C48" s="33" t="str">
        <f>"T4PS-"&amp;yeartext&amp;" GENERAL DATA ENTRY"</f>
        <v>T4PS-2009 GENERAL DATA ENTRY</v>
      </c>
      <c r="D48" s="33"/>
      <c r="E48" s="322" t="s">
        <v>1433</v>
      </c>
      <c r="F48" s="35"/>
      <c r="G48" s="35"/>
      <c r="H48" s="36"/>
      <c r="I48" s="35"/>
      <c r="J48" s="36" t="str">
        <f>yeartext</f>
        <v>2009</v>
      </c>
      <c r="K48" s="629"/>
      <c r="L48" s="1566"/>
    </row>
    <row r="49" spans="2:12" ht="18">
      <c r="B49" s="46"/>
      <c r="C49" s="49"/>
      <c r="D49" s="46"/>
      <c r="E49" s="322" t="s">
        <v>974</v>
      </c>
      <c r="F49" s="48"/>
      <c r="G49" s="48"/>
      <c r="H49" s="635"/>
      <c r="I49" s="48"/>
      <c r="J49" s="636"/>
      <c r="K49" s="629"/>
      <c r="L49" s="1566"/>
    </row>
    <row r="50" spans="2:12" ht="18">
      <c r="B50" s="46"/>
      <c r="C50" s="49"/>
      <c r="D50" s="46"/>
      <c r="E50" s="322"/>
      <c r="F50" s="48"/>
      <c r="G50" s="48"/>
      <c r="H50" s="635"/>
      <c r="I50" s="48"/>
      <c r="J50" s="636"/>
      <c r="K50" s="629"/>
      <c r="L50" s="1566"/>
    </row>
    <row r="51" spans="2:12" ht="18">
      <c r="B51" s="46"/>
      <c r="C51" s="41" t="s">
        <v>114</v>
      </c>
      <c r="D51" s="41" t="s">
        <v>855</v>
      </c>
      <c r="E51" s="41" t="s">
        <v>115</v>
      </c>
      <c r="F51" s="329"/>
      <c r="G51" s="340" t="s">
        <v>1533</v>
      </c>
      <c r="H51" s="329"/>
      <c r="I51" s="329"/>
      <c r="J51" s="329"/>
      <c r="K51" s="629"/>
      <c r="L51" s="1566"/>
    </row>
    <row r="52" spans="2:12" ht="18">
      <c r="B52" s="46"/>
      <c r="C52" s="302" t="s">
        <v>113</v>
      </c>
      <c r="D52" s="303" t="s">
        <v>116</v>
      </c>
      <c r="E52" s="334">
        <f>J37</f>
        <v>0</v>
      </c>
      <c r="F52" s="330"/>
      <c r="G52" s="340" t="s">
        <v>1534</v>
      </c>
      <c r="H52" s="330"/>
      <c r="I52" s="330"/>
      <c r="J52" s="330"/>
      <c r="K52" s="629"/>
      <c r="L52" s="1566"/>
    </row>
    <row r="53" spans="2:12" ht="18">
      <c r="B53" s="46"/>
      <c r="C53" s="296" t="s">
        <v>113</v>
      </c>
      <c r="D53" s="297" t="s">
        <v>1894</v>
      </c>
      <c r="E53" s="334">
        <f>J23+J30</f>
        <v>0</v>
      </c>
      <c r="F53" s="330"/>
      <c r="G53" s="340"/>
      <c r="H53" s="330"/>
      <c r="I53" s="330"/>
      <c r="J53" s="330"/>
      <c r="K53" s="629"/>
      <c r="L53" s="1566"/>
    </row>
    <row r="54" spans="2:12" ht="18">
      <c r="B54" s="46"/>
      <c r="C54" s="296" t="s">
        <v>113</v>
      </c>
      <c r="D54" s="297" t="s">
        <v>598</v>
      </c>
      <c r="E54" s="334">
        <f>J23</f>
        <v>0</v>
      </c>
      <c r="F54" s="330"/>
      <c r="G54" s="340"/>
      <c r="H54" s="330"/>
      <c r="I54" s="330"/>
      <c r="J54" s="330"/>
      <c r="K54" s="629"/>
      <c r="L54" s="1566"/>
    </row>
    <row r="55" spans="2:12" ht="18">
      <c r="B55" s="46"/>
      <c r="C55" s="296" t="s">
        <v>117</v>
      </c>
      <c r="D55" s="297" t="s">
        <v>1693</v>
      </c>
      <c r="E55" s="334">
        <f>J39</f>
        <v>0</v>
      </c>
      <c r="F55" s="330"/>
      <c r="G55" s="330" t="s">
        <v>670</v>
      </c>
      <c r="H55" s="330"/>
      <c r="I55" s="330"/>
      <c r="J55" s="330"/>
      <c r="K55" s="629"/>
      <c r="L55" s="1566"/>
    </row>
    <row r="56" spans="2:12" ht="18">
      <c r="B56" s="46"/>
      <c r="C56" s="296" t="s">
        <v>1890</v>
      </c>
      <c r="D56" s="297" t="s">
        <v>2379</v>
      </c>
      <c r="E56" s="334">
        <f>J26+J33</f>
        <v>0</v>
      </c>
      <c r="F56" s="340"/>
      <c r="G56" s="330" t="s">
        <v>671</v>
      </c>
      <c r="H56" s="340"/>
      <c r="I56" s="340"/>
      <c r="J56" s="330"/>
      <c r="K56" s="629"/>
      <c r="L56" s="1566"/>
    </row>
    <row r="57" spans="2:12" ht="18">
      <c r="B57" s="46"/>
      <c r="C57" s="296" t="s">
        <v>1064</v>
      </c>
      <c r="D57" s="297" t="s">
        <v>2380</v>
      </c>
      <c r="E57" s="334">
        <f>J45</f>
        <v>0</v>
      </c>
      <c r="F57" s="340"/>
      <c r="G57" s="330"/>
      <c r="H57" s="340"/>
      <c r="I57" s="340"/>
      <c r="J57" s="330"/>
      <c r="K57" s="629"/>
      <c r="L57" s="1566"/>
    </row>
    <row r="58" spans="2:12" ht="18">
      <c r="B58" s="46"/>
      <c r="C58" s="296" t="s">
        <v>1064</v>
      </c>
      <c r="D58" s="297" t="s">
        <v>2381</v>
      </c>
      <c r="E58" s="334">
        <f>J41+J43</f>
        <v>0</v>
      </c>
      <c r="F58" s="340"/>
      <c r="G58" s="330" t="s">
        <v>2363</v>
      </c>
      <c r="H58" s="340"/>
      <c r="I58" s="340"/>
      <c r="J58" s="330"/>
      <c r="K58" s="629"/>
      <c r="L58" s="1566"/>
    </row>
    <row r="59" spans="2:12" ht="18">
      <c r="B59" s="46"/>
      <c r="C59" s="296" t="s">
        <v>2378</v>
      </c>
      <c r="D59" s="297" t="s">
        <v>54</v>
      </c>
      <c r="E59" s="334">
        <f>J35</f>
        <v>0</v>
      </c>
      <c r="F59" s="340"/>
      <c r="G59" s="330" t="s">
        <v>1532</v>
      </c>
      <c r="H59" s="330"/>
      <c r="I59" s="330"/>
      <c r="J59" s="330"/>
      <c r="K59" s="629"/>
      <c r="L59" s="1566"/>
    </row>
    <row r="60" spans="2:12" ht="18">
      <c r="B60" s="46"/>
      <c r="C60" s="49"/>
      <c r="D60" s="46"/>
      <c r="E60" s="51"/>
      <c r="F60" s="48"/>
      <c r="G60" s="48"/>
      <c r="H60" s="635"/>
      <c r="I60" s="48"/>
      <c r="J60" s="636"/>
      <c r="K60" s="629"/>
      <c r="L60" s="1566"/>
    </row>
    <row r="61" spans="2:12" ht="18">
      <c r="B61" s="46"/>
      <c r="C61" s="49"/>
      <c r="D61" s="46"/>
      <c r="E61" s="51"/>
      <c r="F61" s="48"/>
      <c r="G61" s="48"/>
      <c r="H61" s="635"/>
      <c r="I61" s="48"/>
      <c r="J61" s="636"/>
      <c r="K61" s="629"/>
      <c r="L61" s="1566"/>
    </row>
    <row r="62" spans="2:4" ht="15">
      <c r="B62" s="637"/>
      <c r="D62" s="55"/>
    </row>
    <row r="63" spans="2:4" ht="15">
      <c r="B63" s="637"/>
      <c r="D63" s="55"/>
    </row>
    <row r="64" spans="2:4" ht="15">
      <c r="B64" s="637"/>
      <c r="D64" s="55"/>
    </row>
    <row r="65" spans="2:4" ht="15">
      <c r="B65" s="637"/>
      <c r="D65" s="55"/>
    </row>
    <row r="66" spans="2:4" ht="15">
      <c r="B66" s="637"/>
      <c r="D66" s="55"/>
    </row>
    <row r="67" spans="2:4" ht="15">
      <c r="B67" s="637"/>
      <c r="D67" s="55"/>
    </row>
    <row r="68" spans="2:4" ht="15">
      <c r="B68" s="637"/>
      <c r="D68" s="55"/>
    </row>
    <row r="69" spans="2:4" ht="15">
      <c r="B69" s="637"/>
      <c r="D69" s="55"/>
    </row>
    <row r="70" spans="2:4" ht="15">
      <c r="B70" s="637"/>
      <c r="D70" s="55"/>
    </row>
    <row r="71" spans="2:4" ht="15">
      <c r="B71" s="637"/>
      <c r="D71" s="55"/>
    </row>
    <row r="72" spans="2:4" ht="15">
      <c r="B72" s="637"/>
      <c r="D72" s="55"/>
    </row>
    <row r="73" spans="2:4" ht="15">
      <c r="B73" s="637"/>
      <c r="D73" s="55"/>
    </row>
  </sheetData>
  <sheetProtection password="EC35" sheet="1" objects="1" scenarios="1"/>
  <mergeCells count="5">
    <mergeCell ref="L1:L61"/>
    <mergeCell ref="C19:C20"/>
    <mergeCell ref="C22:C23"/>
    <mergeCell ref="C25:C26"/>
    <mergeCell ref="C32:C33"/>
  </mergeCells>
  <printOptions horizontalCentered="1"/>
  <pageMargins left="0" right="0" top="0" bottom="0" header="0.5" footer="0.5"/>
  <pageSetup fitToHeight="0" fitToWidth="1" horizontalDpi="600" verticalDpi="600" orientation="portrait" scale="65" r:id="rId3"/>
  <legacyDrawing r:id="rId2"/>
</worksheet>
</file>

<file path=xl/worksheets/sheet32.xml><?xml version="1.0" encoding="utf-8"?>
<worksheet xmlns="http://schemas.openxmlformats.org/spreadsheetml/2006/main" xmlns:r="http://schemas.openxmlformats.org/officeDocument/2006/relationships">
  <sheetPr>
    <pageSetUpPr fitToPage="1"/>
  </sheetPr>
  <dimension ref="B1:M74"/>
  <sheetViews>
    <sheetView zoomScalePageLayoutView="0" workbookViewId="0" topLeftCell="A1">
      <selection activeCell="A1" sqref="A1"/>
    </sheetView>
  </sheetViews>
  <sheetFormatPr defaultColWidth="8.88671875" defaultRowHeight="15"/>
  <cols>
    <col min="1" max="1" width="1.77734375" style="630" customWidth="1"/>
    <col min="2" max="2" width="8.3359375" style="630" customWidth="1"/>
    <col min="3" max="3" width="37.88671875" style="630" customWidth="1"/>
    <col min="4" max="4" width="7.99609375" style="630" customWidth="1"/>
    <col min="5" max="10" width="12.21484375" style="630" customWidth="1"/>
    <col min="11" max="11" width="1.88671875" style="630" customWidth="1"/>
    <col min="12" max="16384" width="8.88671875" style="630" customWidth="1"/>
  </cols>
  <sheetData>
    <row r="1" spans="2:12" ht="18">
      <c r="B1" s="35"/>
      <c r="C1" s="33" t="str">
        <f>"T4RIF-"&amp;yeartext&amp;" SLIPS DATA ENTRY FOR"</f>
        <v>T4RIF-2009 SLIPS DATA ENTRY FOR</v>
      </c>
      <c r="D1" s="33"/>
      <c r="E1" s="322" t="s">
        <v>1399</v>
      </c>
      <c r="F1" s="35"/>
      <c r="G1" s="35"/>
      <c r="H1" s="36"/>
      <c r="I1" s="35"/>
      <c r="J1" s="36" t="str">
        <f>yeartext</f>
        <v>2009</v>
      </c>
      <c r="K1" s="629"/>
      <c r="L1" s="1566" t="s">
        <v>35</v>
      </c>
    </row>
    <row r="2" spans="2:12" ht="18">
      <c r="B2" s="35"/>
      <c r="C2" s="35"/>
      <c r="D2" s="37"/>
      <c r="E2" s="322" t="s">
        <v>1400</v>
      </c>
      <c r="F2" s="35"/>
      <c r="G2" s="35"/>
      <c r="H2" s="35"/>
      <c r="I2" s="35"/>
      <c r="J2" s="35"/>
      <c r="K2" s="629"/>
      <c r="L2" s="1566"/>
    </row>
    <row r="3" spans="2:12" ht="27" customHeight="1">
      <c r="B3" s="38"/>
      <c r="C3" s="38" t="s">
        <v>2076</v>
      </c>
      <c r="D3" s="35"/>
      <c r="E3" s="37"/>
      <c r="F3" s="35"/>
      <c r="G3" s="35"/>
      <c r="H3" s="35"/>
      <c r="I3" s="35"/>
      <c r="J3" s="35"/>
      <c r="K3" s="629"/>
      <c r="L3" s="1566"/>
    </row>
    <row r="4" spans="2:12" ht="18">
      <c r="B4" s="38"/>
      <c r="C4" s="38" t="s">
        <v>622</v>
      </c>
      <c r="D4" s="35"/>
      <c r="E4" s="37"/>
      <c r="F4" s="35"/>
      <c r="G4" s="35"/>
      <c r="H4" s="35"/>
      <c r="I4" s="35"/>
      <c r="J4" s="35"/>
      <c r="K4" s="629"/>
      <c r="L4" s="1566"/>
    </row>
    <row r="5" spans="2:12" ht="18">
      <c r="B5" s="38"/>
      <c r="C5" s="38" t="s">
        <v>1050</v>
      </c>
      <c r="D5" s="35"/>
      <c r="E5" s="37"/>
      <c r="F5" s="35"/>
      <c r="G5" s="35"/>
      <c r="H5" s="35"/>
      <c r="I5" s="35"/>
      <c r="J5" s="35"/>
      <c r="K5" s="629"/>
      <c r="L5" s="1566"/>
    </row>
    <row r="6" spans="2:12" ht="18">
      <c r="B6" s="38"/>
      <c r="C6" s="38" t="s">
        <v>1465</v>
      </c>
      <c r="D6" s="35"/>
      <c r="E6" s="37"/>
      <c r="F6" s="35"/>
      <c r="G6" s="35"/>
      <c r="H6" s="35"/>
      <c r="I6" s="35"/>
      <c r="J6" s="35"/>
      <c r="K6" s="629"/>
      <c r="L6" s="1566"/>
    </row>
    <row r="7" spans="2:12" ht="18">
      <c r="B7" s="38"/>
      <c r="C7" s="38" t="s">
        <v>1752</v>
      </c>
      <c r="D7" s="35"/>
      <c r="E7" s="37"/>
      <c r="F7" s="35"/>
      <c r="G7" s="35"/>
      <c r="H7" s="35"/>
      <c r="I7" s="35"/>
      <c r="J7" s="35"/>
      <c r="K7" s="629"/>
      <c r="L7" s="1566"/>
    </row>
    <row r="8" spans="2:12" ht="18">
      <c r="B8" s="38"/>
      <c r="C8" s="38" t="s">
        <v>2366</v>
      </c>
      <c r="D8" s="35"/>
      <c r="E8" s="37"/>
      <c r="F8" s="35"/>
      <c r="G8" s="35"/>
      <c r="H8" s="35"/>
      <c r="I8" s="35"/>
      <c r="J8" s="35"/>
      <c r="K8" s="629"/>
      <c r="L8" s="1566"/>
    </row>
    <row r="9" spans="2:12" ht="18">
      <c r="B9" s="38"/>
      <c r="C9" s="38" t="s">
        <v>1495</v>
      </c>
      <c r="D9" s="35"/>
      <c r="E9" s="37"/>
      <c r="F9" s="35"/>
      <c r="G9" s="35"/>
      <c r="H9" s="35"/>
      <c r="I9" s="35"/>
      <c r="J9" s="35"/>
      <c r="K9" s="629"/>
      <c r="L9" s="1566"/>
    </row>
    <row r="10" spans="2:12" ht="18">
      <c r="B10" s="38"/>
      <c r="C10" s="38" t="s">
        <v>583</v>
      </c>
      <c r="D10" s="35"/>
      <c r="E10" s="37"/>
      <c r="F10" s="35"/>
      <c r="G10" s="35"/>
      <c r="H10" s="35"/>
      <c r="I10" s="35"/>
      <c r="J10" s="35"/>
      <c r="K10" s="629"/>
      <c r="L10" s="1566"/>
    </row>
    <row r="11" spans="2:12" ht="18">
      <c r="B11" s="38"/>
      <c r="C11" s="38" t="s">
        <v>852</v>
      </c>
      <c r="D11" s="35"/>
      <c r="E11" s="37"/>
      <c r="F11" s="35"/>
      <c r="G11" s="35"/>
      <c r="H11" s="35"/>
      <c r="I11" s="35"/>
      <c r="J11" s="35"/>
      <c r="K11" s="629"/>
      <c r="L11" s="1566"/>
    </row>
    <row r="12" spans="2:12" ht="33" customHeight="1">
      <c r="B12" s="38"/>
      <c r="C12" s="549" t="s">
        <v>660</v>
      </c>
      <c r="D12" s="35"/>
      <c r="E12" s="37"/>
      <c r="F12" s="35"/>
      <c r="G12" s="35"/>
      <c r="H12" s="35"/>
      <c r="I12" s="35"/>
      <c r="J12" s="35"/>
      <c r="K12" s="629"/>
      <c r="L12" s="1566"/>
    </row>
    <row r="13" spans="2:12" ht="36">
      <c r="B13" s="41" t="s">
        <v>855</v>
      </c>
      <c r="C13" s="41" t="s">
        <v>1068</v>
      </c>
      <c r="D13" s="41" t="s">
        <v>673</v>
      </c>
      <c r="E13" s="41" t="s">
        <v>2367</v>
      </c>
      <c r="F13" s="41" t="s">
        <v>2368</v>
      </c>
      <c r="G13" s="41" t="s">
        <v>2369</v>
      </c>
      <c r="H13" s="41" t="s">
        <v>2370</v>
      </c>
      <c r="I13" s="41" t="s">
        <v>2371</v>
      </c>
      <c r="J13" s="42" t="s">
        <v>1217</v>
      </c>
      <c r="K13" s="629"/>
      <c r="L13" s="1566"/>
    </row>
    <row r="14" spans="2:12" ht="18">
      <c r="B14" s="35"/>
      <c r="C14" s="38"/>
      <c r="D14" s="38"/>
      <c r="E14" s="37"/>
      <c r="F14" s="35"/>
      <c r="G14" s="35"/>
      <c r="H14" s="35"/>
      <c r="I14" s="35"/>
      <c r="J14" s="35"/>
      <c r="K14" s="629"/>
      <c r="L14" s="1566"/>
    </row>
    <row r="15" spans="2:12" ht="18">
      <c r="B15" s="46" t="s">
        <v>2098</v>
      </c>
      <c r="C15" s="331" t="s">
        <v>1154</v>
      </c>
      <c r="D15" s="313" t="s">
        <v>1222</v>
      </c>
      <c r="E15" s="328"/>
      <c r="F15" s="328"/>
      <c r="G15" s="328"/>
      <c r="H15" s="328"/>
      <c r="I15" s="328"/>
      <c r="J15" s="631">
        <f>SUM(E15:I15)</f>
        <v>0</v>
      </c>
      <c r="K15" s="629"/>
      <c r="L15" s="1566"/>
    </row>
    <row r="16" spans="2:12" ht="18">
      <c r="B16" s="35"/>
      <c r="C16" s="327"/>
      <c r="D16" s="313"/>
      <c r="E16" s="37"/>
      <c r="F16" s="35"/>
      <c r="G16" s="35"/>
      <c r="H16" s="35"/>
      <c r="I16" s="35"/>
      <c r="J16" s="35"/>
      <c r="K16" s="629"/>
      <c r="L16" s="1566"/>
    </row>
    <row r="17" spans="2:12" ht="18">
      <c r="B17" s="46" t="s">
        <v>1756</v>
      </c>
      <c r="C17" s="327" t="s">
        <v>516</v>
      </c>
      <c r="D17" s="313" t="s">
        <v>1225</v>
      </c>
      <c r="E17" s="328"/>
      <c r="F17" s="328"/>
      <c r="G17" s="328"/>
      <c r="H17" s="328"/>
      <c r="I17" s="328"/>
      <c r="J17" s="631">
        <f>SUM(E17:I17)</f>
        <v>0</v>
      </c>
      <c r="K17" s="629"/>
      <c r="L17" s="1566"/>
    </row>
    <row r="18" spans="2:12" ht="18">
      <c r="B18" s="46"/>
      <c r="C18" s="327" t="s">
        <v>517</v>
      </c>
      <c r="D18" s="313"/>
      <c r="E18" s="373"/>
      <c r="F18" s="35"/>
      <c r="G18" s="35"/>
      <c r="H18" s="35"/>
      <c r="I18" s="35"/>
      <c r="J18" s="35"/>
      <c r="K18" s="629"/>
      <c r="L18" s="1566"/>
    </row>
    <row r="19" spans="2:12" ht="18">
      <c r="B19" s="46" t="s">
        <v>2098</v>
      </c>
      <c r="C19" s="327" t="s">
        <v>2022</v>
      </c>
      <c r="D19" s="313" t="s">
        <v>1227</v>
      </c>
      <c r="E19" s="328"/>
      <c r="F19" s="328"/>
      <c r="G19" s="328"/>
      <c r="H19" s="328"/>
      <c r="I19" s="328"/>
      <c r="J19" s="631">
        <f>SUM(E19:I19)</f>
        <v>0</v>
      </c>
      <c r="K19" s="629"/>
      <c r="L19" s="1566"/>
    </row>
    <row r="20" spans="2:12" ht="18">
      <c r="B20" s="33"/>
      <c r="C20" s="322" t="s">
        <v>2023</v>
      </c>
      <c r="D20" s="33"/>
      <c r="E20" s="33"/>
      <c r="F20" s="33"/>
      <c r="G20" s="33"/>
      <c r="H20" s="33"/>
      <c r="I20" s="33"/>
      <c r="J20" s="33"/>
      <c r="K20" s="629"/>
      <c r="L20" s="1566"/>
    </row>
    <row r="21" spans="2:12" ht="18">
      <c r="B21" s="339" t="s">
        <v>2098</v>
      </c>
      <c r="C21" s="327" t="s">
        <v>1915</v>
      </c>
      <c r="D21" s="313" t="s">
        <v>1229</v>
      </c>
      <c r="E21" s="328"/>
      <c r="F21" s="328"/>
      <c r="G21" s="328"/>
      <c r="H21" s="328"/>
      <c r="I21" s="328"/>
      <c r="J21" s="631">
        <f>SUM(E21:I21)</f>
        <v>0</v>
      </c>
      <c r="K21" s="629"/>
      <c r="L21" s="1566"/>
    </row>
    <row r="22" spans="2:12" ht="18">
      <c r="B22" s="339">
        <v>232</v>
      </c>
      <c r="C22" s="38"/>
      <c r="D22" s="327"/>
      <c r="E22" s="33"/>
      <c r="F22" s="35"/>
      <c r="G22" s="35"/>
      <c r="H22" s="35"/>
      <c r="I22" s="35"/>
      <c r="J22" s="35"/>
      <c r="K22" s="629"/>
      <c r="L22" s="1566"/>
    </row>
    <row r="23" spans="2:12" ht="18">
      <c r="B23" s="46"/>
      <c r="C23" s="327" t="s">
        <v>867</v>
      </c>
      <c r="D23" s="313" t="s">
        <v>956</v>
      </c>
      <c r="E23" s="328"/>
      <c r="F23" s="328"/>
      <c r="G23" s="328"/>
      <c r="H23" s="328"/>
      <c r="I23" s="328"/>
      <c r="J23" s="631">
        <f>SUM(E23:I23)</f>
        <v>0</v>
      </c>
      <c r="K23" s="629"/>
      <c r="L23" s="1566"/>
    </row>
    <row r="24" spans="2:12" ht="18">
      <c r="B24" s="35"/>
      <c r="C24" s="327"/>
      <c r="D24" s="327"/>
      <c r="E24" s="33"/>
      <c r="F24" s="35"/>
      <c r="G24" s="35"/>
      <c r="H24" s="35"/>
      <c r="I24" s="35"/>
      <c r="J24" s="35"/>
      <c r="K24" s="629"/>
      <c r="L24" s="1566"/>
    </row>
    <row r="25" spans="2:12" ht="18">
      <c r="B25" s="46"/>
      <c r="C25" s="331" t="s">
        <v>109</v>
      </c>
      <c r="D25" s="313" t="s">
        <v>958</v>
      </c>
      <c r="E25" s="538" t="s">
        <v>2075</v>
      </c>
      <c r="F25" s="538" t="s">
        <v>2075</v>
      </c>
      <c r="G25" s="538" t="s">
        <v>2075</v>
      </c>
      <c r="H25" s="538" t="s">
        <v>2075</v>
      </c>
      <c r="I25" s="538" t="s">
        <v>2075</v>
      </c>
      <c r="J25" s="35"/>
      <c r="K25" s="629"/>
      <c r="L25" s="1566"/>
    </row>
    <row r="26" spans="2:12" ht="18">
      <c r="B26" s="35"/>
      <c r="C26" s="38" t="s">
        <v>1625</v>
      </c>
      <c r="D26" s="313"/>
      <c r="E26" s="37"/>
      <c r="F26" s="35"/>
      <c r="G26" s="35"/>
      <c r="H26" s="35"/>
      <c r="I26" s="35"/>
      <c r="J26" s="35"/>
      <c r="K26" s="629"/>
      <c r="L26" s="1566"/>
    </row>
    <row r="27" spans="2:12" ht="27" customHeight="1">
      <c r="B27" s="537" t="s">
        <v>1230</v>
      </c>
      <c r="C27" s="327" t="s">
        <v>854</v>
      </c>
      <c r="D27" s="913" t="s">
        <v>1714</v>
      </c>
      <c r="E27" s="328"/>
      <c r="F27" s="328"/>
      <c r="G27" s="328"/>
      <c r="H27" s="328"/>
      <c r="I27" s="328"/>
      <c r="J27" s="631">
        <f>SUM(E27:I27)</f>
        <v>0</v>
      </c>
      <c r="K27" s="629"/>
      <c r="L27" s="1566"/>
    </row>
    <row r="28" spans="2:12" ht="18">
      <c r="B28" s="35"/>
      <c r="C28" s="38"/>
      <c r="D28" s="327"/>
      <c r="E28" s="37"/>
      <c r="F28" s="35"/>
      <c r="G28" s="35"/>
      <c r="H28" s="35"/>
      <c r="I28" s="35"/>
      <c r="J28" s="35"/>
      <c r="K28" s="629"/>
      <c r="L28" s="1566"/>
    </row>
    <row r="29" spans="2:12" ht="18">
      <c r="B29" s="56"/>
      <c r="C29" s="327" t="s">
        <v>1150</v>
      </c>
      <c r="D29" s="313" t="s">
        <v>716</v>
      </c>
      <c r="E29" s="544"/>
      <c r="F29" s="544"/>
      <c r="G29" s="544"/>
      <c r="H29" s="544"/>
      <c r="I29" s="544"/>
      <c r="J29" s="35"/>
      <c r="K29" s="629"/>
      <c r="L29" s="1566"/>
    </row>
    <row r="30" spans="2:12" ht="18">
      <c r="B30" s="33"/>
      <c r="C30" s="33" t="s">
        <v>1151</v>
      </c>
      <c r="D30" s="33"/>
      <c r="E30" s="33"/>
      <c r="F30" s="33"/>
      <c r="G30" s="33"/>
      <c r="H30" s="33"/>
      <c r="I30" s="33"/>
      <c r="J30" s="33"/>
      <c r="K30" s="629"/>
      <c r="L30" s="1566"/>
    </row>
    <row r="31" spans="2:12" ht="18">
      <c r="B31" s="46"/>
      <c r="C31" s="327" t="s">
        <v>110</v>
      </c>
      <c r="D31" s="313" t="s">
        <v>718</v>
      </c>
      <c r="E31" s="520"/>
      <c r="F31" s="520"/>
      <c r="G31" s="520"/>
      <c r="H31" s="520"/>
      <c r="I31" s="520"/>
      <c r="J31" s="35"/>
      <c r="K31" s="629"/>
      <c r="L31" s="1566"/>
    </row>
    <row r="32" spans="2:12" ht="18">
      <c r="B32" s="35"/>
      <c r="C32" s="38"/>
      <c r="D32" s="327"/>
      <c r="E32" s="33"/>
      <c r="F32" s="35"/>
      <c r="G32" s="35"/>
      <c r="H32" s="35"/>
      <c r="I32" s="35"/>
      <c r="J32" s="35"/>
      <c r="K32" s="629"/>
      <c r="L32" s="1566"/>
    </row>
    <row r="33" spans="2:12" ht="18">
      <c r="B33" s="35"/>
      <c r="C33" s="38" t="s">
        <v>1179</v>
      </c>
      <c r="D33" s="313" t="s">
        <v>711</v>
      </c>
      <c r="E33" s="328"/>
      <c r="F33" s="328"/>
      <c r="G33" s="328"/>
      <c r="H33" s="328"/>
      <c r="I33" s="328"/>
      <c r="J33" s="631">
        <f>SUM(E33:I33)</f>
        <v>0</v>
      </c>
      <c r="K33" s="629"/>
      <c r="L33" s="1566"/>
    </row>
    <row r="34" spans="2:12" ht="18">
      <c r="B34" s="35"/>
      <c r="C34" s="38" t="s">
        <v>1180</v>
      </c>
      <c r="D34" s="327"/>
      <c r="E34" s="33"/>
      <c r="F34" s="35"/>
      <c r="G34" s="35"/>
      <c r="H34" s="35"/>
      <c r="I34" s="35"/>
      <c r="J34" s="35"/>
      <c r="K34" s="629"/>
      <c r="L34" s="1566"/>
    </row>
    <row r="35" spans="2:12" ht="28.5" customHeight="1">
      <c r="B35" s="46"/>
      <c r="C35" s="327" t="s">
        <v>866</v>
      </c>
      <c r="D35" s="313" t="s">
        <v>715</v>
      </c>
      <c r="E35" s="328"/>
      <c r="F35" s="328"/>
      <c r="G35" s="328"/>
      <c r="H35" s="328"/>
      <c r="I35" s="328"/>
      <c r="J35" s="631">
        <f>SUM(E35:I35)</f>
        <v>0</v>
      </c>
      <c r="K35" s="629"/>
      <c r="L35" s="1566"/>
    </row>
    <row r="36" spans="2:12" ht="18">
      <c r="B36" s="38"/>
      <c r="C36" s="38"/>
      <c r="D36" s="35"/>
      <c r="E36" s="33"/>
      <c r="F36" s="35"/>
      <c r="G36" s="35"/>
      <c r="H36" s="35"/>
      <c r="I36" s="35"/>
      <c r="J36" s="35"/>
      <c r="K36" s="629"/>
      <c r="L36" s="1566"/>
    </row>
    <row r="37" spans="2:12" ht="18">
      <c r="B37" s="38"/>
      <c r="C37" s="38" t="s">
        <v>519</v>
      </c>
      <c r="D37" s="539"/>
      <c r="E37" s="540" t="str">
        <f>IF(OR(E25="Yes",AND(E31&lt;&gt;"",E31='T1 GEN-1'!$T$26)),"Yes","No")</f>
        <v>No</v>
      </c>
      <c r="F37" s="540" t="str">
        <f>IF(OR(F25="Yes",AND(F31&lt;&gt;"",F31='T1 GEN-1'!$T$26)),"Yes","No")</f>
        <v>No</v>
      </c>
      <c r="G37" s="540" t="str">
        <f>IF(OR(G25="Yes",AND(G31&lt;&gt;"",G31='T1 GEN-1'!$T$26)),"Yes","No")</f>
        <v>No</v>
      </c>
      <c r="H37" s="540" t="str">
        <f>IF(OR(H25="Yes",AND(H31&lt;&gt;"",H31='T1 GEN-1'!$T$26)),"Yes","No")</f>
        <v>No</v>
      </c>
      <c r="I37" s="540" t="str">
        <f>IF(OR(I25="Yes",AND(I31&lt;&gt;"",I31='T1 GEN-1'!$T$26)),"Yes","No")</f>
        <v>No</v>
      </c>
      <c r="J37" s="35"/>
      <c r="K37" s="629"/>
      <c r="L37" s="1566"/>
    </row>
    <row r="38" spans="2:12" ht="18.75" thickBot="1">
      <c r="B38" s="298"/>
      <c r="C38" s="301"/>
      <c r="D38" s="547"/>
      <c r="E38" s="300"/>
      <c r="F38" s="547"/>
      <c r="G38" s="547"/>
      <c r="H38" s="547"/>
      <c r="I38" s="547"/>
      <c r="J38" s="633"/>
      <c r="K38" s="634"/>
      <c r="L38" s="1566"/>
    </row>
    <row r="39" spans="2:12" ht="18">
      <c r="B39" s="46"/>
      <c r="C39" s="49"/>
      <c r="D39" s="46"/>
      <c r="E39" s="49"/>
      <c r="F39" s="49"/>
      <c r="G39" s="49"/>
      <c r="H39" s="49"/>
      <c r="I39" s="49"/>
      <c r="J39" s="650"/>
      <c r="K39" s="643"/>
      <c r="L39" s="1566"/>
    </row>
    <row r="40" spans="2:12" ht="18">
      <c r="B40" s="46"/>
      <c r="C40" s="33" t="str">
        <f>"T4RIF-"&amp;yeartext&amp;" GENERAL DATA SUMMARY"</f>
        <v>T4RIF-2009 GENERAL DATA SUMMARY</v>
      </c>
      <c r="D40" s="33"/>
      <c r="E40" s="322" t="s">
        <v>1399</v>
      </c>
      <c r="F40" s="35"/>
      <c r="G40" s="35"/>
      <c r="H40" s="36"/>
      <c r="I40" s="35"/>
      <c r="J40" s="36" t="str">
        <f>yeartext</f>
        <v>2009</v>
      </c>
      <c r="K40" s="629"/>
      <c r="L40" s="1566"/>
    </row>
    <row r="41" spans="2:12" ht="18">
      <c r="B41" s="46"/>
      <c r="C41" s="33"/>
      <c r="D41" s="33"/>
      <c r="E41" s="322" t="s">
        <v>1400</v>
      </c>
      <c r="F41" s="35"/>
      <c r="G41" s="35"/>
      <c r="H41" s="36"/>
      <c r="I41" s="35"/>
      <c r="J41" s="36"/>
      <c r="K41" s="629"/>
      <c r="L41" s="1566"/>
    </row>
    <row r="42" spans="2:12" ht="10.5" customHeight="1">
      <c r="B42" s="46"/>
      <c r="C42" s="33"/>
      <c r="D42" s="33"/>
      <c r="E42" s="322"/>
      <c r="F42" s="35"/>
      <c r="G42" s="35"/>
      <c r="H42" s="36"/>
      <c r="I42" s="35"/>
      <c r="J42" s="36"/>
      <c r="K42" s="629"/>
      <c r="L42" s="1566"/>
    </row>
    <row r="43" spans="2:12" ht="18">
      <c r="B43" s="46"/>
      <c r="C43" s="49" t="s">
        <v>91</v>
      </c>
      <c r="D43" s="539"/>
      <c r="E43" s="651">
        <f>IF(OR(E25="Yes",E31='T1 GEN-1'!$T$26),3,IF(OR(AND(E29&gt;0,E37="Yes"),age&gt;=65),1,2))</f>
        <v>3</v>
      </c>
      <c r="F43" s="651">
        <f>IF(OR(F25="Yes",F31='T1 GEN-1'!$T$26),3,IF(OR(AND(F29&gt;0,F37="Yes"),age&gt;=65),1,2))</f>
        <v>3</v>
      </c>
      <c r="G43" s="651">
        <f>IF(OR(G25="Yes",G31='T1 GEN-1'!$T$26),3,IF(OR(AND(G29&gt;0,G37="Yes"),age&gt;=65),1,2))</f>
        <v>3</v>
      </c>
      <c r="H43" s="651">
        <f>IF(OR(H25="Yes",H31='T1 GEN-1'!$T$26),3,IF(OR(AND(H29&gt;0,H37="Yes"),age&gt;=65),1,2))</f>
        <v>3</v>
      </c>
      <c r="I43" s="651">
        <f>IF(OR(I25="Yes",I31='T1 GEN-1'!$T$26),3,IF(OR(AND(I29&gt;0,I37="Yes"),age&gt;=65),1,2))</f>
        <v>3</v>
      </c>
      <c r="J43" s="36"/>
      <c r="K43" s="629"/>
      <c r="L43" s="1566"/>
    </row>
    <row r="44" spans="2:12" ht="18">
      <c r="B44" s="46"/>
      <c r="C44" s="546" t="s">
        <v>92</v>
      </c>
      <c r="D44" s="46"/>
      <c r="E44" s="651">
        <f>IF(E29&gt;0,IF(OR(E37="Yes",age&gt;=65),1,IF(E21&gt;0,2,3)),IF(E21&gt;0,2,3))</f>
        <v>3</v>
      </c>
      <c r="F44" s="651">
        <f>IF(F29&gt;0,IF(OR(F37="Yes",age&gt;=65),1,IF(F21&gt;0,2,3)),IF(F21&gt;0,2,3))</f>
        <v>3</v>
      </c>
      <c r="G44" s="651">
        <f>IF(G29&gt;0,IF(OR(G37="Yes",age&gt;=65),1,IF(G21&gt;0,2,3)),IF(G21&gt;0,2,3))</f>
        <v>3</v>
      </c>
      <c r="H44" s="651">
        <f>IF(H29&gt;0,IF(OR(H37="Yes",age&gt;=65),1,IF(H21&gt;0,2,3)),IF(H21&gt;0,2,3))</f>
        <v>3</v>
      </c>
      <c r="I44" s="651">
        <f>IF(I29&gt;0,IF(OR(I37="Yes",age&gt;=65),1,IF(I21&gt;0,2,3)),IF(I21&gt;0,2,3))</f>
        <v>3</v>
      </c>
      <c r="J44" s="36"/>
      <c r="K44" s="629"/>
      <c r="L44" s="1566"/>
    </row>
    <row r="45" spans="2:12" ht="9.75" customHeight="1">
      <c r="B45" s="46"/>
      <c r="C45" s="49"/>
      <c r="D45" s="46"/>
      <c r="E45" s="322"/>
      <c r="F45" s="48"/>
      <c r="G45" s="48"/>
      <c r="H45" s="635"/>
      <c r="I45" s="48"/>
      <c r="J45" s="636"/>
      <c r="K45" s="629"/>
      <c r="L45" s="1566"/>
    </row>
    <row r="46" spans="2:13" ht="54">
      <c r="B46" s="46"/>
      <c r="C46" s="41" t="s">
        <v>141</v>
      </c>
      <c r="D46" s="41" t="s">
        <v>855</v>
      </c>
      <c r="E46" s="41" t="s">
        <v>1169</v>
      </c>
      <c r="F46" s="41" t="s">
        <v>1161</v>
      </c>
      <c r="G46" s="41" t="s">
        <v>1162</v>
      </c>
      <c r="H46" s="41" t="s">
        <v>1164</v>
      </c>
      <c r="I46" s="41" t="s">
        <v>1163</v>
      </c>
      <c r="J46" s="545" t="s">
        <v>1165</v>
      </c>
      <c r="K46" s="629"/>
      <c r="L46" s="329"/>
      <c r="M46" s="340"/>
    </row>
    <row r="47" spans="2:13" ht="18">
      <c r="B47" s="46"/>
      <c r="C47" s="296" t="s">
        <v>1166</v>
      </c>
      <c r="D47" s="297" t="s">
        <v>1958</v>
      </c>
      <c r="E47" s="334">
        <f>IF(E43=1,E15,0)</f>
        <v>0</v>
      </c>
      <c r="F47" s="334">
        <f>IF(F43=1,F15,0)</f>
        <v>0</v>
      </c>
      <c r="G47" s="334">
        <f>IF(G43=1,G15,0)</f>
        <v>0</v>
      </c>
      <c r="H47" s="334">
        <f>IF(H43=1,H15,0)</f>
        <v>0</v>
      </c>
      <c r="I47" s="334">
        <f>IF(I43=1,I15,0)</f>
        <v>0</v>
      </c>
      <c r="J47" s="629"/>
      <c r="K47" s="629"/>
      <c r="L47" s="548" t="s">
        <v>425</v>
      </c>
      <c r="M47" s="340"/>
    </row>
    <row r="48" spans="2:13" ht="18">
      <c r="B48" s="46"/>
      <c r="C48" s="296" t="s">
        <v>1167</v>
      </c>
      <c r="D48" s="297" t="s">
        <v>1958</v>
      </c>
      <c r="E48" s="334">
        <f>IF(E43=1,E19,0)</f>
        <v>0</v>
      </c>
      <c r="F48" s="334">
        <f>IF(F43=1,F19,0)</f>
        <v>0</v>
      </c>
      <c r="G48" s="334">
        <f>IF(G43=1,G19,0)</f>
        <v>0</v>
      </c>
      <c r="H48" s="334">
        <f>IF(H43=1,H19,0)</f>
        <v>0</v>
      </c>
      <c r="I48" s="334">
        <f>IF(I43=1,I19,0)</f>
        <v>0</v>
      </c>
      <c r="J48" s="652">
        <f>SUM(E47:I49)</f>
        <v>0</v>
      </c>
      <c r="K48" s="629"/>
      <c r="L48" s="548" t="s">
        <v>426</v>
      </c>
      <c r="M48" s="340"/>
    </row>
    <row r="49" spans="2:13" ht="18">
      <c r="B49" s="46"/>
      <c r="C49" s="296" t="s">
        <v>813</v>
      </c>
      <c r="D49" s="297" t="s">
        <v>1958</v>
      </c>
      <c r="E49" s="334">
        <f>IF(E44=1,E21,0)</f>
        <v>0</v>
      </c>
      <c r="F49" s="334">
        <f>IF(F44=1,F21,0)</f>
        <v>0</v>
      </c>
      <c r="G49" s="334">
        <f>IF(G44=1,G21,0)</f>
        <v>0</v>
      </c>
      <c r="H49" s="334">
        <f>IF(H44=1,H21,0)</f>
        <v>0</v>
      </c>
      <c r="I49" s="334">
        <f>IF(I44=1,I21,0)</f>
        <v>0</v>
      </c>
      <c r="J49" s="330"/>
      <c r="K49" s="629"/>
      <c r="L49" s="548" t="s">
        <v>435</v>
      </c>
      <c r="M49" s="340"/>
    </row>
    <row r="50" spans="2:13" ht="18">
      <c r="B50" s="46"/>
      <c r="C50" s="311"/>
      <c r="D50" s="312"/>
      <c r="E50" s="330"/>
      <c r="F50" s="330"/>
      <c r="G50" s="330"/>
      <c r="H50" s="330"/>
      <c r="I50" s="330"/>
      <c r="J50" s="330"/>
      <c r="K50" s="629"/>
      <c r="L50" s="548" t="s">
        <v>429</v>
      </c>
      <c r="M50" s="340"/>
    </row>
    <row r="51" spans="2:13" ht="18">
      <c r="B51" s="46"/>
      <c r="C51" s="302" t="s">
        <v>1166</v>
      </c>
      <c r="D51" s="303" t="s">
        <v>1756</v>
      </c>
      <c r="E51" s="334">
        <f>IF(E43=2,E15,0)</f>
        <v>0</v>
      </c>
      <c r="F51" s="334">
        <f>IF(F43=2,F15,0)</f>
        <v>0</v>
      </c>
      <c r="G51" s="334">
        <f>IF(G43=2,G15,0)</f>
        <v>0</v>
      </c>
      <c r="H51" s="334">
        <f>IF(H43=2,H15,0)</f>
        <v>0</v>
      </c>
      <c r="I51" s="334">
        <f>IF(I43=2,I15,0)</f>
        <v>0</v>
      </c>
      <c r="J51" s="643"/>
      <c r="K51" s="629"/>
      <c r="L51" s="548" t="s">
        <v>432</v>
      </c>
      <c r="M51" s="340"/>
    </row>
    <row r="52" spans="2:13" ht="18">
      <c r="B52" s="46"/>
      <c r="C52" s="296" t="s">
        <v>815</v>
      </c>
      <c r="D52" s="297" t="s">
        <v>1756</v>
      </c>
      <c r="E52" s="334">
        <f>E17</f>
        <v>0</v>
      </c>
      <c r="F52" s="334">
        <f>F17</f>
        <v>0</v>
      </c>
      <c r="G52" s="334">
        <f>G17</f>
        <v>0</v>
      </c>
      <c r="H52" s="334">
        <f>H17</f>
        <v>0</v>
      </c>
      <c r="I52" s="334">
        <f>I17</f>
        <v>0</v>
      </c>
      <c r="J52" s="652">
        <f>SUM(E51:I54)</f>
        <v>0</v>
      </c>
      <c r="K52" s="629"/>
      <c r="L52" s="548" t="s">
        <v>436</v>
      </c>
      <c r="M52" s="340"/>
    </row>
    <row r="53" spans="2:13" ht="18">
      <c r="B53" s="46"/>
      <c r="C53" s="296" t="s">
        <v>1167</v>
      </c>
      <c r="D53" s="297" t="s">
        <v>1756</v>
      </c>
      <c r="E53" s="334">
        <f>IF(E43=2,E19,0)</f>
        <v>0</v>
      </c>
      <c r="F53" s="334">
        <f>IF(F43=2,F19,0)</f>
        <v>0</v>
      </c>
      <c r="G53" s="334">
        <f>IF(G43=2,G19,0)</f>
        <v>0</v>
      </c>
      <c r="H53" s="334">
        <f>IF(H43=2,H19,0)</f>
        <v>0</v>
      </c>
      <c r="I53" s="334">
        <f>IF(I43=2,I19,0)</f>
        <v>0</v>
      </c>
      <c r="J53" s="330"/>
      <c r="K53" s="629"/>
      <c r="L53" s="548" t="s">
        <v>434</v>
      </c>
      <c r="M53" s="340"/>
    </row>
    <row r="54" spans="2:13" ht="18">
      <c r="B54" s="46"/>
      <c r="C54" s="296" t="s">
        <v>813</v>
      </c>
      <c r="D54" s="297" t="s">
        <v>1756</v>
      </c>
      <c r="E54" s="334">
        <f>IF(E44=2,E21,0)</f>
        <v>0</v>
      </c>
      <c r="F54" s="334">
        <f>IF(F44=2,F21,0)</f>
        <v>0</v>
      </c>
      <c r="G54" s="334">
        <f>IF(G44=2,G21,0)</f>
        <v>0</v>
      </c>
      <c r="H54" s="334">
        <f>IF(H44=2,H21,0)</f>
        <v>0</v>
      </c>
      <c r="I54" s="334">
        <f>IF(I44=2,I21,0)</f>
        <v>0</v>
      </c>
      <c r="J54" s="330"/>
      <c r="K54" s="629"/>
      <c r="L54" s="548" t="s">
        <v>442</v>
      </c>
      <c r="M54" s="340"/>
    </row>
    <row r="55" spans="2:13" ht="18">
      <c r="B55" s="46"/>
      <c r="C55" s="311"/>
      <c r="D55" s="312"/>
      <c r="E55" s="330"/>
      <c r="F55" s="330"/>
      <c r="G55" s="330"/>
      <c r="H55" s="330"/>
      <c r="I55" s="330"/>
      <c r="J55" s="330"/>
      <c r="K55" s="629"/>
      <c r="L55" s="519"/>
      <c r="M55" s="340"/>
    </row>
    <row r="56" spans="2:13" ht="18">
      <c r="B56" s="46"/>
      <c r="C56" s="302" t="s">
        <v>813</v>
      </c>
      <c r="D56" s="303" t="s">
        <v>2376</v>
      </c>
      <c r="E56" s="334">
        <f>IF(E44=3,-E21,0)</f>
        <v>0</v>
      </c>
      <c r="F56" s="334">
        <f>IF(F44=3,-F21,0)</f>
        <v>0</v>
      </c>
      <c r="G56" s="334">
        <f>IF(G44=3,-G21,0)</f>
        <v>0</v>
      </c>
      <c r="H56" s="334">
        <f>IF(H44=3,-H21,0)</f>
        <v>0</v>
      </c>
      <c r="I56" s="334">
        <f>IF(I44=3,-I21,0)</f>
        <v>0</v>
      </c>
      <c r="J56" s="334">
        <f>SUM(E56:I56)</f>
        <v>0</v>
      </c>
      <c r="K56" s="629"/>
      <c r="L56" s="330" t="s">
        <v>437</v>
      </c>
      <c r="M56" s="330"/>
    </row>
    <row r="57" spans="2:13" ht="18">
      <c r="B57" s="46"/>
      <c r="C57" s="296" t="s">
        <v>814</v>
      </c>
      <c r="D57" s="297" t="s">
        <v>1230</v>
      </c>
      <c r="E57" s="334">
        <f>E27</f>
        <v>0</v>
      </c>
      <c r="F57" s="334">
        <f>F27</f>
        <v>0</v>
      </c>
      <c r="G57" s="334">
        <f>G27</f>
        <v>0</v>
      </c>
      <c r="H57" s="334">
        <f>H27</f>
        <v>0</v>
      </c>
      <c r="I57" s="334">
        <f>I27</f>
        <v>0</v>
      </c>
      <c r="J57" s="334">
        <f>SUM(E57:I57)</f>
        <v>0</v>
      </c>
      <c r="K57" s="629"/>
      <c r="L57" s="330" t="s">
        <v>438</v>
      </c>
      <c r="M57" s="330"/>
    </row>
    <row r="58" spans="2:13" ht="18">
      <c r="B58" s="46"/>
      <c r="C58" s="296" t="s">
        <v>888</v>
      </c>
      <c r="D58" s="297" t="s">
        <v>1225</v>
      </c>
      <c r="E58" s="334">
        <f>IF(E43=3,E15,0)</f>
        <v>0</v>
      </c>
      <c r="F58" s="334">
        <f>IF(F43=3,F15,0)</f>
        <v>0</v>
      </c>
      <c r="G58" s="334">
        <f>IF(G43=3,G15,0)</f>
        <v>0</v>
      </c>
      <c r="H58" s="334">
        <f>IF(H43=3,H15,0)</f>
        <v>0</v>
      </c>
      <c r="I58" s="334">
        <f>IF(I43=3,I15,0)</f>
        <v>0</v>
      </c>
      <c r="J58" s="334">
        <f>SUM(E58:I58)</f>
        <v>0</v>
      </c>
      <c r="K58" s="629"/>
      <c r="L58" s="330" t="s">
        <v>444</v>
      </c>
      <c r="M58" s="330"/>
    </row>
    <row r="59" spans="2:13" ht="18">
      <c r="B59" s="46"/>
      <c r="C59" s="296" t="s">
        <v>889</v>
      </c>
      <c r="D59" s="297" t="s">
        <v>518</v>
      </c>
      <c r="E59" s="334">
        <f>IF(E43=3,E19,0)</f>
        <v>0</v>
      </c>
      <c r="F59" s="334">
        <f>IF(F43=3,F19,0)</f>
        <v>0</v>
      </c>
      <c r="G59" s="334">
        <f>IF(G43=3,G19,0)</f>
        <v>0</v>
      </c>
      <c r="H59" s="334">
        <f>IF(H43=3,H19,0)</f>
        <v>0</v>
      </c>
      <c r="I59" s="334">
        <f>IF(I43=3,I19,0)</f>
        <v>0</v>
      </c>
      <c r="J59" s="334">
        <f>SUM(E59:I59)</f>
        <v>0</v>
      </c>
      <c r="K59" s="629"/>
      <c r="L59" s="330" t="s">
        <v>443</v>
      </c>
      <c r="M59" s="330"/>
    </row>
    <row r="60" spans="2:13" ht="18">
      <c r="B60" s="46"/>
      <c r="C60" s="296" t="s">
        <v>890</v>
      </c>
      <c r="D60" s="297" t="s">
        <v>1055</v>
      </c>
      <c r="E60" s="334">
        <f>IF(E43=3,E23,0)</f>
        <v>0</v>
      </c>
      <c r="F60" s="334">
        <f>IF(F43=3,F23,0)</f>
        <v>0</v>
      </c>
      <c r="G60" s="334">
        <f>IF(G43=3,G23,0)</f>
        <v>0</v>
      </c>
      <c r="H60" s="334">
        <f>IF(H43=3,H23,0)</f>
        <v>0</v>
      </c>
      <c r="I60" s="334">
        <f>IF(I43=3,I23,0)</f>
        <v>0</v>
      </c>
      <c r="J60" s="334">
        <f>SUM(E60:I60)</f>
        <v>0</v>
      </c>
      <c r="K60" s="629"/>
      <c r="L60" s="330" t="s">
        <v>439</v>
      </c>
      <c r="M60" s="330"/>
    </row>
    <row r="61" spans="2:13" ht="18">
      <c r="B61" s="46"/>
      <c r="C61" s="629"/>
      <c r="D61" s="297"/>
      <c r="E61" s="541"/>
      <c r="F61" s="541"/>
      <c r="G61" s="541"/>
      <c r="H61" s="541"/>
      <c r="I61" s="541"/>
      <c r="J61" s="541"/>
      <c r="K61" s="629"/>
      <c r="L61" s="330" t="s">
        <v>440</v>
      </c>
      <c r="M61" s="330"/>
    </row>
    <row r="62" spans="2:13" ht="18">
      <c r="B62" s="46"/>
      <c r="C62" s="535" t="s">
        <v>816</v>
      </c>
      <c r="D62" s="536"/>
      <c r="E62" s="334">
        <f>E35</f>
        <v>0</v>
      </c>
      <c r="F62" s="334">
        <f>F35</f>
        <v>0</v>
      </c>
      <c r="G62" s="334">
        <f>G35</f>
        <v>0</v>
      </c>
      <c r="H62" s="334">
        <f>H35</f>
        <v>0</v>
      </c>
      <c r="I62" s="334">
        <f>I35</f>
        <v>0</v>
      </c>
      <c r="J62" s="334">
        <f>SUM(E62:I62)</f>
        <v>0</v>
      </c>
      <c r="K62" s="629"/>
      <c r="L62" s="330" t="s">
        <v>441</v>
      </c>
      <c r="M62" s="330"/>
    </row>
    <row r="63" spans="2:13" ht="18">
      <c r="B63" s="46"/>
      <c r="C63" s="49"/>
      <c r="D63" s="46"/>
      <c r="E63" s="51"/>
      <c r="F63" s="48"/>
      <c r="G63" s="48"/>
      <c r="H63" s="635"/>
      <c r="I63" s="48"/>
      <c r="J63" s="636"/>
      <c r="K63" s="629"/>
      <c r="L63" s="330"/>
      <c r="M63" s="330"/>
    </row>
    <row r="64" spans="2:13" ht="18">
      <c r="B64" s="46"/>
      <c r="C64" s="49"/>
      <c r="D64" s="46"/>
      <c r="E64" s="51"/>
      <c r="F64" s="48"/>
      <c r="G64" s="48"/>
      <c r="H64" s="635"/>
      <c r="I64" s="48"/>
      <c r="J64" s="636"/>
      <c r="K64" s="629"/>
      <c r="L64" s="330"/>
      <c r="M64" s="330"/>
    </row>
    <row r="65" spans="2:4" ht="15">
      <c r="B65" s="637"/>
      <c r="D65" s="55"/>
    </row>
    <row r="66" spans="2:4" ht="15">
      <c r="B66" s="637"/>
      <c r="D66" s="55"/>
    </row>
    <row r="67" spans="2:4" ht="15">
      <c r="B67" s="637"/>
      <c r="D67" s="55"/>
    </row>
    <row r="68" spans="2:4" ht="15">
      <c r="B68" s="637"/>
      <c r="D68" s="55"/>
    </row>
    <row r="69" spans="2:4" ht="15">
      <c r="B69" s="637"/>
      <c r="D69" s="55"/>
    </row>
    <row r="70" spans="2:4" ht="15">
      <c r="B70" s="637"/>
      <c r="D70" s="55"/>
    </row>
    <row r="71" spans="2:4" ht="15">
      <c r="B71" s="637"/>
      <c r="D71" s="55"/>
    </row>
    <row r="72" spans="2:4" ht="15">
      <c r="B72" s="637"/>
      <c r="D72" s="55"/>
    </row>
    <row r="73" spans="2:4" ht="15">
      <c r="B73" s="637"/>
      <c r="D73" s="55"/>
    </row>
    <row r="74" spans="2:4" ht="15">
      <c r="B74" s="637"/>
      <c r="D74" s="55"/>
    </row>
  </sheetData>
  <sheetProtection password="EC35" sheet="1" objects="1" scenarios="1"/>
  <mergeCells count="1">
    <mergeCell ref="L1:L45"/>
  </mergeCells>
  <dataValidations count="3">
    <dataValidation type="whole" operator="greaterThan" allowBlank="1" showInputMessage="1" showErrorMessage="1" errorTitle="SOCIAL INSURANCE NUMBER FORMAT" error="Enter a number without any -  or blanks&#10;Example  012034056" sqref="E31:I31">
      <formula1>0</formula1>
    </dataValidation>
    <dataValidation type="date" operator="greaterThan" allowBlank="1" showInputMessage="1" showErrorMessage="1" errorTitle="DATE ERROR" error="Must be a date and greater than 1950.&#10;Example:  2000-01-31" sqref="E29:I29">
      <formula1>18264</formula1>
    </dataValidation>
    <dataValidation type="list" allowBlank="1" showInputMessage="1" showErrorMessage="1" sqref="E25:I25">
      <formula1>"Yes,No"</formula1>
    </dataValidation>
  </dataValidations>
  <printOptions horizontalCentered="1"/>
  <pageMargins left="0" right="0" top="0" bottom="0" header="0.5" footer="0.5"/>
  <pageSetup fitToHeight="0" fitToWidth="1" horizontalDpi="600" verticalDpi="600" orientation="portrait" scale="57" r:id="rId3"/>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IV90"/>
  <sheetViews>
    <sheetView zoomScalePageLayoutView="0" workbookViewId="0" topLeftCell="A1">
      <selection activeCell="A1" sqref="A1"/>
    </sheetView>
  </sheetViews>
  <sheetFormatPr defaultColWidth="8.88671875" defaultRowHeight="15"/>
  <cols>
    <col min="1" max="1" width="4.5546875" style="630" customWidth="1"/>
    <col min="2" max="2" width="8.3359375" style="630" customWidth="1"/>
    <col min="3" max="3" width="34.77734375" style="630" customWidth="1"/>
    <col min="4" max="4" width="7.99609375" style="630" customWidth="1"/>
    <col min="5" max="10" width="12.21484375" style="630" customWidth="1"/>
    <col min="11" max="11" width="1.88671875" style="630" customWidth="1"/>
    <col min="12" max="16384" width="8.88671875" style="630" customWidth="1"/>
  </cols>
  <sheetData>
    <row r="1" spans="2:12" ht="18">
      <c r="B1" s="35"/>
      <c r="C1" s="33" t="str">
        <f>"T4RSP-"&amp;yeartext&amp;" SLIPS DATA ENTRY FOR"</f>
        <v>T4RSP-2009 SLIPS DATA ENTRY FOR</v>
      </c>
      <c r="D1" s="33"/>
      <c r="E1" s="322" t="s">
        <v>1401</v>
      </c>
      <c r="F1" s="35"/>
      <c r="G1" s="35"/>
      <c r="H1" s="36"/>
      <c r="I1" s="35"/>
      <c r="J1" s="36" t="str">
        <f>yeartext</f>
        <v>2009</v>
      </c>
      <c r="K1" s="629"/>
      <c r="L1" s="1566" t="s">
        <v>35</v>
      </c>
    </row>
    <row r="2" spans="2:12" ht="15.75">
      <c r="B2" s="35"/>
      <c r="C2" s="35"/>
      <c r="D2" s="37"/>
      <c r="E2" s="629"/>
      <c r="F2" s="35"/>
      <c r="G2" s="35"/>
      <c r="H2" s="35"/>
      <c r="I2" s="35"/>
      <c r="J2" s="35"/>
      <c r="K2" s="629"/>
      <c r="L2" s="1566"/>
    </row>
    <row r="3" spans="2:12" ht="18">
      <c r="B3" s="38"/>
      <c r="C3" s="38" t="s">
        <v>2409</v>
      </c>
      <c r="D3" s="35"/>
      <c r="E3" s="37"/>
      <c r="F3" s="35"/>
      <c r="G3" s="35"/>
      <c r="H3" s="35"/>
      <c r="I3" s="35"/>
      <c r="J3" s="35"/>
      <c r="K3" s="629"/>
      <c r="L3" s="1566"/>
    </row>
    <row r="4" spans="2:12" ht="18">
      <c r="B4" s="38"/>
      <c r="C4" s="38" t="s">
        <v>826</v>
      </c>
      <c r="D4" s="35"/>
      <c r="E4" s="37"/>
      <c r="F4" s="35"/>
      <c r="G4" s="35"/>
      <c r="H4" s="35"/>
      <c r="I4" s="35"/>
      <c r="J4" s="35"/>
      <c r="K4" s="629"/>
      <c r="L4" s="1566"/>
    </row>
    <row r="5" spans="2:12" ht="18">
      <c r="B5" s="38"/>
      <c r="C5" s="38" t="s">
        <v>488</v>
      </c>
      <c r="D5" s="35"/>
      <c r="E5" s="37"/>
      <c r="F5" s="35"/>
      <c r="G5" s="35"/>
      <c r="H5" s="35"/>
      <c r="I5" s="35"/>
      <c r="J5" s="35"/>
      <c r="K5" s="629"/>
      <c r="L5" s="1566"/>
    </row>
    <row r="6" spans="2:12" ht="18">
      <c r="B6" s="38"/>
      <c r="C6" s="38" t="s">
        <v>1277</v>
      </c>
      <c r="D6" s="35"/>
      <c r="E6" s="37"/>
      <c r="F6" s="35"/>
      <c r="G6" s="35"/>
      <c r="H6" s="35"/>
      <c r="I6" s="35"/>
      <c r="J6" s="35"/>
      <c r="K6" s="629"/>
      <c r="L6" s="1566"/>
    </row>
    <row r="7" spans="2:12" ht="18">
      <c r="B7" s="38"/>
      <c r="C7" s="38" t="s">
        <v>1752</v>
      </c>
      <c r="D7" s="35"/>
      <c r="E7" s="37"/>
      <c r="F7" s="35"/>
      <c r="G7" s="35"/>
      <c r="H7" s="35"/>
      <c r="I7" s="35"/>
      <c r="J7" s="35"/>
      <c r="K7" s="629"/>
      <c r="L7" s="1566"/>
    </row>
    <row r="8" spans="2:12" ht="18">
      <c r="B8" s="38"/>
      <c r="C8" s="38" t="s">
        <v>2074</v>
      </c>
      <c r="D8" s="35"/>
      <c r="E8" s="37"/>
      <c r="F8" s="35"/>
      <c r="G8" s="35"/>
      <c r="H8" s="35"/>
      <c r="I8" s="35"/>
      <c r="J8" s="35"/>
      <c r="K8" s="629"/>
      <c r="L8" s="1566"/>
    </row>
    <row r="9" spans="2:12" ht="18">
      <c r="B9" s="38"/>
      <c r="C9" s="38" t="s">
        <v>1495</v>
      </c>
      <c r="D9" s="35"/>
      <c r="E9" s="37"/>
      <c r="F9" s="35"/>
      <c r="G9" s="35"/>
      <c r="H9" s="35"/>
      <c r="I9" s="35"/>
      <c r="J9" s="35"/>
      <c r="K9" s="629"/>
      <c r="L9" s="1566"/>
    </row>
    <row r="10" spans="2:12" ht="18">
      <c r="B10" s="38"/>
      <c r="C10" s="38" t="s">
        <v>536</v>
      </c>
      <c r="D10" s="35"/>
      <c r="E10" s="37"/>
      <c r="F10" s="35"/>
      <c r="G10" s="35"/>
      <c r="H10" s="35"/>
      <c r="I10" s="35"/>
      <c r="J10" s="35"/>
      <c r="K10" s="629"/>
      <c r="L10" s="1566"/>
    </row>
    <row r="11" spans="2:12" ht="18">
      <c r="B11" s="38"/>
      <c r="C11" s="38" t="s">
        <v>852</v>
      </c>
      <c r="D11" s="35"/>
      <c r="E11" s="37"/>
      <c r="F11" s="35"/>
      <c r="G11" s="35"/>
      <c r="H11" s="35"/>
      <c r="I11" s="35"/>
      <c r="J11" s="35"/>
      <c r="K11" s="629"/>
      <c r="L11" s="1566"/>
    </row>
    <row r="12" spans="2:12" ht="18">
      <c r="B12" s="38"/>
      <c r="C12" s="38" t="s">
        <v>660</v>
      </c>
      <c r="D12" s="35"/>
      <c r="E12" s="37"/>
      <c r="F12" s="35"/>
      <c r="G12" s="35"/>
      <c r="H12" s="35"/>
      <c r="I12" s="35"/>
      <c r="J12" s="35"/>
      <c r="K12" s="629"/>
      <c r="L12" s="1566"/>
    </row>
    <row r="13" spans="2:12" ht="23.25">
      <c r="B13" s="372"/>
      <c r="C13" s="38"/>
      <c r="D13" s="35"/>
      <c r="E13" s="369"/>
      <c r="F13" s="35"/>
      <c r="G13" s="35"/>
      <c r="H13" s="35"/>
      <c r="I13" s="35"/>
      <c r="J13" s="35"/>
      <c r="K13" s="629"/>
      <c r="L13" s="1566"/>
    </row>
    <row r="14" spans="2:12" ht="36">
      <c r="B14" s="41" t="s">
        <v>855</v>
      </c>
      <c r="C14" s="41" t="s">
        <v>1068</v>
      </c>
      <c r="D14" s="41" t="s">
        <v>673</v>
      </c>
      <c r="E14" s="41" t="s">
        <v>2050</v>
      </c>
      <c r="F14" s="41" t="s">
        <v>2051</v>
      </c>
      <c r="G14" s="41" t="s">
        <v>2052</v>
      </c>
      <c r="H14" s="41" t="s">
        <v>2053</v>
      </c>
      <c r="I14" s="41" t="s">
        <v>2054</v>
      </c>
      <c r="J14" s="42" t="s">
        <v>1217</v>
      </c>
      <c r="K14" s="629"/>
      <c r="L14" s="1566"/>
    </row>
    <row r="15" spans="2:12" ht="18">
      <c r="B15" s="329"/>
      <c r="C15" s="329"/>
      <c r="D15" s="329"/>
      <c r="E15" s="329"/>
      <c r="F15" s="329"/>
      <c r="G15" s="329"/>
      <c r="H15" s="329"/>
      <c r="I15" s="329"/>
      <c r="J15" s="342"/>
      <c r="K15" s="629"/>
      <c r="L15" s="1566"/>
    </row>
    <row r="16" spans="2:12" ht="18">
      <c r="B16" s="46" t="s">
        <v>1896</v>
      </c>
      <c r="C16" s="327" t="s">
        <v>1405</v>
      </c>
      <c r="D16" s="313" t="s">
        <v>1222</v>
      </c>
      <c r="E16" s="328"/>
      <c r="F16" s="328"/>
      <c r="G16" s="328"/>
      <c r="H16" s="328"/>
      <c r="I16" s="328"/>
      <c r="J16" s="631">
        <f>SUM(E16:I16)</f>
        <v>0</v>
      </c>
      <c r="K16" s="629"/>
      <c r="L16" s="1566"/>
    </row>
    <row r="17" spans="2:12" ht="18">
      <c r="B17" s="46"/>
      <c r="C17" s="1321" t="s">
        <v>1406</v>
      </c>
      <c r="D17" s="313"/>
      <c r="E17" s="554" t="s">
        <v>2075</v>
      </c>
      <c r="F17" s="554" t="s">
        <v>2075</v>
      </c>
      <c r="G17" s="554" t="s">
        <v>2075</v>
      </c>
      <c r="H17" s="554" t="s">
        <v>2075</v>
      </c>
      <c r="I17" s="554" t="s">
        <v>2075</v>
      </c>
      <c r="J17" s="631"/>
      <c r="K17" s="629"/>
      <c r="L17" s="1566"/>
    </row>
    <row r="18" spans="2:12" ht="18">
      <c r="B18" s="35"/>
      <c r="C18" s="38"/>
      <c r="D18" s="313"/>
      <c r="E18" s="37"/>
      <c r="F18" s="35"/>
      <c r="G18" s="35"/>
      <c r="H18" s="37"/>
      <c r="I18" s="35"/>
      <c r="J18" s="35"/>
      <c r="K18" s="629"/>
      <c r="L18" s="1566"/>
    </row>
    <row r="19" spans="2:12" ht="18">
      <c r="B19" s="56" t="s">
        <v>1896</v>
      </c>
      <c r="C19" s="327" t="s">
        <v>1512</v>
      </c>
      <c r="D19" s="313" t="s">
        <v>1225</v>
      </c>
      <c r="E19" s="328"/>
      <c r="F19" s="328"/>
      <c r="G19" s="328"/>
      <c r="H19" s="328"/>
      <c r="I19" s="328"/>
      <c r="J19" s="631">
        <f>SUM(E19:I19)</f>
        <v>0</v>
      </c>
      <c r="K19" s="629"/>
      <c r="L19" s="1566"/>
    </row>
    <row r="20" spans="2:12" ht="18">
      <c r="B20" s="33"/>
      <c r="C20" s="322"/>
      <c r="D20" s="313"/>
      <c r="E20" s="33"/>
      <c r="F20" s="33"/>
      <c r="G20" s="33"/>
      <c r="H20" s="33"/>
      <c r="I20" s="33"/>
      <c r="J20" s="33"/>
      <c r="K20" s="629"/>
      <c r="L20" s="1566"/>
    </row>
    <row r="21" spans="2:256" s="653" customFormat="1" ht="18">
      <c r="B21" s="56" t="s">
        <v>132</v>
      </c>
      <c r="C21" s="327" t="s">
        <v>2094</v>
      </c>
      <c r="D21" s="313" t="s">
        <v>1227</v>
      </c>
      <c r="E21" s="328"/>
      <c r="F21" s="328"/>
      <c r="G21" s="328"/>
      <c r="H21" s="328"/>
      <c r="I21" s="328"/>
      <c r="J21" s="631">
        <f>SUM(E21:I21)</f>
        <v>0</v>
      </c>
      <c r="K21" s="629"/>
      <c r="L21" s="1566"/>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1"/>
      <c r="CN21" s="371"/>
      <c r="CO21" s="371"/>
      <c r="CP21" s="371"/>
      <c r="CQ21" s="371"/>
      <c r="CR21" s="371"/>
      <c r="CS21" s="371"/>
      <c r="CT21" s="371"/>
      <c r="CU21" s="371"/>
      <c r="CV21" s="371"/>
      <c r="CW21" s="371"/>
      <c r="CX21" s="371"/>
      <c r="CY21" s="371"/>
      <c r="CZ21" s="371"/>
      <c r="DA21" s="371"/>
      <c r="DB21" s="371"/>
      <c r="DC21" s="371"/>
      <c r="DD21" s="371"/>
      <c r="DE21" s="371"/>
      <c r="DF21" s="371"/>
      <c r="DG21" s="371"/>
      <c r="DH21" s="371"/>
      <c r="DI21" s="371"/>
      <c r="DJ21" s="371"/>
      <c r="DK21" s="371"/>
      <c r="DL21" s="371"/>
      <c r="DM21" s="371"/>
      <c r="DN21" s="371"/>
      <c r="DO21" s="371"/>
      <c r="DP21" s="371"/>
      <c r="DQ21" s="371"/>
      <c r="DR21" s="371"/>
      <c r="DS21" s="371"/>
      <c r="DT21" s="371"/>
      <c r="DU21" s="371"/>
      <c r="DV21" s="371"/>
      <c r="DW21" s="371"/>
      <c r="DX21" s="371"/>
      <c r="DY21" s="371"/>
      <c r="DZ21" s="371"/>
      <c r="EA21" s="371"/>
      <c r="EB21" s="371"/>
      <c r="EC21" s="371"/>
      <c r="ED21" s="371"/>
      <c r="EE21" s="371"/>
      <c r="EF21" s="371"/>
      <c r="EG21" s="371"/>
      <c r="EH21" s="371"/>
      <c r="EI21" s="371"/>
      <c r="EJ21" s="371"/>
      <c r="EK21" s="371"/>
      <c r="EL21" s="371"/>
      <c r="EM21" s="371"/>
      <c r="EN21" s="371"/>
      <c r="EO21" s="371"/>
      <c r="EP21" s="371"/>
      <c r="EQ21" s="371"/>
      <c r="ER21" s="371"/>
      <c r="ES21" s="371"/>
      <c r="ET21" s="371"/>
      <c r="EU21" s="371"/>
      <c r="EV21" s="371"/>
      <c r="EW21" s="371"/>
      <c r="EX21" s="371"/>
      <c r="EY21" s="371"/>
      <c r="EZ21" s="371"/>
      <c r="FA21" s="371"/>
      <c r="FB21" s="371"/>
      <c r="FC21" s="371"/>
      <c r="FD21" s="371"/>
      <c r="FE21" s="371"/>
      <c r="FF21" s="371"/>
      <c r="FG21" s="371"/>
      <c r="FH21" s="371"/>
      <c r="FI21" s="371"/>
      <c r="FJ21" s="371"/>
      <c r="FK21" s="371"/>
      <c r="FL21" s="371"/>
      <c r="FM21" s="371"/>
      <c r="FN21" s="371"/>
      <c r="FO21" s="371"/>
      <c r="FP21" s="371"/>
      <c r="FQ21" s="371"/>
      <c r="FR21" s="371"/>
      <c r="FS21" s="371"/>
      <c r="FT21" s="371"/>
      <c r="FU21" s="371"/>
      <c r="FV21" s="371"/>
      <c r="FW21" s="371"/>
      <c r="FX21" s="371"/>
      <c r="FY21" s="371"/>
      <c r="FZ21" s="371"/>
      <c r="GA21" s="371"/>
      <c r="GB21" s="371"/>
      <c r="GC21" s="371"/>
      <c r="GD21" s="371"/>
      <c r="GE21" s="371"/>
      <c r="GF21" s="371"/>
      <c r="GG21" s="371"/>
      <c r="GH21" s="371"/>
      <c r="GI21" s="371"/>
      <c r="GJ21" s="371"/>
      <c r="GK21" s="371"/>
      <c r="GL21" s="371"/>
      <c r="GM21" s="371"/>
      <c r="GN21" s="371"/>
      <c r="GO21" s="371"/>
      <c r="GP21" s="371"/>
      <c r="GQ21" s="371"/>
      <c r="GR21" s="371"/>
      <c r="GS21" s="371"/>
      <c r="GT21" s="371"/>
      <c r="GU21" s="371"/>
      <c r="GV21" s="371"/>
      <c r="GW21" s="371"/>
      <c r="GX21" s="371"/>
      <c r="GY21" s="371"/>
      <c r="GZ21" s="371"/>
      <c r="HA21" s="371"/>
      <c r="HB21" s="371"/>
      <c r="HC21" s="371"/>
      <c r="HD21" s="371"/>
      <c r="HE21" s="371"/>
      <c r="HF21" s="371"/>
      <c r="HG21" s="371"/>
      <c r="HH21" s="371"/>
      <c r="HI21" s="371"/>
      <c r="HJ21" s="371"/>
      <c r="HK21" s="371"/>
      <c r="HL21" s="371"/>
      <c r="HM21" s="371"/>
      <c r="HN21" s="371"/>
      <c r="HO21" s="371"/>
      <c r="HP21" s="371"/>
      <c r="HQ21" s="371"/>
      <c r="HR21" s="371"/>
      <c r="HS21" s="371"/>
      <c r="HT21" s="371"/>
      <c r="HU21" s="371"/>
      <c r="HV21" s="371"/>
      <c r="HW21" s="371"/>
      <c r="HX21" s="371"/>
      <c r="HY21" s="371"/>
      <c r="HZ21" s="371"/>
      <c r="IA21" s="371"/>
      <c r="IB21" s="371"/>
      <c r="IC21" s="371"/>
      <c r="ID21" s="371"/>
      <c r="IE21" s="371"/>
      <c r="IF21" s="371"/>
      <c r="IG21" s="371"/>
      <c r="IH21" s="371"/>
      <c r="II21" s="371"/>
      <c r="IJ21" s="371"/>
      <c r="IK21" s="371"/>
      <c r="IL21" s="371"/>
      <c r="IM21" s="371"/>
      <c r="IN21" s="371"/>
      <c r="IO21" s="371"/>
      <c r="IP21" s="371"/>
      <c r="IQ21" s="371"/>
      <c r="IR21" s="371"/>
      <c r="IS21" s="371"/>
      <c r="IT21" s="371"/>
      <c r="IU21" s="371"/>
      <c r="IV21" s="371"/>
    </row>
    <row r="22" spans="2:256" s="653" customFormat="1" ht="36">
      <c r="B22" s="914" t="s">
        <v>987</v>
      </c>
      <c r="C22" s="477" t="s">
        <v>2105</v>
      </c>
      <c r="D22" s="313"/>
      <c r="E22" s="554" t="s">
        <v>2075</v>
      </c>
      <c r="F22" s="554" t="s">
        <v>2075</v>
      </c>
      <c r="G22" s="554" t="s">
        <v>2075</v>
      </c>
      <c r="H22" s="554" t="s">
        <v>2075</v>
      </c>
      <c r="I22" s="554" t="s">
        <v>2075</v>
      </c>
      <c r="J22" s="35"/>
      <c r="K22" s="629"/>
      <c r="L22" s="1566"/>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1"/>
      <c r="CD22" s="371"/>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371"/>
      <c r="ED22" s="371"/>
      <c r="EE22" s="371"/>
      <c r="EF22" s="371"/>
      <c r="EG22" s="371"/>
      <c r="EH22" s="371"/>
      <c r="EI22" s="371"/>
      <c r="EJ22" s="371"/>
      <c r="EK22" s="371"/>
      <c r="EL22" s="371"/>
      <c r="EM22" s="371"/>
      <c r="EN22" s="371"/>
      <c r="EO22" s="371"/>
      <c r="EP22" s="371"/>
      <c r="EQ22" s="371"/>
      <c r="ER22" s="371"/>
      <c r="ES22" s="371"/>
      <c r="ET22" s="371"/>
      <c r="EU22" s="371"/>
      <c r="EV22" s="371"/>
      <c r="EW22" s="371"/>
      <c r="EX22" s="371"/>
      <c r="EY22" s="371"/>
      <c r="EZ22" s="371"/>
      <c r="FA22" s="371"/>
      <c r="FB22" s="371"/>
      <c r="FC22" s="371"/>
      <c r="FD22" s="371"/>
      <c r="FE22" s="371"/>
      <c r="FF22" s="371"/>
      <c r="FG22" s="371"/>
      <c r="FH22" s="371"/>
      <c r="FI22" s="371"/>
      <c r="FJ22" s="371"/>
      <c r="FK22" s="371"/>
      <c r="FL22" s="371"/>
      <c r="FM22" s="371"/>
      <c r="FN22" s="371"/>
      <c r="FO22" s="371"/>
      <c r="FP22" s="371"/>
      <c r="FQ22" s="371"/>
      <c r="FR22" s="371"/>
      <c r="FS22" s="371"/>
      <c r="FT22" s="371"/>
      <c r="FU22" s="371"/>
      <c r="FV22" s="371"/>
      <c r="FW22" s="371"/>
      <c r="FX22" s="371"/>
      <c r="FY22" s="371"/>
      <c r="FZ22" s="371"/>
      <c r="GA22" s="371"/>
      <c r="GB22" s="371"/>
      <c r="GC22" s="371"/>
      <c r="GD22" s="371"/>
      <c r="GE22" s="371"/>
      <c r="GF22" s="371"/>
      <c r="GG22" s="371"/>
      <c r="GH22" s="371"/>
      <c r="GI22" s="371"/>
      <c r="GJ22" s="371"/>
      <c r="GK22" s="371"/>
      <c r="GL22" s="371"/>
      <c r="GM22" s="371"/>
      <c r="GN22" s="371"/>
      <c r="GO22" s="371"/>
      <c r="GP22" s="371"/>
      <c r="GQ22" s="371"/>
      <c r="GR22" s="371"/>
      <c r="GS22" s="371"/>
      <c r="GT22" s="371"/>
      <c r="GU22" s="371"/>
      <c r="GV22" s="371"/>
      <c r="GW22" s="371"/>
      <c r="GX22" s="371"/>
      <c r="GY22" s="371"/>
      <c r="GZ22" s="371"/>
      <c r="HA22" s="371"/>
      <c r="HB22" s="371"/>
      <c r="HC22" s="371"/>
      <c r="HD22" s="371"/>
      <c r="HE22" s="371"/>
      <c r="HF22" s="371"/>
      <c r="HG22" s="371"/>
      <c r="HH22" s="371"/>
      <c r="HI22" s="371"/>
      <c r="HJ22" s="371"/>
      <c r="HK22" s="371"/>
      <c r="HL22" s="371"/>
      <c r="HM22" s="371"/>
      <c r="HN22" s="371"/>
      <c r="HO22" s="371"/>
      <c r="HP22" s="371"/>
      <c r="HQ22" s="371"/>
      <c r="HR22" s="371"/>
      <c r="HS22" s="371"/>
      <c r="HT22" s="371"/>
      <c r="HU22" s="371"/>
      <c r="HV22" s="371"/>
      <c r="HW22" s="371"/>
      <c r="HX22" s="371"/>
      <c r="HY22" s="371"/>
      <c r="HZ22" s="371"/>
      <c r="IA22" s="371"/>
      <c r="IB22" s="371"/>
      <c r="IC22" s="371"/>
      <c r="ID22" s="371"/>
      <c r="IE22" s="371"/>
      <c r="IF22" s="371"/>
      <c r="IG22" s="371"/>
      <c r="IH22" s="371"/>
      <c r="II22" s="371"/>
      <c r="IJ22" s="371"/>
      <c r="IK22" s="371"/>
      <c r="IL22" s="371"/>
      <c r="IM22" s="371"/>
      <c r="IN22" s="371"/>
      <c r="IO22" s="371"/>
      <c r="IP22" s="371"/>
      <c r="IQ22" s="371"/>
      <c r="IR22" s="371"/>
      <c r="IS22" s="371"/>
      <c r="IT22" s="371"/>
      <c r="IU22" s="371"/>
      <c r="IV22" s="371"/>
    </row>
    <row r="23" spans="2:12" ht="18">
      <c r="B23" s="343"/>
      <c r="C23" s="38"/>
      <c r="D23" s="313"/>
      <c r="E23" s="33"/>
      <c r="F23" s="35"/>
      <c r="G23" s="35"/>
      <c r="H23" s="35"/>
      <c r="I23" s="35"/>
      <c r="J23" s="35"/>
      <c r="K23" s="629"/>
      <c r="L23" s="1566"/>
    </row>
    <row r="24" spans="2:12" ht="18">
      <c r="B24" s="56" t="s">
        <v>1896</v>
      </c>
      <c r="C24" s="327" t="s">
        <v>133</v>
      </c>
      <c r="D24" s="313" t="s">
        <v>1229</v>
      </c>
      <c r="E24" s="328"/>
      <c r="F24" s="328"/>
      <c r="G24" s="328"/>
      <c r="H24" s="328"/>
      <c r="I24" s="328"/>
      <c r="J24" s="631">
        <f>SUM(E24:I24)</f>
        <v>0</v>
      </c>
      <c r="K24" s="629"/>
      <c r="L24" s="1566"/>
    </row>
    <row r="25" spans="2:12" ht="18">
      <c r="B25" s="341" t="s">
        <v>1546</v>
      </c>
      <c r="C25" s="327" t="s">
        <v>134</v>
      </c>
      <c r="D25" s="313"/>
      <c r="E25" s="33"/>
      <c r="F25" s="35"/>
      <c r="G25" s="35"/>
      <c r="H25" s="35"/>
      <c r="I25" s="35"/>
      <c r="J25" s="35"/>
      <c r="K25" s="629"/>
      <c r="L25" s="1566"/>
    </row>
    <row r="26" spans="2:12" ht="18">
      <c r="B26" s="56"/>
      <c r="C26" s="327" t="s">
        <v>1633</v>
      </c>
      <c r="D26" s="313" t="s">
        <v>956</v>
      </c>
      <c r="E26" s="1135" t="s">
        <v>2075</v>
      </c>
      <c r="F26" s="1135" t="s">
        <v>2075</v>
      </c>
      <c r="G26" s="1135" t="s">
        <v>2075</v>
      </c>
      <c r="H26" s="1135" t="s">
        <v>2075</v>
      </c>
      <c r="I26" s="1135" t="s">
        <v>2075</v>
      </c>
      <c r="J26" s="35"/>
      <c r="K26" s="629"/>
      <c r="L26" s="1566"/>
    </row>
    <row r="27" spans="2:12" ht="18">
      <c r="B27" s="341"/>
      <c r="C27" s="327" t="s">
        <v>1634</v>
      </c>
      <c r="D27" s="313"/>
      <c r="E27" s="33"/>
      <c r="F27" s="35"/>
      <c r="G27" s="35"/>
      <c r="H27" s="35"/>
      <c r="I27" s="35"/>
      <c r="J27" s="35"/>
      <c r="K27" s="629"/>
      <c r="L27" s="1566"/>
    </row>
    <row r="28" spans="2:12" ht="18">
      <c r="B28" s="46" t="s">
        <v>1224</v>
      </c>
      <c r="C28" s="327" t="s">
        <v>78</v>
      </c>
      <c r="D28" s="313" t="s">
        <v>1712</v>
      </c>
      <c r="E28" s="328"/>
      <c r="F28" s="328"/>
      <c r="G28" s="328"/>
      <c r="H28" s="328"/>
      <c r="I28" s="328"/>
      <c r="J28" s="631">
        <f>SUM(E28:I28)</f>
        <v>0</v>
      </c>
      <c r="K28" s="629"/>
      <c r="L28" s="1566"/>
    </row>
    <row r="29" spans="2:12" ht="18">
      <c r="B29" s="35"/>
      <c r="C29" s="38"/>
      <c r="D29" s="327"/>
      <c r="E29" s="37"/>
      <c r="F29" s="35"/>
      <c r="G29" s="35"/>
      <c r="H29" s="35"/>
      <c r="I29" s="35"/>
      <c r="J29" s="35"/>
      <c r="K29" s="629"/>
      <c r="L29" s="1566"/>
    </row>
    <row r="30" spans="2:12" ht="18">
      <c r="B30" s="46" t="s">
        <v>1896</v>
      </c>
      <c r="C30" s="327" t="s">
        <v>129</v>
      </c>
      <c r="D30" s="313" t="s">
        <v>958</v>
      </c>
      <c r="E30" s="328"/>
      <c r="F30" s="328"/>
      <c r="G30" s="328"/>
      <c r="H30" s="328"/>
      <c r="I30" s="328"/>
      <c r="J30" s="631">
        <f>SUM(E30:I30)</f>
        <v>0</v>
      </c>
      <c r="K30" s="629"/>
      <c r="L30" s="1566"/>
    </row>
    <row r="31" spans="2:12" ht="25.5" customHeight="1">
      <c r="B31" s="475" t="s">
        <v>1546</v>
      </c>
      <c r="C31" s="476" t="s">
        <v>130</v>
      </c>
      <c r="D31" s="313"/>
      <c r="E31" s="37"/>
      <c r="F31" s="35"/>
      <c r="G31" s="35"/>
      <c r="H31" s="37"/>
      <c r="I31" s="35"/>
      <c r="J31" s="35"/>
      <c r="K31" s="629"/>
      <c r="L31" s="1566"/>
    </row>
    <row r="32" spans="2:12" ht="25.5" customHeight="1">
      <c r="B32" s="716" t="s">
        <v>126</v>
      </c>
      <c r="C32" s="327" t="s">
        <v>77</v>
      </c>
      <c r="D32" s="313" t="s">
        <v>1713</v>
      </c>
      <c r="E32" s="328"/>
      <c r="F32" s="328"/>
      <c r="G32" s="328"/>
      <c r="H32" s="328"/>
      <c r="I32" s="328"/>
      <c r="J32" s="631">
        <f>SUM(E32:I32)</f>
        <v>0</v>
      </c>
      <c r="K32" s="629"/>
      <c r="L32" s="1566"/>
    </row>
    <row r="33" spans="2:12" ht="25.5" customHeight="1">
      <c r="B33" s="475"/>
      <c r="C33" s="476"/>
      <c r="D33" s="313"/>
      <c r="E33" s="37"/>
      <c r="F33" s="35"/>
      <c r="G33" s="35"/>
      <c r="H33" s="37"/>
      <c r="I33" s="35"/>
      <c r="J33" s="35"/>
      <c r="K33" s="629"/>
      <c r="L33" s="1566"/>
    </row>
    <row r="34" spans="2:12" ht="18">
      <c r="B34" s="56" t="s">
        <v>132</v>
      </c>
      <c r="C34" s="327" t="s">
        <v>131</v>
      </c>
      <c r="D34" s="313" t="s">
        <v>1714</v>
      </c>
      <c r="E34" s="328"/>
      <c r="F34" s="328"/>
      <c r="G34" s="328"/>
      <c r="H34" s="328"/>
      <c r="I34" s="328"/>
      <c r="J34" s="631">
        <f>SUM(E34:I34)</f>
        <v>0</v>
      </c>
      <c r="K34" s="629"/>
      <c r="L34" s="1566"/>
    </row>
    <row r="35" spans="2:12" ht="18">
      <c r="B35" s="33"/>
      <c r="C35" s="322"/>
      <c r="D35" s="313"/>
      <c r="E35" s="33"/>
      <c r="F35" s="33"/>
      <c r="G35" s="33"/>
      <c r="H35" s="33"/>
      <c r="I35" s="33"/>
      <c r="J35" s="33"/>
      <c r="K35" s="629"/>
      <c r="L35" s="1566"/>
    </row>
    <row r="36" spans="2:12" ht="18">
      <c r="B36" s="56" t="s">
        <v>1230</v>
      </c>
      <c r="C36" s="327" t="s">
        <v>854</v>
      </c>
      <c r="D36" s="313" t="s">
        <v>716</v>
      </c>
      <c r="E36" s="328"/>
      <c r="F36" s="328"/>
      <c r="G36" s="328"/>
      <c r="H36" s="328"/>
      <c r="I36" s="328"/>
      <c r="J36" s="631">
        <f>SUM(E36:I36)</f>
        <v>0</v>
      </c>
      <c r="K36" s="629"/>
      <c r="L36" s="1566"/>
    </row>
    <row r="37" spans="2:12" ht="18">
      <c r="B37" s="35"/>
      <c r="C37" s="38"/>
      <c r="D37" s="313"/>
      <c r="E37" s="33"/>
      <c r="F37" s="33"/>
      <c r="G37" s="33"/>
      <c r="H37" s="33"/>
      <c r="I37" s="33"/>
      <c r="J37" s="35"/>
      <c r="K37" s="629"/>
      <c r="L37" s="1566"/>
    </row>
    <row r="38" spans="2:12" ht="18">
      <c r="B38" s="46" t="s">
        <v>1896</v>
      </c>
      <c r="C38" s="327" t="s">
        <v>129</v>
      </c>
      <c r="D38" s="313" t="s">
        <v>2011</v>
      </c>
      <c r="E38" s="328"/>
      <c r="F38" s="328"/>
      <c r="G38" s="328"/>
      <c r="H38" s="328"/>
      <c r="I38" s="328"/>
      <c r="J38" s="631">
        <f>SUM(E38:I38)</f>
        <v>0</v>
      </c>
      <c r="K38" s="629"/>
      <c r="L38" s="1566"/>
    </row>
    <row r="39" spans="2:12" ht="24" customHeight="1">
      <c r="B39" s="35"/>
      <c r="C39" s="476" t="s">
        <v>446</v>
      </c>
      <c r="D39" s="327"/>
      <c r="E39" s="33"/>
      <c r="F39" s="35"/>
      <c r="G39" s="35"/>
      <c r="H39" s="35"/>
      <c r="I39" s="35"/>
      <c r="J39" s="35"/>
      <c r="K39" s="629"/>
      <c r="L39" s="1566"/>
    </row>
    <row r="40" spans="2:12" ht="24" customHeight="1">
      <c r="B40" s="35"/>
      <c r="C40" s="1811" t="s">
        <v>79</v>
      </c>
      <c r="D40" s="313">
        <v>35</v>
      </c>
      <c r="E40" s="328"/>
      <c r="F40" s="328"/>
      <c r="G40" s="328"/>
      <c r="H40" s="328"/>
      <c r="I40" s="328"/>
      <c r="J40" s="631">
        <f>SUM(E40:I40)</f>
        <v>0</v>
      </c>
      <c r="K40" s="629"/>
      <c r="L40" s="1566"/>
    </row>
    <row r="41" spans="2:12" ht="24" customHeight="1">
      <c r="B41" s="35"/>
      <c r="C41" s="1811"/>
      <c r="D41" s="327"/>
      <c r="E41" s="33"/>
      <c r="F41" s="35"/>
      <c r="G41" s="35"/>
      <c r="H41" s="35"/>
      <c r="I41" s="35"/>
      <c r="J41" s="35"/>
      <c r="K41" s="629"/>
      <c r="L41" s="1566"/>
    </row>
    <row r="42" spans="2:12" ht="18">
      <c r="B42" s="56"/>
      <c r="C42" s="327" t="s">
        <v>1696</v>
      </c>
      <c r="D42" s="313" t="s">
        <v>715</v>
      </c>
      <c r="E42" s="474"/>
      <c r="F42" s="474"/>
      <c r="G42" s="474"/>
      <c r="H42" s="474"/>
      <c r="I42" s="474"/>
      <c r="J42" s="35"/>
      <c r="K42" s="629"/>
      <c r="L42" s="1566"/>
    </row>
    <row r="43" spans="2:12" ht="18">
      <c r="B43" s="35"/>
      <c r="C43" s="38"/>
      <c r="D43" s="313"/>
      <c r="E43" s="33"/>
      <c r="F43" s="35"/>
      <c r="G43" s="35"/>
      <c r="H43" s="35"/>
      <c r="I43" s="35"/>
      <c r="J43" s="35"/>
      <c r="K43" s="629"/>
      <c r="L43" s="1566"/>
    </row>
    <row r="44" spans="2:12" ht="18">
      <c r="B44" s="46"/>
      <c r="C44" s="327" t="s">
        <v>866</v>
      </c>
      <c r="D44" s="313" t="s">
        <v>1698</v>
      </c>
      <c r="E44" s="328"/>
      <c r="F44" s="328"/>
      <c r="G44" s="328"/>
      <c r="H44" s="328"/>
      <c r="I44" s="328"/>
      <c r="J44" s="631">
        <f>SUM(E44:I44)</f>
        <v>0</v>
      </c>
      <c r="K44" s="629"/>
      <c r="L44" s="1566"/>
    </row>
    <row r="45" spans="2:12" ht="18">
      <c r="B45" s="38"/>
      <c r="C45" s="38"/>
      <c r="D45" s="35"/>
      <c r="E45" s="33"/>
      <c r="F45" s="35"/>
      <c r="G45" s="35"/>
      <c r="H45" s="35"/>
      <c r="I45" s="35"/>
      <c r="J45" s="35"/>
      <c r="K45" s="629"/>
      <c r="L45" s="1566"/>
    </row>
    <row r="46" spans="2:12" ht="18">
      <c r="B46" s="38"/>
      <c r="C46" s="38"/>
      <c r="D46" s="35"/>
      <c r="E46" s="37"/>
      <c r="F46" s="35"/>
      <c r="G46" s="35"/>
      <c r="H46" s="35"/>
      <c r="I46" s="35"/>
      <c r="J46" s="35"/>
      <c r="K46" s="629"/>
      <c r="L46" s="1566"/>
    </row>
    <row r="47" spans="2:12" ht="18">
      <c r="B47" s="38"/>
      <c r="C47" s="38"/>
      <c r="D47" s="35"/>
      <c r="E47" s="37"/>
      <c r="F47" s="35"/>
      <c r="G47" s="35"/>
      <c r="H47" s="35"/>
      <c r="I47" s="35"/>
      <c r="J47" s="35"/>
      <c r="K47" s="629"/>
      <c r="L47" s="1566"/>
    </row>
    <row r="48" spans="2:12" ht="18.75" thickBot="1">
      <c r="B48" s="298"/>
      <c r="C48" s="299"/>
      <c r="D48" s="298"/>
      <c r="E48" s="300"/>
      <c r="F48" s="301"/>
      <c r="G48" s="301"/>
      <c r="H48" s="632"/>
      <c r="I48" s="301"/>
      <c r="J48" s="633"/>
      <c r="K48" s="634"/>
      <c r="L48" s="1566"/>
    </row>
    <row r="49" spans="2:12" ht="18">
      <c r="B49" s="46"/>
      <c r="C49" s="33" t="str">
        <f>"T4RSP-"&amp;yeartext&amp;" GENERAL DATA SUMMARY"</f>
        <v>T4RSP-2009 GENERAL DATA SUMMARY</v>
      </c>
      <c r="D49" s="33"/>
      <c r="E49" s="322" t="s">
        <v>1401</v>
      </c>
      <c r="F49" s="35"/>
      <c r="G49" s="35"/>
      <c r="H49" s="36"/>
      <c r="I49" s="35"/>
      <c r="J49" s="36" t="str">
        <f>yeartext</f>
        <v>2009</v>
      </c>
      <c r="K49" s="629"/>
      <c r="L49" s="340"/>
    </row>
    <row r="50" spans="2:12" ht="18">
      <c r="B50" s="46"/>
      <c r="C50" s="33"/>
      <c r="D50" s="33"/>
      <c r="E50" s="322"/>
      <c r="F50" s="35"/>
      <c r="G50" s="35"/>
      <c r="H50" s="36"/>
      <c r="I50" s="35"/>
      <c r="J50" s="36"/>
      <c r="K50" s="629"/>
      <c r="L50" s="340"/>
    </row>
    <row r="51" spans="2:12" ht="18">
      <c r="B51" s="46"/>
      <c r="C51" s="33" t="s">
        <v>209</v>
      </c>
      <c r="D51" s="33"/>
      <c r="E51" s="552">
        <f>IF(OR(E26="Yes",AND(E42&gt;0,E42='T1 GEN-1'!$T$26)),2,1)</f>
        <v>1</v>
      </c>
      <c r="F51" s="552">
        <f>IF(OR(F26="Yes",AND(F42&gt;0,F42='T1 GEN-1'!$T$26)),2,1)</f>
        <v>1</v>
      </c>
      <c r="G51" s="552">
        <f>IF(OR(G26="Yes",AND(G42&gt;0,G42='T1 GEN-1'!$T$26)),2,1)</f>
        <v>1</v>
      </c>
      <c r="H51" s="552">
        <f>IF(OR(H26="Yes",AND(H42&gt;0,H42='T1 GEN-1'!$T$26)),2,1)</f>
        <v>1</v>
      </c>
      <c r="I51" s="552">
        <f>IF(OR(I26="Yes",AND(I42&gt;0,I42='T1 GEN-1'!$T$26)),2,1)</f>
        <v>1</v>
      </c>
      <c r="J51" s="36"/>
      <c r="K51" s="629"/>
      <c r="L51" s="340"/>
    </row>
    <row r="52" spans="2:12" ht="18">
      <c r="B52" s="46"/>
      <c r="C52" s="49" t="s">
        <v>211</v>
      </c>
      <c r="D52" s="46"/>
      <c r="E52" s="553">
        <f>IF(OR(age&gt;=65,E17="Yes"),2,1)</f>
        <v>1</v>
      </c>
      <c r="F52" s="553">
        <f>IF(OR(age&gt;=65,F17="Yes"),2,1)</f>
        <v>1</v>
      </c>
      <c r="G52" s="553">
        <f>IF(OR(age&gt;=65,G17="Yes"),2,1)</f>
        <v>1</v>
      </c>
      <c r="H52" s="553">
        <f>IF(OR(age&gt;=65,H17="Yes"),2,1)</f>
        <v>1</v>
      </c>
      <c r="I52" s="553">
        <f>IF(OR(age&gt;=65,I17="Yes"),2,1)</f>
        <v>1</v>
      </c>
      <c r="J52" s="636"/>
      <c r="K52" s="629"/>
      <c r="L52" s="340"/>
    </row>
    <row r="53" spans="2:12" ht="36">
      <c r="B53" s="46"/>
      <c r="C53" s="41" t="s">
        <v>141</v>
      </c>
      <c r="D53" s="41" t="s">
        <v>855</v>
      </c>
      <c r="E53" s="542" t="s">
        <v>142</v>
      </c>
      <c r="F53" s="542" t="s">
        <v>143</v>
      </c>
      <c r="G53" s="542" t="s">
        <v>144</v>
      </c>
      <c r="H53" s="542" t="s">
        <v>145</v>
      </c>
      <c r="I53" s="542" t="s">
        <v>1765</v>
      </c>
      <c r="J53" s="41" t="s">
        <v>115</v>
      </c>
      <c r="K53" s="629"/>
      <c r="L53" s="340"/>
    </row>
    <row r="54" spans="2:12" ht="18">
      <c r="B54" s="46"/>
      <c r="C54" s="296" t="s">
        <v>1678</v>
      </c>
      <c r="D54" s="374" t="s">
        <v>1744</v>
      </c>
      <c r="E54" s="642">
        <f>IF(E52=2,E16,0)</f>
        <v>0</v>
      </c>
      <c r="F54" s="642">
        <f>IF(F52=2,F16,0)</f>
        <v>0</v>
      </c>
      <c r="G54" s="642">
        <f>IF(G52=2,G16,0)</f>
        <v>0</v>
      </c>
      <c r="H54" s="642">
        <f>IF(H52=2,H16,0)</f>
        <v>0</v>
      </c>
      <c r="I54" s="642">
        <f>IF(I52=2,I16,0)</f>
        <v>0</v>
      </c>
      <c r="J54" s="334">
        <f>SUM(E54:I54)</f>
        <v>0</v>
      </c>
      <c r="K54" s="629"/>
      <c r="L54" s="340"/>
    </row>
    <row r="55" spans="2:12" ht="18">
      <c r="B55" s="46"/>
      <c r="C55" s="296"/>
      <c r="D55" s="374"/>
      <c r="E55" s="654"/>
      <c r="F55" s="654"/>
      <c r="G55" s="654"/>
      <c r="H55" s="654"/>
      <c r="I55" s="654"/>
      <c r="J55" s="330"/>
      <c r="K55" s="629"/>
      <c r="L55" s="340"/>
    </row>
    <row r="56" spans="2:12" ht="18">
      <c r="B56" s="46"/>
      <c r="C56" s="296" t="s">
        <v>1166</v>
      </c>
      <c r="D56" s="297" t="s">
        <v>1896</v>
      </c>
      <c r="E56" s="334">
        <f>E16</f>
        <v>0</v>
      </c>
      <c r="F56" s="334">
        <f>F16</f>
        <v>0</v>
      </c>
      <c r="G56" s="334">
        <f>G16</f>
        <v>0</v>
      </c>
      <c r="H56" s="334">
        <f>H16</f>
        <v>0</v>
      </c>
      <c r="I56" s="334">
        <f>I16</f>
        <v>0</v>
      </c>
      <c r="J56" s="330"/>
      <c r="K56" s="629"/>
      <c r="L56" s="340"/>
    </row>
    <row r="57" spans="2:12" ht="18">
      <c r="B57" s="46"/>
      <c r="C57" s="296" t="s">
        <v>1387</v>
      </c>
      <c r="D57" s="297" t="s">
        <v>1896</v>
      </c>
      <c r="E57" s="334">
        <f>E19</f>
        <v>0</v>
      </c>
      <c r="F57" s="334">
        <f>F19</f>
        <v>0</v>
      </c>
      <c r="G57" s="334">
        <f>G19</f>
        <v>0</v>
      </c>
      <c r="H57" s="334">
        <f>H19</f>
        <v>0</v>
      </c>
      <c r="I57" s="334">
        <f>I19</f>
        <v>0</v>
      </c>
      <c r="J57" s="330"/>
      <c r="K57" s="629"/>
      <c r="L57" s="340"/>
    </row>
    <row r="58" spans="2:12" ht="18">
      <c r="B58" s="46"/>
      <c r="C58" s="296" t="s">
        <v>1167</v>
      </c>
      <c r="D58" s="297" t="s">
        <v>1896</v>
      </c>
      <c r="E58" s="334">
        <f>IF(E51=1,E21,0)</f>
        <v>0</v>
      </c>
      <c r="F58" s="334">
        <f>IF(F51=1,F21,0)</f>
        <v>0</v>
      </c>
      <c r="G58" s="334">
        <f>IF(G51=1,G21,0)</f>
        <v>0</v>
      </c>
      <c r="H58" s="334">
        <f>IF(H51=1,H21,0)</f>
        <v>0</v>
      </c>
      <c r="I58" s="334">
        <f>IF(I51=1,I21,0)</f>
        <v>0</v>
      </c>
      <c r="J58" s="330"/>
      <c r="K58" s="629"/>
      <c r="L58" s="340"/>
    </row>
    <row r="59" spans="2:12" ht="18">
      <c r="B59" s="46"/>
      <c r="C59" s="296" t="s">
        <v>813</v>
      </c>
      <c r="D59" s="297" t="s">
        <v>1896</v>
      </c>
      <c r="E59" s="334">
        <f>IF(E51=1,E24,0)</f>
        <v>0</v>
      </c>
      <c r="F59" s="334">
        <f>IF(F51=1,F24,0)</f>
        <v>0</v>
      </c>
      <c r="G59" s="334">
        <f>IF(G51=1,G24,0)</f>
        <v>0</v>
      </c>
      <c r="H59" s="334">
        <f>IF(H51=1,H24,0)</f>
        <v>0</v>
      </c>
      <c r="I59" s="334">
        <f>IF(I51=1,I24,0)</f>
        <v>0</v>
      </c>
      <c r="J59" s="334">
        <f>SUM(E56:I62)</f>
        <v>0</v>
      </c>
      <c r="K59" s="629"/>
      <c r="L59" s="340"/>
    </row>
    <row r="60" spans="2:12" ht="18">
      <c r="B60" s="46"/>
      <c r="C60" s="296" t="s">
        <v>664</v>
      </c>
      <c r="D60" s="297" t="s">
        <v>1896</v>
      </c>
      <c r="E60" s="334">
        <f>IF(E51=1,E30,0)</f>
        <v>0</v>
      </c>
      <c r="F60" s="334">
        <f>IF(F51=1,F30,0)</f>
        <v>0</v>
      </c>
      <c r="G60" s="334">
        <f>IF(G51=1,G30,0)</f>
        <v>0</v>
      </c>
      <c r="H60" s="334">
        <f>IF(H51=1,H30,0)</f>
        <v>0</v>
      </c>
      <c r="I60" s="334">
        <f>IF(I51=1,I30,0)</f>
        <v>0</v>
      </c>
      <c r="J60" s="330"/>
      <c r="K60" s="629"/>
      <c r="L60" s="340" t="s">
        <v>425</v>
      </c>
    </row>
    <row r="61" spans="2:12" ht="18">
      <c r="B61" s="46"/>
      <c r="C61" s="296" t="s">
        <v>449</v>
      </c>
      <c r="D61" s="297" t="s">
        <v>1896</v>
      </c>
      <c r="E61" s="334">
        <f>MAX(E34,0)</f>
        <v>0</v>
      </c>
      <c r="F61" s="334">
        <f>MAX(F34,0)</f>
        <v>0</v>
      </c>
      <c r="G61" s="334">
        <f>MAX(G34,0)</f>
        <v>0</v>
      </c>
      <c r="H61" s="334">
        <f>MAX(H34,0)</f>
        <v>0</v>
      </c>
      <c r="I61" s="334">
        <f>MAX(I34,0)</f>
        <v>0</v>
      </c>
      <c r="J61" s="330"/>
      <c r="K61" s="629"/>
      <c r="L61" s="717" t="s">
        <v>426</v>
      </c>
    </row>
    <row r="62" spans="2:12" ht="18">
      <c r="B62" s="46"/>
      <c r="C62" s="296" t="s">
        <v>448</v>
      </c>
      <c r="D62" s="297" t="s">
        <v>1896</v>
      </c>
      <c r="E62" s="334">
        <f>E38</f>
        <v>0</v>
      </c>
      <c r="F62" s="334">
        <f>F38</f>
        <v>0</v>
      </c>
      <c r="G62" s="334">
        <f>G38</f>
        <v>0</v>
      </c>
      <c r="H62" s="334">
        <f>H38</f>
        <v>0</v>
      </c>
      <c r="I62" s="334">
        <f>I38</f>
        <v>0</v>
      </c>
      <c r="J62" s="330"/>
      <c r="K62" s="629"/>
      <c r="L62" s="340" t="s">
        <v>427</v>
      </c>
    </row>
    <row r="63" spans="2:12" ht="18">
      <c r="B63" s="46"/>
      <c r="C63" s="296"/>
      <c r="D63" s="297"/>
      <c r="E63" s="654"/>
      <c r="F63" s="654"/>
      <c r="G63" s="654"/>
      <c r="H63" s="654"/>
      <c r="I63" s="654"/>
      <c r="J63" s="654"/>
      <c r="K63" s="629"/>
      <c r="L63" s="340" t="s">
        <v>428</v>
      </c>
    </row>
    <row r="64" spans="2:12" ht="18">
      <c r="B64" s="46"/>
      <c r="C64" s="296" t="s">
        <v>1677</v>
      </c>
      <c r="D64" s="297" t="s">
        <v>2376</v>
      </c>
      <c r="E64" s="334">
        <f>IF(E22="Yes",E21,0)</f>
        <v>0</v>
      </c>
      <c r="F64" s="334">
        <f>IF(F22="Yes",F21,0)</f>
        <v>0</v>
      </c>
      <c r="G64" s="334">
        <f>IF(G22="Yes",G21,0)</f>
        <v>0</v>
      </c>
      <c r="H64" s="334">
        <f>IF(H22="Yes",H21,0)</f>
        <v>0</v>
      </c>
      <c r="I64" s="334">
        <f>IF(I22="Yes",I21,0)</f>
        <v>0</v>
      </c>
      <c r="J64" s="334">
        <f>SUM(E64:I65)</f>
        <v>0</v>
      </c>
      <c r="K64" s="629"/>
      <c r="L64" s="340" t="s">
        <v>429</v>
      </c>
    </row>
    <row r="65" spans="2:12" ht="18">
      <c r="B65" s="46"/>
      <c r="C65" s="296" t="s">
        <v>450</v>
      </c>
      <c r="D65" s="297" t="s">
        <v>2376</v>
      </c>
      <c r="E65" s="334">
        <f>-MIN(0,E34)</f>
        <v>0</v>
      </c>
      <c r="F65" s="334">
        <f>-MIN(0,F34)</f>
        <v>0</v>
      </c>
      <c r="G65" s="334">
        <f>-MIN(0,G34)</f>
        <v>0</v>
      </c>
      <c r="H65" s="334">
        <f>-MIN(0,H34)</f>
        <v>0</v>
      </c>
      <c r="I65" s="334">
        <f>-MIN(0,I34)</f>
        <v>0</v>
      </c>
      <c r="J65" s="330"/>
      <c r="K65" s="629"/>
      <c r="L65" s="340" t="s">
        <v>430</v>
      </c>
    </row>
    <row r="66" spans="2:12" ht="18">
      <c r="B66" s="46"/>
      <c r="C66" s="296"/>
      <c r="D66" s="297"/>
      <c r="E66" s="654"/>
      <c r="F66" s="654"/>
      <c r="G66" s="654"/>
      <c r="H66" s="654"/>
      <c r="I66" s="654"/>
      <c r="J66" s="654"/>
      <c r="K66" s="629"/>
      <c r="L66" s="340" t="s">
        <v>433</v>
      </c>
    </row>
    <row r="67" spans="2:12" ht="18">
      <c r="B67" s="46"/>
      <c r="C67" s="296" t="s">
        <v>2067</v>
      </c>
      <c r="D67" s="297" t="s">
        <v>1230</v>
      </c>
      <c r="E67" s="642">
        <f>E36</f>
        <v>0</v>
      </c>
      <c r="F67" s="642">
        <f>F36</f>
        <v>0</v>
      </c>
      <c r="G67" s="642">
        <f>G36</f>
        <v>0</v>
      </c>
      <c r="H67" s="642">
        <f>H36</f>
        <v>0</v>
      </c>
      <c r="I67" s="642">
        <f>I36</f>
        <v>0</v>
      </c>
      <c r="J67" s="642">
        <f>SUM(E67:I67)</f>
        <v>0</v>
      </c>
      <c r="K67" s="629"/>
      <c r="L67" s="340" t="s">
        <v>1417</v>
      </c>
    </row>
    <row r="68" spans="2:12" ht="18">
      <c r="B68" s="46"/>
      <c r="C68" s="296"/>
      <c r="D68" s="297"/>
      <c r="E68" s="654"/>
      <c r="F68" s="654"/>
      <c r="G68" s="654"/>
      <c r="H68" s="654"/>
      <c r="I68" s="654"/>
      <c r="J68" s="654"/>
      <c r="K68" s="629"/>
      <c r="L68" s="340" t="s">
        <v>434</v>
      </c>
    </row>
    <row r="69" spans="2:12" ht="18">
      <c r="B69" s="46"/>
      <c r="C69" s="296" t="s">
        <v>56</v>
      </c>
      <c r="D69" s="297" t="s">
        <v>126</v>
      </c>
      <c r="E69" s="334">
        <f>E32</f>
        <v>0</v>
      </c>
      <c r="F69" s="334">
        <f>F32</f>
        <v>0</v>
      </c>
      <c r="G69" s="334">
        <f>G32</f>
        <v>0</v>
      </c>
      <c r="H69" s="334">
        <f>H32</f>
        <v>0</v>
      </c>
      <c r="I69" s="334">
        <f>I32</f>
        <v>0</v>
      </c>
      <c r="J69" s="642">
        <f>SUM(E69:I69)</f>
        <v>0</v>
      </c>
      <c r="K69" s="629"/>
      <c r="L69" s="340"/>
    </row>
    <row r="70" spans="2:12" ht="18">
      <c r="B70" s="46"/>
      <c r="C70" s="296" t="s">
        <v>56</v>
      </c>
      <c r="D70" s="297" t="s">
        <v>1224</v>
      </c>
      <c r="E70" s="334">
        <f>E28</f>
        <v>0</v>
      </c>
      <c r="F70" s="334">
        <f>F28</f>
        <v>0</v>
      </c>
      <c r="G70" s="334">
        <f>G28</f>
        <v>0</v>
      </c>
      <c r="H70" s="334">
        <f>H28</f>
        <v>0</v>
      </c>
      <c r="I70" s="334">
        <f>I28</f>
        <v>0</v>
      </c>
      <c r="J70" s="642">
        <f>SUM(E70:I70)</f>
        <v>0</v>
      </c>
      <c r="K70" s="629"/>
      <c r="L70" s="330" t="s">
        <v>212</v>
      </c>
    </row>
    <row r="71" spans="2:12" ht="18">
      <c r="B71" s="46"/>
      <c r="C71" s="296"/>
      <c r="D71" s="297"/>
      <c r="E71" s="654"/>
      <c r="F71" s="654"/>
      <c r="G71" s="654"/>
      <c r="H71" s="654"/>
      <c r="I71" s="654"/>
      <c r="J71" s="330"/>
      <c r="K71" s="629"/>
      <c r="L71" s="330" t="s">
        <v>431</v>
      </c>
    </row>
    <row r="72" spans="2:12" ht="18">
      <c r="B72" s="46"/>
      <c r="C72" s="296" t="s">
        <v>207</v>
      </c>
      <c r="D72" s="297" t="s">
        <v>1281</v>
      </c>
      <c r="E72" s="334">
        <f>IF(E51=2,E21,0)</f>
        <v>0</v>
      </c>
      <c r="F72" s="334">
        <f>IF(F51=2,F21,0)</f>
        <v>0</v>
      </c>
      <c r="G72" s="334">
        <f>IF(G51=2,G21,0)</f>
        <v>0</v>
      </c>
      <c r="H72" s="334">
        <f>IF(H51=2,H21,0)</f>
        <v>0</v>
      </c>
      <c r="I72" s="334">
        <f>IF(I51=2,I21,0)</f>
        <v>0</v>
      </c>
      <c r="J72" s="330"/>
      <c r="K72" s="629"/>
      <c r="L72" s="330" t="s">
        <v>1546</v>
      </c>
    </row>
    <row r="73" spans="2:12" ht="18">
      <c r="B73" s="46"/>
      <c r="C73" s="296" t="s">
        <v>208</v>
      </c>
      <c r="D73" s="297" t="s">
        <v>1281</v>
      </c>
      <c r="E73" s="334">
        <f>IF(E51=2,E24,0)</f>
        <v>0</v>
      </c>
      <c r="F73" s="334">
        <f>IF(F51=2,F24,0)</f>
        <v>0</v>
      </c>
      <c r="G73" s="334">
        <f>IF(G51=2,G24,0)</f>
        <v>0</v>
      </c>
      <c r="H73" s="334">
        <f>IF(H51=2,H24,0)</f>
        <v>0</v>
      </c>
      <c r="I73" s="334">
        <f>IF(I51=2,I24,0)</f>
        <v>0</v>
      </c>
      <c r="J73" s="334">
        <f>SUM(E72:I74)</f>
        <v>0</v>
      </c>
      <c r="K73" s="629"/>
      <c r="L73" s="330"/>
    </row>
    <row r="74" spans="2:12" ht="18">
      <c r="B74" s="46"/>
      <c r="C74" s="296" t="s">
        <v>210</v>
      </c>
      <c r="D74" s="297" t="s">
        <v>1281</v>
      </c>
      <c r="E74" s="334">
        <f>IF(E51=2,E30,0)</f>
        <v>0</v>
      </c>
      <c r="F74" s="334">
        <f>IF(F51=2,F30,0)</f>
        <v>0</v>
      </c>
      <c r="G74" s="334">
        <f>IF(G51=2,G30,0)</f>
        <v>0</v>
      </c>
      <c r="H74" s="334">
        <f>IF(H51=2,H30,0)</f>
        <v>0</v>
      </c>
      <c r="I74" s="334">
        <f>IF(I51=2,I30,0)</f>
        <v>0</v>
      </c>
      <c r="J74" s="330"/>
      <c r="K74" s="629"/>
      <c r="L74" s="330"/>
    </row>
    <row r="75" spans="2:12" ht="18">
      <c r="B75" s="46"/>
      <c r="C75" s="296"/>
      <c r="D75" s="297"/>
      <c r="E75" s="334"/>
      <c r="F75" s="334"/>
      <c r="G75" s="334"/>
      <c r="H75" s="334"/>
      <c r="I75" s="334"/>
      <c r="J75" s="334"/>
      <c r="K75" s="629"/>
      <c r="L75" s="330"/>
    </row>
    <row r="76" spans="2:12" ht="18">
      <c r="B76" s="46"/>
      <c r="C76" s="296" t="s">
        <v>447</v>
      </c>
      <c r="D76" s="297"/>
      <c r="E76" s="334">
        <f>E44</f>
        <v>0</v>
      </c>
      <c r="F76" s="334">
        <f>F44</f>
        <v>0</v>
      </c>
      <c r="G76" s="334">
        <f>G44</f>
        <v>0</v>
      </c>
      <c r="H76" s="334">
        <f>H44</f>
        <v>0</v>
      </c>
      <c r="I76" s="334">
        <f>I44</f>
        <v>0</v>
      </c>
      <c r="J76" s="642">
        <f>SUM(E76:I76)</f>
        <v>0</v>
      </c>
      <c r="K76" s="629"/>
      <c r="L76" s="330"/>
    </row>
    <row r="77" spans="2:12" ht="18">
      <c r="B77" s="46"/>
      <c r="C77" s="49"/>
      <c r="D77" s="46"/>
      <c r="E77" s="51"/>
      <c r="F77" s="519"/>
      <c r="G77" s="330"/>
      <c r="H77" s="330"/>
      <c r="I77" s="330"/>
      <c r="J77" s="330"/>
      <c r="K77" s="629"/>
      <c r="L77" s="340"/>
    </row>
    <row r="78" spans="1:12" ht="18">
      <c r="A78" s="630">
        <v>0</v>
      </c>
      <c r="B78" s="46"/>
      <c r="C78" s="49"/>
      <c r="D78" s="46"/>
      <c r="E78" s="51"/>
      <c r="F78" s="543"/>
      <c r="G78" s="48"/>
      <c r="H78" s="635"/>
      <c r="I78" s="48"/>
      <c r="J78" s="636"/>
      <c r="K78" s="629"/>
      <c r="L78" s="340"/>
    </row>
    <row r="79" spans="2:4" ht="15">
      <c r="B79" s="637"/>
      <c r="D79" s="55"/>
    </row>
    <row r="80" spans="2:4" ht="15">
      <c r="B80" s="637"/>
      <c r="D80" s="55"/>
    </row>
    <row r="81" spans="2:4" ht="15">
      <c r="B81" s="637"/>
      <c r="D81" s="55"/>
    </row>
    <row r="82" spans="2:4" ht="15">
      <c r="B82" s="637"/>
      <c r="D82" s="55"/>
    </row>
    <row r="83" spans="2:4" ht="15">
      <c r="B83" s="637"/>
      <c r="D83" s="55"/>
    </row>
    <row r="84" spans="2:4" ht="15">
      <c r="B84" s="637"/>
      <c r="D84" s="55"/>
    </row>
    <row r="85" spans="2:4" ht="15">
      <c r="B85" s="637"/>
      <c r="D85" s="55"/>
    </row>
    <row r="86" spans="2:4" ht="15">
      <c r="B86" s="637"/>
      <c r="D86" s="55"/>
    </row>
    <row r="87" spans="2:4" ht="15">
      <c r="B87" s="637"/>
      <c r="D87" s="55"/>
    </row>
    <row r="88" spans="2:4" ht="15">
      <c r="B88" s="637"/>
      <c r="D88" s="55"/>
    </row>
    <row r="89" spans="2:4" ht="15">
      <c r="B89" s="637"/>
      <c r="D89" s="55"/>
    </row>
    <row r="90" spans="2:4" ht="15">
      <c r="B90" s="637"/>
      <c r="D90" s="55"/>
    </row>
  </sheetData>
  <sheetProtection password="EC35" sheet="1" objects="1" scenarios="1"/>
  <mergeCells count="2">
    <mergeCell ref="L1:L48"/>
    <mergeCell ref="C40:C41"/>
  </mergeCells>
  <dataValidations count="2">
    <dataValidation type="whole" operator="greaterThan" allowBlank="1" showInputMessage="1" showErrorMessage="1" errorTitle="SOCIAL INSURANCE NUMBER FORMAT" error="Enter a number without any  - or blanks&#10;Example:  012034056&#10;" sqref="E42:I42">
      <formula1>0</formula1>
    </dataValidation>
    <dataValidation type="list" allowBlank="1" showInputMessage="1" showErrorMessage="1" sqref="E17:I17 E26:I26 E22:I22">
      <formula1>"Yes,No"</formula1>
    </dataValidation>
  </dataValidations>
  <printOptions horizontalCentered="1"/>
  <pageMargins left="0" right="0" top="0" bottom="0" header="0.5" footer="0.5"/>
  <pageSetup fitToHeight="0" fitToWidth="1" horizontalDpi="600" verticalDpi="600" orientation="portrait" scale="61" r:id="rId3"/>
  <rowBreaks count="1" manualBreakCount="1">
    <brk id="48" max="255" man="1"/>
  </rowBreaks>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T141"/>
  <sheetViews>
    <sheetView zoomScalePageLayoutView="0" workbookViewId="0" topLeftCell="A1">
      <selection activeCell="A1" sqref="A1"/>
    </sheetView>
  </sheetViews>
  <sheetFormatPr defaultColWidth="8.88671875" defaultRowHeight="15"/>
  <cols>
    <col min="1" max="1" width="3.21484375" style="579" customWidth="1"/>
    <col min="2" max="2" width="4.99609375" style="579" customWidth="1"/>
    <col min="3" max="3" width="10.77734375" style="579" customWidth="1"/>
    <col min="4" max="4" width="4.77734375" style="579" customWidth="1"/>
    <col min="5" max="5" width="12.77734375" style="579" customWidth="1"/>
    <col min="6" max="6" width="2.77734375" style="579" customWidth="1"/>
    <col min="7" max="7" width="12.10546875" style="579" customWidth="1"/>
    <col min="8" max="9" width="8.88671875" style="579" customWidth="1"/>
    <col min="10" max="10" width="6.77734375" style="579" customWidth="1"/>
    <col min="11" max="11" width="13.3359375" style="579" bestFit="1" customWidth="1"/>
    <col min="12" max="12" width="10.21484375" style="579" customWidth="1"/>
    <col min="13" max="13" width="4.77734375" style="579" customWidth="1"/>
    <col min="14" max="14" width="12.77734375" style="579" customWidth="1"/>
    <col min="15" max="15" width="3.6640625" style="579" customWidth="1"/>
    <col min="16" max="16" width="8.88671875" style="579" customWidth="1"/>
    <col min="17" max="18" width="6.3359375" style="579" customWidth="1"/>
    <col min="19" max="19" width="6.21484375" style="579" customWidth="1"/>
    <col min="20" max="20" width="5.77734375" style="579" customWidth="1"/>
    <col min="21" max="16384" width="8.88671875" style="579" customWidth="1"/>
  </cols>
  <sheetData>
    <row r="1" spans="1:16" ht="15">
      <c r="A1" s="578"/>
      <c r="B1" s="578"/>
      <c r="C1" s="578"/>
      <c r="D1" s="655" t="s">
        <v>1005</v>
      </c>
      <c r="E1" s="656"/>
      <c r="F1" s="655" t="s">
        <v>2399</v>
      </c>
      <c r="G1" s="656"/>
      <c r="H1" s="656"/>
      <c r="I1" s="656"/>
      <c r="J1" s="656"/>
      <c r="K1" s="578"/>
      <c r="L1" s="578"/>
      <c r="M1" s="578"/>
      <c r="N1" s="578"/>
      <c r="O1" s="578"/>
      <c r="P1" s="1566" t="s">
        <v>35</v>
      </c>
    </row>
    <row r="2" spans="1:16" ht="20.25">
      <c r="A2" s="578"/>
      <c r="B2" s="578"/>
      <c r="C2" s="578"/>
      <c r="D2" s="1140" t="s">
        <v>2398</v>
      </c>
      <c r="E2" s="656"/>
      <c r="F2" s="1140" t="s">
        <v>1006</v>
      </c>
      <c r="G2" s="656"/>
      <c r="H2" s="571"/>
      <c r="I2" s="578"/>
      <c r="J2" s="657" t="str">
        <f>"CHILD CARE EXPENSES DEDUCTION FOR "&amp;yeartext</f>
        <v>CHILD CARE EXPENSES DEDUCTION FOR 2009</v>
      </c>
      <c r="K2" s="578"/>
      <c r="L2" s="578"/>
      <c r="M2" s="578"/>
      <c r="N2" s="578"/>
      <c r="O2" s="578"/>
      <c r="P2" s="1566"/>
    </row>
    <row r="3" spans="1:16" ht="15">
      <c r="A3" s="578"/>
      <c r="B3" s="578"/>
      <c r="C3" s="578"/>
      <c r="D3" s="578"/>
      <c r="E3" s="578"/>
      <c r="F3" s="578"/>
      <c r="G3" s="578"/>
      <c r="H3" s="578"/>
      <c r="I3" s="578"/>
      <c r="J3" s="578"/>
      <c r="K3" s="578"/>
      <c r="L3" s="578"/>
      <c r="M3" s="578"/>
      <c r="N3" s="578"/>
      <c r="O3" s="578"/>
      <c r="P3" s="1566"/>
    </row>
    <row r="4" spans="1:16" ht="15.75">
      <c r="A4" s="578"/>
      <c r="B4" s="578" t="s">
        <v>2235</v>
      </c>
      <c r="C4" s="578"/>
      <c r="D4" s="578"/>
      <c r="E4" s="578"/>
      <c r="F4" s="578"/>
      <c r="G4" s="578"/>
      <c r="H4" s="578"/>
      <c r="I4" s="578"/>
      <c r="J4" s="578"/>
      <c r="K4" s="578"/>
      <c r="L4" s="578"/>
      <c r="M4" s="578"/>
      <c r="N4" s="578"/>
      <c r="O4" s="578"/>
      <c r="P4" s="1566"/>
    </row>
    <row r="5" spans="1:16" ht="15">
      <c r="A5" s="578"/>
      <c r="B5" s="578" t="s">
        <v>2236</v>
      </c>
      <c r="C5" s="578"/>
      <c r="D5" s="578"/>
      <c r="E5" s="578"/>
      <c r="F5" s="578"/>
      <c r="G5" s="578"/>
      <c r="H5" s="578"/>
      <c r="I5" s="578"/>
      <c r="J5" s="578"/>
      <c r="K5" s="578"/>
      <c r="L5" s="578"/>
      <c r="M5" s="578"/>
      <c r="N5" s="578"/>
      <c r="O5" s="578"/>
      <c r="P5" s="1566"/>
    </row>
    <row r="6" spans="1:16" ht="15">
      <c r="A6" s="578"/>
      <c r="B6" s="578" t="s">
        <v>2238</v>
      </c>
      <c r="C6" s="578"/>
      <c r="D6" s="578"/>
      <c r="E6" s="578"/>
      <c r="F6" s="578"/>
      <c r="G6" s="578"/>
      <c r="H6" s="578"/>
      <c r="I6" s="578"/>
      <c r="J6" s="578"/>
      <c r="K6" s="578"/>
      <c r="L6" s="578"/>
      <c r="M6" s="578"/>
      <c r="N6" s="578"/>
      <c r="O6" s="578"/>
      <c r="P6" s="1566"/>
    </row>
    <row r="7" spans="1:16" ht="15">
      <c r="A7" s="578"/>
      <c r="B7" s="578" t="s">
        <v>2237</v>
      </c>
      <c r="C7" s="578"/>
      <c r="D7" s="578"/>
      <c r="E7" s="578"/>
      <c r="F7" s="578"/>
      <c r="G7" s="578"/>
      <c r="H7" s="578"/>
      <c r="I7" s="578"/>
      <c r="J7" s="578"/>
      <c r="K7" s="578"/>
      <c r="L7" s="578"/>
      <c r="M7" s="578"/>
      <c r="N7" s="578"/>
      <c r="O7" s="578"/>
      <c r="P7" s="1566"/>
    </row>
    <row r="8" spans="1:16" ht="21" customHeight="1">
      <c r="A8" s="578"/>
      <c r="B8" s="578" t="s">
        <v>2243</v>
      </c>
      <c r="C8" s="578"/>
      <c r="D8" s="578"/>
      <c r="E8" s="578"/>
      <c r="F8" s="578"/>
      <c r="G8" s="578"/>
      <c r="H8" s="578"/>
      <c r="I8" s="578"/>
      <c r="J8" s="578"/>
      <c r="K8" s="578"/>
      <c r="L8" s="578"/>
      <c r="M8" s="578"/>
      <c r="N8" s="578"/>
      <c r="O8" s="578"/>
      <c r="P8" s="1566"/>
    </row>
    <row r="9" spans="1:16" ht="15.75">
      <c r="A9" s="578"/>
      <c r="B9" s="578" t="s">
        <v>2239</v>
      </c>
      <c r="C9" s="578"/>
      <c r="D9" s="578"/>
      <c r="E9" s="578"/>
      <c r="F9" s="578"/>
      <c r="G9" s="578"/>
      <c r="H9" s="578"/>
      <c r="I9" s="578"/>
      <c r="J9" s="578"/>
      <c r="K9" s="578"/>
      <c r="L9" s="578"/>
      <c r="M9" s="578"/>
      <c r="N9" s="578"/>
      <c r="O9" s="578"/>
      <c r="P9" s="1566"/>
    </row>
    <row r="10" spans="1:16" ht="15.75">
      <c r="A10" s="578"/>
      <c r="B10" s="578" t="s">
        <v>2240</v>
      </c>
      <c r="C10" s="578"/>
      <c r="D10" s="578"/>
      <c r="E10" s="578"/>
      <c r="F10" s="578"/>
      <c r="G10" s="578"/>
      <c r="H10" s="578"/>
      <c r="I10" s="578"/>
      <c r="J10" s="578"/>
      <c r="K10" s="578"/>
      <c r="L10" s="578"/>
      <c r="M10" s="578"/>
      <c r="N10" s="578"/>
      <c r="O10" s="578"/>
      <c r="P10" s="1566"/>
    </row>
    <row r="11" spans="1:16" ht="15.75">
      <c r="A11" s="578"/>
      <c r="B11" s="578" t="s">
        <v>2241</v>
      </c>
      <c r="C11" s="578"/>
      <c r="D11" s="578"/>
      <c r="E11" s="578"/>
      <c r="F11" s="578"/>
      <c r="G11" s="578"/>
      <c r="H11" s="578"/>
      <c r="I11" s="578"/>
      <c r="J11" s="578"/>
      <c r="K11" s="578"/>
      <c r="L11" s="578"/>
      <c r="M11" s="578"/>
      <c r="N11" s="578"/>
      <c r="O11" s="578"/>
      <c r="P11" s="1566"/>
    </row>
    <row r="12" spans="1:16" ht="15.75">
      <c r="A12" s="578"/>
      <c r="B12" s="578" t="s">
        <v>2242</v>
      </c>
      <c r="C12" s="578"/>
      <c r="D12" s="578"/>
      <c r="E12" s="578"/>
      <c r="F12" s="578"/>
      <c r="G12" s="578"/>
      <c r="H12" s="578"/>
      <c r="I12" s="578"/>
      <c r="J12" s="578"/>
      <c r="K12" s="578"/>
      <c r="L12" s="578"/>
      <c r="M12" s="578"/>
      <c r="N12" s="578"/>
      <c r="O12" s="578"/>
      <c r="P12" s="1566"/>
    </row>
    <row r="13" spans="1:16" ht="15">
      <c r="A13" s="578"/>
      <c r="B13" s="578"/>
      <c r="C13" s="578"/>
      <c r="D13" s="578"/>
      <c r="E13" s="578"/>
      <c r="F13" s="578"/>
      <c r="G13" s="578"/>
      <c r="H13" s="578"/>
      <c r="I13" s="578"/>
      <c r="J13" s="578"/>
      <c r="K13" s="578"/>
      <c r="L13" s="578"/>
      <c r="M13" s="578"/>
      <c r="N13" s="578"/>
      <c r="O13" s="578"/>
      <c r="P13" s="1566"/>
    </row>
    <row r="14" spans="1:16" ht="20.25">
      <c r="A14" s="591"/>
      <c r="B14" s="658" t="s">
        <v>1001</v>
      </c>
      <c r="C14" s="658"/>
      <c r="D14" s="582"/>
      <c r="E14" s="582"/>
      <c r="F14" s="582"/>
      <c r="G14" s="582"/>
      <c r="H14" s="582"/>
      <c r="I14" s="582"/>
      <c r="J14" s="582"/>
      <c r="K14" s="582"/>
      <c r="L14" s="582"/>
      <c r="M14" s="582"/>
      <c r="N14" s="582"/>
      <c r="O14" s="583"/>
      <c r="P14" s="1566"/>
    </row>
    <row r="15" spans="1:16" ht="15">
      <c r="A15" s="584"/>
      <c r="B15" s="585"/>
      <c r="C15" s="585"/>
      <c r="D15" s="585"/>
      <c r="E15" s="585"/>
      <c r="F15" s="585"/>
      <c r="G15" s="585"/>
      <c r="H15" s="585"/>
      <c r="I15" s="585"/>
      <c r="J15" s="585"/>
      <c r="K15" s="585"/>
      <c r="L15" s="585"/>
      <c r="M15" s="585"/>
      <c r="N15" s="585"/>
      <c r="O15" s="659"/>
      <c r="P15" s="1566"/>
    </row>
    <row r="16" spans="1:16" ht="15.75">
      <c r="A16" s="584"/>
      <c r="B16" s="585" t="s">
        <v>604</v>
      </c>
      <c r="C16" s="585"/>
      <c r="D16" s="585"/>
      <c r="E16" s="585"/>
      <c r="F16" s="585"/>
      <c r="G16" s="585"/>
      <c r="H16" s="585"/>
      <c r="I16" s="585"/>
      <c r="J16" s="585"/>
      <c r="K16" s="585"/>
      <c r="L16" s="585"/>
      <c r="M16" s="585"/>
      <c r="N16" s="585"/>
      <c r="O16" s="659"/>
      <c r="P16" s="1566"/>
    </row>
    <row r="17" spans="1:16" ht="15">
      <c r="A17" s="584"/>
      <c r="B17" s="585" t="s">
        <v>1537</v>
      </c>
      <c r="C17" s="585"/>
      <c r="D17" s="585"/>
      <c r="E17" s="585"/>
      <c r="F17" s="585"/>
      <c r="G17" s="585"/>
      <c r="H17" s="585"/>
      <c r="I17" s="585"/>
      <c r="J17" s="585"/>
      <c r="K17" s="585"/>
      <c r="L17" s="585"/>
      <c r="M17" s="585"/>
      <c r="N17" s="660" t="s">
        <v>640</v>
      </c>
      <c r="O17" s="659"/>
      <c r="P17" s="1566"/>
    </row>
    <row r="18" spans="1:20" ht="15">
      <c r="A18" s="584"/>
      <c r="B18" s="1694"/>
      <c r="C18" s="1694"/>
      <c r="D18" s="1694"/>
      <c r="E18" s="1694"/>
      <c r="F18" s="1694"/>
      <c r="G18" s="1694"/>
      <c r="H18" s="661"/>
      <c r="I18" s="661"/>
      <c r="J18" s="661"/>
      <c r="K18" s="661"/>
      <c r="L18" s="661"/>
      <c r="M18" s="585"/>
      <c r="N18" s="662"/>
      <c r="O18" s="659"/>
      <c r="P18" s="1566"/>
      <c r="Q18" s="1142">
        <f aca="true" t="shared" si="0" ref="Q18:Q24">IF(YEAR(N18)&gt;=year6,1,0)</f>
        <v>0</v>
      </c>
      <c r="R18" s="1142">
        <f aca="true" t="shared" si="1" ref="R18:R24">IF(AND(YEAR(N18)&lt;year6,YEAR(N18)&gt;=year16),1,0)</f>
        <v>0</v>
      </c>
      <c r="S18" s="1142">
        <f aca="true" t="shared" si="2" ref="S18:S24">IF(YEAR(N18)&lt;year18,0,1)</f>
        <v>0</v>
      </c>
      <c r="T18" s="1142">
        <f aca="true" t="shared" si="3" ref="T18:T24">IF(YEAR(N18)&lt;year17,0,1)</f>
        <v>0</v>
      </c>
    </row>
    <row r="19" spans="1:20" ht="15">
      <c r="A19" s="584"/>
      <c r="B19" s="1812"/>
      <c r="C19" s="1812"/>
      <c r="D19" s="1812"/>
      <c r="E19" s="1812"/>
      <c r="F19" s="1812"/>
      <c r="G19" s="1812"/>
      <c r="H19" s="661"/>
      <c r="I19" s="661"/>
      <c r="J19" s="661"/>
      <c r="K19" s="661"/>
      <c r="L19" s="661"/>
      <c r="M19" s="585"/>
      <c r="N19" s="662"/>
      <c r="O19" s="659"/>
      <c r="P19" s="1566"/>
      <c r="Q19" s="1142">
        <f t="shared" si="0"/>
        <v>0</v>
      </c>
      <c r="R19" s="1142">
        <f t="shared" si="1"/>
        <v>0</v>
      </c>
      <c r="S19" s="1142">
        <f t="shared" si="2"/>
        <v>0</v>
      </c>
      <c r="T19" s="1142">
        <f t="shared" si="3"/>
        <v>0</v>
      </c>
    </row>
    <row r="20" spans="1:20" ht="15">
      <c r="A20" s="584"/>
      <c r="B20" s="1815"/>
      <c r="C20" s="1815"/>
      <c r="D20" s="1815"/>
      <c r="E20" s="1815"/>
      <c r="F20" s="1815"/>
      <c r="G20" s="1815"/>
      <c r="H20" s="661"/>
      <c r="I20" s="661"/>
      <c r="J20" s="661"/>
      <c r="K20" s="661"/>
      <c r="L20" s="661"/>
      <c r="M20" s="585"/>
      <c r="N20" s="662"/>
      <c r="O20" s="659"/>
      <c r="P20" s="1566"/>
      <c r="Q20" s="1142">
        <f t="shared" si="0"/>
        <v>0</v>
      </c>
      <c r="R20" s="1142">
        <f t="shared" si="1"/>
        <v>0</v>
      </c>
      <c r="S20" s="1142">
        <f t="shared" si="2"/>
        <v>0</v>
      </c>
      <c r="T20" s="1142">
        <f t="shared" si="3"/>
        <v>0</v>
      </c>
    </row>
    <row r="21" spans="1:20" ht="15">
      <c r="A21" s="584"/>
      <c r="B21" s="1812"/>
      <c r="C21" s="1812"/>
      <c r="D21" s="1812"/>
      <c r="E21" s="1812"/>
      <c r="F21" s="1812"/>
      <c r="G21" s="1812"/>
      <c r="H21" s="661"/>
      <c r="I21" s="661"/>
      <c r="J21" s="661"/>
      <c r="K21" s="661"/>
      <c r="L21" s="661"/>
      <c r="M21" s="585"/>
      <c r="N21" s="662"/>
      <c r="O21" s="659"/>
      <c r="P21" s="1566"/>
      <c r="Q21" s="1142">
        <f t="shared" si="0"/>
        <v>0</v>
      </c>
      <c r="R21" s="1142">
        <f t="shared" si="1"/>
        <v>0</v>
      </c>
      <c r="S21" s="1142">
        <f t="shared" si="2"/>
        <v>0</v>
      </c>
      <c r="T21" s="1142">
        <f t="shared" si="3"/>
        <v>0</v>
      </c>
    </row>
    <row r="22" spans="1:20" ht="15">
      <c r="A22" s="584"/>
      <c r="B22" s="1812"/>
      <c r="C22" s="1812"/>
      <c r="D22" s="1812"/>
      <c r="E22" s="1812"/>
      <c r="F22" s="1812"/>
      <c r="G22" s="1812"/>
      <c r="H22" s="661"/>
      <c r="I22" s="661"/>
      <c r="J22" s="661"/>
      <c r="K22" s="661"/>
      <c r="L22" s="661"/>
      <c r="M22" s="585"/>
      <c r="N22" s="662"/>
      <c r="O22" s="659"/>
      <c r="P22" s="1566"/>
      <c r="Q22" s="1142">
        <f t="shared" si="0"/>
        <v>0</v>
      </c>
      <c r="R22" s="1142">
        <f t="shared" si="1"/>
        <v>0</v>
      </c>
      <c r="S22" s="1142">
        <f t="shared" si="2"/>
        <v>0</v>
      </c>
      <c r="T22" s="1142">
        <f t="shared" si="3"/>
        <v>0</v>
      </c>
    </row>
    <row r="23" spans="1:20" ht="15">
      <c r="A23" s="584"/>
      <c r="B23" s="1812"/>
      <c r="C23" s="1812"/>
      <c r="D23" s="1812"/>
      <c r="E23" s="1812"/>
      <c r="F23" s="1812"/>
      <c r="G23" s="1812"/>
      <c r="H23" s="661"/>
      <c r="I23" s="661"/>
      <c r="J23" s="661"/>
      <c r="K23" s="661"/>
      <c r="L23" s="661"/>
      <c r="M23" s="585"/>
      <c r="N23" s="662"/>
      <c r="O23" s="659"/>
      <c r="P23" s="1566"/>
      <c r="Q23" s="1142">
        <f t="shared" si="0"/>
        <v>0</v>
      </c>
      <c r="R23" s="1142">
        <f t="shared" si="1"/>
        <v>0</v>
      </c>
      <c r="S23" s="1142">
        <f t="shared" si="2"/>
        <v>0</v>
      </c>
      <c r="T23" s="1142">
        <f t="shared" si="3"/>
        <v>0</v>
      </c>
    </row>
    <row r="24" spans="1:20" ht="15">
      <c r="A24" s="584"/>
      <c r="B24" s="1812"/>
      <c r="C24" s="1812"/>
      <c r="D24" s="1812"/>
      <c r="E24" s="1812"/>
      <c r="F24" s="1812"/>
      <c r="G24" s="1812"/>
      <c r="H24" s="661"/>
      <c r="I24" s="661"/>
      <c r="J24" s="661"/>
      <c r="K24" s="661"/>
      <c r="L24" s="661"/>
      <c r="M24" s="585"/>
      <c r="N24" s="663"/>
      <c r="O24" s="659"/>
      <c r="P24" s="1566"/>
      <c r="Q24" s="1142">
        <f t="shared" si="0"/>
        <v>0</v>
      </c>
      <c r="R24" s="1142">
        <f t="shared" si="1"/>
        <v>0</v>
      </c>
      <c r="S24" s="1142">
        <f t="shared" si="2"/>
        <v>0</v>
      </c>
      <c r="T24" s="1142">
        <f t="shared" si="3"/>
        <v>0</v>
      </c>
    </row>
    <row r="25" spans="1:20" ht="15">
      <c r="A25" s="584"/>
      <c r="B25" s="585" t="s">
        <v>989</v>
      </c>
      <c r="C25" s="585"/>
      <c r="D25" s="585"/>
      <c r="E25" s="916">
        <f>COUNTA(B18:B24)</f>
        <v>0</v>
      </c>
      <c r="F25" s="585"/>
      <c r="G25" s="585"/>
      <c r="H25" s="585"/>
      <c r="I25" s="585"/>
      <c r="J25" s="585"/>
      <c r="K25" s="585"/>
      <c r="L25" s="585"/>
      <c r="M25" s="585"/>
      <c r="N25" s="585"/>
      <c r="O25" s="659"/>
      <c r="P25" s="1566"/>
      <c r="Q25" s="1142">
        <f>SUM(Q18:Q24)</f>
        <v>0</v>
      </c>
      <c r="R25" s="1142">
        <f>SUM(R18:R24)</f>
        <v>0</v>
      </c>
      <c r="S25" s="1142">
        <f>SUM(S18:S24)</f>
        <v>0</v>
      </c>
      <c r="T25" s="1142">
        <f>SUM(T18:T24)</f>
        <v>0</v>
      </c>
    </row>
    <row r="26" spans="1:16" ht="23.25" customHeight="1">
      <c r="A26" s="584"/>
      <c r="B26" s="664" t="s">
        <v>1022</v>
      </c>
      <c r="C26" s="585"/>
      <c r="D26" s="585"/>
      <c r="E26" s="665" t="s">
        <v>1025</v>
      </c>
      <c r="F26" s="585"/>
      <c r="G26" s="585" t="s">
        <v>1007</v>
      </c>
      <c r="H26" s="585"/>
      <c r="I26" s="585"/>
      <c r="J26" s="585"/>
      <c r="K26" s="585"/>
      <c r="L26" s="585"/>
      <c r="M26" s="902"/>
      <c r="N26" s="1230" t="s">
        <v>84</v>
      </c>
      <c r="O26" s="659"/>
      <c r="P26" s="1566"/>
    </row>
    <row r="27" spans="1:16" ht="15.75">
      <c r="A27" s="584"/>
      <c r="B27" s="664" t="s">
        <v>1023</v>
      </c>
      <c r="C27" s="585"/>
      <c r="D27" s="585"/>
      <c r="E27" s="665" t="s">
        <v>1026</v>
      </c>
      <c r="F27" s="585"/>
      <c r="G27" s="666" t="s">
        <v>1122</v>
      </c>
      <c r="H27" s="585"/>
      <c r="I27" s="585"/>
      <c r="J27" s="585"/>
      <c r="K27" s="585"/>
      <c r="L27" s="585"/>
      <c r="M27" s="903"/>
      <c r="N27" s="1231" t="s">
        <v>1539</v>
      </c>
      <c r="O27" s="659"/>
      <c r="P27" s="1566"/>
    </row>
    <row r="28" spans="1:16" ht="15">
      <c r="A28" s="584"/>
      <c r="B28" s="664" t="s">
        <v>1024</v>
      </c>
      <c r="C28" s="585"/>
      <c r="D28" s="585"/>
      <c r="E28" s="664" t="s">
        <v>1178</v>
      </c>
      <c r="F28" s="585"/>
      <c r="G28" s="846"/>
      <c r="H28" s="585"/>
      <c r="I28" s="585"/>
      <c r="J28" s="585"/>
      <c r="K28" s="585"/>
      <c r="L28" s="585"/>
      <c r="M28" s="903"/>
      <c r="N28" s="1231" t="s">
        <v>1538</v>
      </c>
      <c r="O28" s="659"/>
      <c r="P28" s="1566"/>
    </row>
    <row r="29" spans="1:16" ht="15">
      <c r="A29" s="584"/>
      <c r="B29" s="585"/>
      <c r="C29" s="585"/>
      <c r="D29" s="585"/>
      <c r="E29" s="585"/>
      <c r="F29" s="585"/>
      <c r="G29" s="585"/>
      <c r="H29" s="585"/>
      <c r="I29" s="585"/>
      <c r="J29" s="585"/>
      <c r="K29" s="585"/>
      <c r="L29" s="585"/>
      <c r="M29" s="585"/>
      <c r="N29" s="585"/>
      <c r="O29" s="659"/>
      <c r="P29" s="1566"/>
    </row>
    <row r="30" spans="1:16" ht="15">
      <c r="A30" s="584"/>
      <c r="B30" s="1694"/>
      <c r="C30" s="1694"/>
      <c r="D30" s="585"/>
      <c r="E30" s="104"/>
      <c r="F30" s="585"/>
      <c r="G30" s="1694"/>
      <c r="H30" s="1694"/>
      <c r="I30" s="1694"/>
      <c r="J30" s="1694"/>
      <c r="K30" s="1694"/>
      <c r="L30" s="1694"/>
      <c r="M30" s="585"/>
      <c r="N30" s="289"/>
      <c r="O30" s="659"/>
      <c r="P30" s="1566"/>
    </row>
    <row r="31" spans="1:16" ht="15">
      <c r="A31" s="584"/>
      <c r="B31" s="1812"/>
      <c r="C31" s="1812"/>
      <c r="D31" s="585"/>
      <c r="E31" s="104"/>
      <c r="F31" s="585"/>
      <c r="G31" s="1812"/>
      <c r="H31" s="1812"/>
      <c r="I31" s="1812"/>
      <c r="J31" s="1812"/>
      <c r="K31" s="1812"/>
      <c r="L31" s="1812"/>
      <c r="M31" s="585"/>
      <c r="N31" s="289"/>
      <c r="O31" s="659"/>
      <c r="P31" s="1566"/>
    </row>
    <row r="32" spans="1:16" ht="15">
      <c r="A32" s="584"/>
      <c r="B32" s="1812"/>
      <c r="C32" s="1812"/>
      <c r="D32" s="585"/>
      <c r="E32" s="104"/>
      <c r="F32" s="585"/>
      <c r="G32" s="1812"/>
      <c r="H32" s="1812"/>
      <c r="I32" s="1812"/>
      <c r="J32" s="1812"/>
      <c r="K32" s="1812"/>
      <c r="L32" s="1812"/>
      <c r="M32" s="585"/>
      <c r="N32" s="289"/>
      <c r="O32" s="659"/>
      <c r="P32" s="1566"/>
    </row>
    <row r="33" spans="1:16" ht="15">
      <c r="A33" s="584"/>
      <c r="B33" s="1812"/>
      <c r="C33" s="1812"/>
      <c r="D33" s="585"/>
      <c r="E33" s="104"/>
      <c r="F33" s="585"/>
      <c r="G33" s="1812"/>
      <c r="H33" s="1812"/>
      <c r="I33" s="1812"/>
      <c r="J33" s="1812"/>
      <c r="K33" s="1812"/>
      <c r="L33" s="1812"/>
      <c r="M33" s="585"/>
      <c r="N33" s="289"/>
      <c r="O33" s="659"/>
      <c r="P33" s="1566"/>
    </row>
    <row r="34" spans="1:16" ht="15">
      <c r="A34" s="584"/>
      <c r="B34" s="1812"/>
      <c r="C34" s="1812"/>
      <c r="D34" s="585"/>
      <c r="E34" s="104"/>
      <c r="F34" s="585"/>
      <c r="G34" s="1812"/>
      <c r="H34" s="1812"/>
      <c r="I34" s="1812"/>
      <c r="J34" s="1812"/>
      <c r="K34" s="1812"/>
      <c r="L34" s="1812"/>
      <c r="M34" s="585"/>
      <c r="N34" s="289"/>
      <c r="O34" s="659"/>
      <c r="P34" s="1566"/>
    </row>
    <row r="35" spans="1:16" ht="15.75">
      <c r="A35" s="584"/>
      <c r="B35" s="585"/>
      <c r="C35" s="667" t="s">
        <v>1217</v>
      </c>
      <c r="D35" s="585"/>
      <c r="E35" s="619">
        <f>SUM(E30:E34)</f>
        <v>0</v>
      </c>
      <c r="F35" s="585"/>
      <c r="G35" s="585"/>
      <c r="H35" s="585"/>
      <c r="I35" s="585"/>
      <c r="J35" s="585"/>
      <c r="K35" s="585"/>
      <c r="L35" s="585"/>
      <c r="M35" s="585"/>
      <c r="N35" s="585"/>
      <c r="O35" s="659"/>
      <c r="P35" s="1566"/>
    </row>
    <row r="36" spans="1:16" ht="15">
      <c r="A36" s="584"/>
      <c r="B36" s="585"/>
      <c r="C36" s="585"/>
      <c r="D36" s="585"/>
      <c r="E36" s="585"/>
      <c r="F36" s="585"/>
      <c r="G36" s="585"/>
      <c r="H36" s="585"/>
      <c r="I36" s="585"/>
      <c r="J36" s="585"/>
      <c r="K36" s="585"/>
      <c r="L36" s="585"/>
      <c r="M36" s="585"/>
      <c r="N36" s="585"/>
      <c r="O36" s="659"/>
      <c r="P36" s="1566"/>
    </row>
    <row r="37" spans="1:16" ht="15.75">
      <c r="A37" s="584"/>
      <c r="B37" s="666" t="s">
        <v>1429</v>
      </c>
      <c r="C37" s="585" t="s">
        <v>1123</v>
      </c>
      <c r="D37" s="585"/>
      <c r="E37" s="585"/>
      <c r="F37" s="585"/>
      <c r="G37" s="585"/>
      <c r="H37" s="585"/>
      <c r="I37" s="585"/>
      <c r="J37" s="585"/>
      <c r="K37" s="585"/>
      <c r="L37" s="585"/>
      <c r="M37" s="585"/>
      <c r="N37" s="585"/>
      <c r="O37" s="659"/>
      <c r="P37" s="1566"/>
    </row>
    <row r="38" spans="1:16" ht="15.75">
      <c r="A38" s="584"/>
      <c r="B38" s="585"/>
      <c r="C38" s="585" t="s">
        <v>1124</v>
      </c>
      <c r="D38" s="585"/>
      <c r="E38" s="585"/>
      <c r="F38" s="585"/>
      <c r="G38" s="585"/>
      <c r="H38" s="585"/>
      <c r="I38" s="585"/>
      <c r="J38" s="585"/>
      <c r="K38" s="585"/>
      <c r="L38" s="585"/>
      <c r="M38" s="585"/>
      <c r="N38" s="585"/>
      <c r="O38" s="659"/>
      <c r="P38" s="1566"/>
    </row>
    <row r="39" spans="1:16" ht="15.75">
      <c r="A39" s="584"/>
      <c r="B39" s="585"/>
      <c r="C39" s="585" t="s">
        <v>1125</v>
      </c>
      <c r="D39" s="585"/>
      <c r="E39" s="585"/>
      <c r="F39" s="585"/>
      <c r="G39" s="585"/>
      <c r="H39" s="585"/>
      <c r="I39" s="585"/>
      <c r="J39" s="585"/>
      <c r="K39" s="585"/>
      <c r="L39" s="585"/>
      <c r="M39" s="585"/>
      <c r="N39" s="585"/>
      <c r="O39" s="659"/>
      <c r="P39" s="1566"/>
    </row>
    <row r="40" spans="1:16" ht="15">
      <c r="A40" s="584"/>
      <c r="B40" s="585"/>
      <c r="C40" s="585"/>
      <c r="D40" s="585"/>
      <c r="E40" s="585"/>
      <c r="F40" s="585"/>
      <c r="G40" s="585"/>
      <c r="H40" s="585"/>
      <c r="I40" s="585"/>
      <c r="J40" s="585"/>
      <c r="K40" s="585"/>
      <c r="L40" s="585"/>
      <c r="M40" s="585"/>
      <c r="N40" s="585"/>
      <c r="O40" s="659"/>
      <c r="P40" s="1566"/>
    </row>
    <row r="41" spans="1:17" ht="15.75">
      <c r="A41" s="588"/>
      <c r="B41" s="668" t="str">
        <f>"Enter any child care expenses included above that were incurred in "&amp;yeartext&amp;" for a child who was 18 or older"</f>
        <v>Enter any child care expenses included above that were incurred in 2009 for a child who was 18 or older</v>
      </c>
      <c r="C41" s="586"/>
      <c r="D41" s="586"/>
      <c r="E41" s="586"/>
      <c r="F41" s="586"/>
      <c r="G41" s="586"/>
      <c r="H41" s="586"/>
      <c r="I41" s="586"/>
      <c r="J41" s="586"/>
      <c r="K41" s="586"/>
      <c r="L41" s="586"/>
      <c r="M41" s="288" t="s">
        <v>1558</v>
      </c>
      <c r="N41" s="104"/>
      <c r="O41" s="669"/>
      <c r="P41" s="1566"/>
      <c r="Q41" s="945"/>
    </row>
    <row r="42" spans="1:16" ht="7.5" customHeight="1">
      <c r="A42" s="578"/>
      <c r="B42" s="578"/>
      <c r="C42" s="578"/>
      <c r="D42" s="578"/>
      <c r="E42" s="578"/>
      <c r="F42" s="578"/>
      <c r="G42" s="578"/>
      <c r="H42" s="578"/>
      <c r="I42" s="578"/>
      <c r="J42" s="578"/>
      <c r="K42" s="578"/>
      <c r="L42" s="578"/>
      <c r="M42" s="585"/>
      <c r="N42" s="578"/>
      <c r="O42" s="578"/>
      <c r="P42" s="1566"/>
    </row>
    <row r="43" spans="1:16" ht="7.5" customHeight="1">
      <c r="A43" s="578"/>
      <c r="B43" s="578"/>
      <c r="C43" s="578"/>
      <c r="D43" s="578"/>
      <c r="E43" s="578"/>
      <c r="F43" s="578"/>
      <c r="G43" s="578"/>
      <c r="H43" s="578"/>
      <c r="I43" s="578"/>
      <c r="J43" s="578"/>
      <c r="K43" s="578"/>
      <c r="L43" s="578"/>
      <c r="M43" s="585"/>
      <c r="N43" s="578"/>
      <c r="O43" s="578"/>
      <c r="P43" s="1566"/>
    </row>
    <row r="44" spans="1:16" ht="20.25">
      <c r="A44" s="591"/>
      <c r="B44" s="658" t="s">
        <v>1126</v>
      </c>
      <c r="C44" s="658"/>
      <c r="D44" s="582"/>
      <c r="E44" s="582"/>
      <c r="F44" s="582"/>
      <c r="G44" s="582"/>
      <c r="H44" s="582"/>
      <c r="I44" s="582"/>
      <c r="J44" s="582"/>
      <c r="K44" s="582"/>
      <c r="L44" s="582"/>
      <c r="M44" s="582"/>
      <c r="N44" s="582"/>
      <c r="O44" s="583"/>
      <c r="P44" s="1566"/>
    </row>
    <row r="45" spans="1:16" ht="15">
      <c r="A45" s="584"/>
      <c r="B45" s="585"/>
      <c r="C45" s="585"/>
      <c r="D45" s="585"/>
      <c r="E45" s="585"/>
      <c r="F45" s="585"/>
      <c r="G45" s="585"/>
      <c r="H45" s="585"/>
      <c r="I45" s="585"/>
      <c r="J45" s="585"/>
      <c r="K45" s="585"/>
      <c r="L45" s="585"/>
      <c r="M45" s="585"/>
      <c r="N45" s="585"/>
      <c r="O45" s="659"/>
      <c r="P45" s="1566"/>
    </row>
    <row r="46" spans="1:16" ht="15">
      <c r="A46" s="584"/>
      <c r="B46" s="585" t="s">
        <v>1407</v>
      </c>
      <c r="C46" s="585"/>
      <c r="D46" s="585"/>
      <c r="E46" s="585"/>
      <c r="F46" s="585"/>
      <c r="G46" s="585"/>
      <c r="H46" s="585"/>
      <c r="I46" s="585"/>
      <c r="J46" s="585"/>
      <c r="K46" s="585"/>
      <c r="L46" s="585"/>
      <c r="M46" s="585"/>
      <c r="N46" s="585"/>
      <c r="O46" s="659"/>
      <c r="P46" s="1566"/>
    </row>
    <row r="47" spans="1:16" ht="15">
      <c r="A47" s="584"/>
      <c r="B47" s="585"/>
      <c r="C47" s="585"/>
      <c r="D47" s="585"/>
      <c r="E47" s="585"/>
      <c r="F47" s="585"/>
      <c r="G47" s="585"/>
      <c r="H47" s="585"/>
      <c r="I47" s="585"/>
      <c r="J47" s="585"/>
      <c r="K47" s="585"/>
      <c r="L47" s="585"/>
      <c r="M47" s="585"/>
      <c r="N47" s="585"/>
      <c r="O47" s="659"/>
      <c r="P47" s="1566"/>
    </row>
    <row r="48" spans="1:16" ht="15.75">
      <c r="A48" s="584"/>
      <c r="B48" s="586" t="s">
        <v>2413</v>
      </c>
      <c r="C48" s="586"/>
      <c r="D48" s="711" t="str">
        <f>year6text&amp;" or later  "</f>
        <v>2003 or later  </v>
      </c>
      <c r="E48" s="586" t="s">
        <v>2412</v>
      </c>
      <c r="F48" s="586"/>
      <c r="G48" s="586"/>
      <c r="H48" s="586"/>
      <c r="I48" s="586"/>
      <c r="J48" s="586"/>
      <c r="K48" s="289">
        <f>Q25</f>
        <v>0</v>
      </c>
      <c r="L48" s="671" t="s">
        <v>2415</v>
      </c>
      <c r="M48" s="585"/>
      <c r="N48" s="352">
        <f>K48*7000</f>
        <v>0</v>
      </c>
      <c r="O48" s="672" t="s">
        <v>1281</v>
      </c>
      <c r="P48" s="1566"/>
    </row>
    <row r="49" spans="1:16" ht="15.75">
      <c r="A49" s="584"/>
      <c r="B49" s="589" t="s">
        <v>789</v>
      </c>
      <c r="C49" s="589"/>
      <c r="D49" s="1443" t="str">
        <f>yeartext&amp;" &amp; earlier"</f>
        <v>2009 &amp; earlier</v>
      </c>
      <c r="E49" s="589" t="s">
        <v>1436</v>
      </c>
      <c r="F49" s="589"/>
      <c r="G49" s="589"/>
      <c r="H49" s="589"/>
      <c r="I49" s="589"/>
      <c r="J49" s="589"/>
      <c r="K49" s="289"/>
      <c r="L49" s="671" t="s">
        <v>2416</v>
      </c>
      <c r="M49" s="288" t="s">
        <v>2425</v>
      </c>
      <c r="N49" s="352">
        <f>K49*10000</f>
        <v>0</v>
      </c>
      <c r="O49" s="672" t="s">
        <v>1314</v>
      </c>
      <c r="P49" s="1566"/>
    </row>
    <row r="50" spans="1:16" ht="15.75">
      <c r="A50" s="584"/>
      <c r="B50" s="585" t="s">
        <v>790</v>
      </c>
      <c r="C50" s="585"/>
      <c r="D50" s="667" t="str">
        <f>year16&amp;" to "&amp;year7&amp;"   "</f>
        <v>1993 to 2002   </v>
      </c>
      <c r="E50" s="585" t="str">
        <f>"(or born in "&amp;year17&amp;" and earlier with a mental or physical"</f>
        <v>(or born in 1992 and earlier with a mental or physical</v>
      </c>
      <c r="F50" s="585"/>
      <c r="G50" s="585"/>
      <c r="H50" s="585"/>
      <c r="I50" s="585"/>
      <c r="J50" s="585"/>
      <c r="K50" s="585"/>
      <c r="L50" s="585"/>
      <c r="M50" s="585"/>
      <c r="N50" s="585"/>
      <c r="O50" s="673"/>
      <c r="P50" s="1566"/>
    </row>
    <row r="51" spans="1:16" ht="16.5" thickBot="1">
      <c r="A51" s="584"/>
      <c r="B51" s="586" t="s">
        <v>1742</v>
      </c>
      <c r="C51" s="586"/>
      <c r="D51" s="586"/>
      <c r="E51" s="586"/>
      <c r="F51" s="586"/>
      <c r="G51" s="586"/>
      <c r="H51" s="586"/>
      <c r="I51" s="586"/>
      <c r="J51" s="586"/>
      <c r="K51" s="289">
        <f>R25</f>
        <v>0</v>
      </c>
      <c r="L51" s="671" t="s">
        <v>2417</v>
      </c>
      <c r="M51" s="585"/>
      <c r="N51" s="691">
        <f>K51*4000</f>
        <v>0</v>
      </c>
      <c r="O51" s="672" t="s">
        <v>1315</v>
      </c>
      <c r="P51" s="1566"/>
    </row>
    <row r="52" spans="1:16" ht="15">
      <c r="A52" s="584"/>
      <c r="B52" s="586" t="s">
        <v>2244</v>
      </c>
      <c r="C52" s="586"/>
      <c r="D52" s="586"/>
      <c r="E52" s="586"/>
      <c r="F52" s="586"/>
      <c r="G52" s="586"/>
      <c r="H52" s="586"/>
      <c r="I52" s="586"/>
      <c r="J52" s="586"/>
      <c r="K52" s="586"/>
      <c r="L52" s="586"/>
      <c r="M52" s="585"/>
      <c r="N52" s="352">
        <f>SUM(N48:N51)</f>
        <v>0</v>
      </c>
      <c r="O52" s="672" t="s">
        <v>1316</v>
      </c>
      <c r="P52" s="1566"/>
    </row>
    <row r="53" spans="1:16" ht="15">
      <c r="A53" s="584"/>
      <c r="B53" s="585"/>
      <c r="C53" s="585"/>
      <c r="D53" s="585"/>
      <c r="E53" s="585"/>
      <c r="F53" s="585"/>
      <c r="G53" s="585"/>
      <c r="H53" s="585"/>
      <c r="I53" s="585"/>
      <c r="J53" s="585"/>
      <c r="K53" s="585"/>
      <c r="L53" s="585"/>
      <c r="M53" s="585"/>
      <c r="N53" s="585"/>
      <c r="O53" s="659"/>
      <c r="P53" s="1566"/>
    </row>
    <row r="54" spans="1:16" ht="15.75">
      <c r="A54" s="584"/>
      <c r="B54" s="586" t="s">
        <v>2245</v>
      </c>
      <c r="C54" s="586"/>
      <c r="D54" s="586"/>
      <c r="E54" s="586"/>
      <c r="F54" s="586"/>
      <c r="G54" s="586"/>
      <c r="H54" s="586"/>
      <c r="I54" s="586"/>
      <c r="J54" s="586"/>
      <c r="K54" s="586"/>
      <c r="L54" s="586"/>
      <c r="M54" s="585"/>
      <c r="N54" s="352">
        <f>E35</f>
        <v>0</v>
      </c>
      <c r="O54" s="672" t="s">
        <v>1317</v>
      </c>
      <c r="P54" s="1566"/>
    </row>
    <row r="55" spans="1:16" ht="15">
      <c r="A55" s="584"/>
      <c r="B55" s="585"/>
      <c r="C55" s="585"/>
      <c r="D55" s="585"/>
      <c r="E55" s="585"/>
      <c r="F55" s="585"/>
      <c r="G55" s="585"/>
      <c r="H55" s="585"/>
      <c r="I55" s="585"/>
      <c r="J55" s="585"/>
      <c r="K55" s="585"/>
      <c r="L55" s="585"/>
      <c r="M55" s="585"/>
      <c r="N55" s="585"/>
      <c r="O55" s="659"/>
      <c r="P55" s="1566"/>
    </row>
    <row r="56" spans="1:16" ht="15.75">
      <c r="A56" s="584"/>
      <c r="B56" s="586" t="s">
        <v>2418</v>
      </c>
      <c r="C56" s="586"/>
      <c r="D56" s="586"/>
      <c r="E56" s="586"/>
      <c r="F56" s="586"/>
      <c r="G56" s="586"/>
      <c r="H56" s="586"/>
      <c r="I56" s="586"/>
      <c r="J56" s="670"/>
      <c r="K56" s="104">
        <f>MAX(0,'T1 GEN-2-3-4'!I13)+MAX(0,'T1 GEN-2-3-4'!I26)+MAX(0,'T1 GEN-2-3-4'!I34)+MAX(0,'T1 GEN-2-3-4'!I35)+MAX(0,'T1 GEN-2-3-4'!I36)+MAX(0,'T1 GEN-2-3-4'!I37)+MAX(0,'T1 GEN-2-3-4'!I38)+MAX(0,'T1 GEN-2-3-4'!G18)+MAX(0,'T1 GEN-2-3-4'!I32)</f>
        <v>0</v>
      </c>
      <c r="L56" s="671" t="s">
        <v>2419</v>
      </c>
      <c r="M56" s="585"/>
      <c r="N56" s="352">
        <f>ROUND(K56*(2/3),2)</f>
        <v>0</v>
      </c>
      <c r="O56" s="672" t="s">
        <v>1318</v>
      </c>
      <c r="P56" s="1566"/>
    </row>
    <row r="57" spans="1:16" ht="15">
      <c r="A57" s="584"/>
      <c r="B57" s="585"/>
      <c r="C57" s="585"/>
      <c r="D57" s="585"/>
      <c r="E57" s="585"/>
      <c r="F57" s="585"/>
      <c r="G57" s="585"/>
      <c r="H57" s="585"/>
      <c r="I57" s="585"/>
      <c r="J57" s="585"/>
      <c r="K57" s="585"/>
      <c r="L57" s="585"/>
      <c r="M57" s="585"/>
      <c r="N57" s="585"/>
      <c r="O57" s="659"/>
      <c r="P57" s="1566"/>
    </row>
    <row r="58" spans="1:16" ht="15.75">
      <c r="A58" s="584"/>
      <c r="B58" s="586" t="s">
        <v>2246</v>
      </c>
      <c r="C58" s="586"/>
      <c r="D58" s="586"/>
      <c r="E58" s="586"/>
      <c r="F58" s="586"/>
      <c r="G58" s="586"/>
      <c r="H58" s="586"/>
      <c r="I58" s="586"/>
      <c r="J58" s="586"/>
      <c r="K58" s="586"/>
      <c r="L58" s="586"/>
      <c r="M58" s="585"/>
      <c r="N58" s="352">
        <f>MINA(N52,N54,N56)</f>
        <v>0</v>
      </c>
      <c r="O58" s="672" t="s">
        <v>1527</v>
      </c>
      <c r="P58" s="1566"/>
    </row>
    <row r="59" spans="1:16" ht="6.75" customHeight="1">
      <c r="A59" s="584"/>
      <c r="B59" s="585"/>
      <c r="C59" s="585"/>
      <c r="D59" s="585"/>
      <c r="E59" s="585"/>
      <c r="F59" s="585"/>
      <c r="G59" s="585"/>
      <c r="H59" s="585"/>
      <c r="I59" s="585"/>
      <c r="J59" s="585"/>
      <c r="K59" s="585"/>
      <c r="L59" s="585"/>
      <c r="M59" s="585"/>
      <c r="N59" s="585"/>
      <c r="O59" s="659"/>
      <c r="P59" s="1566"/>
    </row>
    <row r="60" spans="1:16" ht="15.75">
      <c r="A60" s="584"/>
      <c r="B60" s="666" t="s">
        <v>1127</v>
      </c>
      <c r="C60" s="585"/>
      <c r="D60" s="585"/>
      <c r="E60" s="585"/>
      <c r="F60" s="585"/>
      <c r="G60" s="585"/>
      <c r="H60" s="585"/>
      <c r="I60" s="585"/>
      <c r="J60" s="585"/>
      <c r="K60" s="585"/>
      <c r="L60" s="585"/>
      <c r="M60" s="585"/>
      <c r="N60" s="585"/>
      <c r="O60" s="659"/>
      <c r="P60" s="1566"/>
    </row>
    <row r="61" spans="1:16" ht="9" customHeight="1">
      <c r="A61" s="584"/>
      <c r="B61" s="585"/>
      <c r="C61" s="585"/>
      <c r="D61" s="585"/>
      <c r="E61" s="585"/>
      <c r="F61" s="585"/>
      <c r="G61" s="585"/>
      <c r="H61" s="585"/>
      <c r="I61" s="585"/>
      <c r="J61" s="585"/>
      <c r="K61" s="585"/>
      <c r="L61" s="585"/>
      <c r="M61" s="585"/>
      <c r="N61" s="585"/>
      <c r="O61" s="659"/>
      <c r="P61" s="1566"/>
    </row>
    <row r="62" spans="1:16" ht="15.75">
      <c r="A62" s="584"/>
      <c r="B62" s="585" t="s">
        <v>1408</v>
      </c>
      <c r="C62" s="585"/>
      <c r="D62" s="585"/>
      <c r="E62" s="585"/>
      <c r="F62" s="585"/>
      <c r="G62" s="585"/>
      <c r="H62" s="585"/>
      <c r="I62" s="585"/>
      <c r="J62" s="585"/>
      <c r="K62" s="585"/>
      <c r="L62" s="585"/>
      <c r="M62" s="585"/>
      <c r="N62" s="585"/>
      <c r="O62" s="659"/>
      <c r="P62" s="1566"/>
    </row>
    <row r="63" spans="1:16" ht="15">
      <c r="A63" s="584"/>
      <c r="B63" s="586" t="str">
        <f>"expenses?"&amp;CHAR(34)&amp;" on the attached sheet) with the higher net income deducted on line 214 of his or her "&amp;yeartext&amp;" return."</f>
        <v>expenses?" on the attached sheet) with the higher net income deducted on line 214 of his or her 2009 return.</v>
      </c>
      <c r="C63" s="586"/>
      <c r="D63" s="586"/>
      <c r="E63" s="586"/>
      <c r="F63" s="586"/>
      <c r="G63" s="586"/>
      <c r="H63" s="586"/>
      <c r="I63" s="586"/>
      <c r="J63" s="586"/>
      <c r="K63" s="586"/>
      <c r="L63" s="586"/>
      <c r="M63" s="585"/>
      <c r="N63" s="104"/>
      <c r="O63" s="672" t="s">
        <v>1319</v>
      </c>
      <c r="P63" s="1566"/>
    </row>
    <row r="64" spans="1:16" ht="17.25" customHeight="1">
      <c r="A64" s="584"/>
      <c r="B64" s="585" t="str">
        <f>"Line 7 minus line 8. If you attended school in "&amp;yeartext&amp;" and you are the only person making a claim, also go to"</f>
        <v>Line 7 minus line 8. If you attended school in 2009 and you are the only person making a claim, also go to</v>
      </c>
      <c r="C64" s="585"/>
      <c r="D64" s="585"/>
      <c r="E64" s="585"/>
      <c r="F64" s="585"/>
      <c r="G64" s="585"/>
      <c r="H64" s="585"/>
      <c r="I64" s="585"/>
      <c r="J64" s="585"/>
      <c r="K64" s="585"/>
      <c r="L64" s="585"/>
      <c r="M64" s="585"/>
      <c r="N64" s="585"/>
      <c r="O64" s="659"/>
      <c r="P64" s="1566"/>
    </row>
    <row r="65" spans="1:16" ht="15.75">
      <c r="A65" s="584"/>
      <c r="B65" s="586" t="s">
        <v>2247</v>
      </c>
      <c r="C65" s="586"/>
      <c r="D65" s="586"/>
      <c r="E65" s="586"/>
      <c r="F65" s="586"/>
      <c r="G65" s="586"/>
      <c r="H65" s="586"/>
      <c r="I65" s="586"/>
      <c r="J65" s="586"/>
      <c r="K65" s="586"/>
      <c r="L65" s="711" t="s">
        <v>1889</v>
      </c>
      <c r="M65" s="585"/>
      <c r="N65" s="619">
        <f>IF(B79="",N58-N63,0)</f>
        <v>0</v>
      </c>
      <c r="O65" s="672" t="s">
        <v>195</v>
      </c>
      <c r="P65" s="1566"/>
    </row>
    <row r="66" spans="1:16" ht="15">
      <c r="A66" s="584"/>
      <c r="B66" s="585"/>
      <c r="C66" s="585"/>
      <c r="D66" s="585"/>
      <c r="E66" s="585"/>
      <c r="F66" s="585"/>
      <c r="G66" s="585"/>
      <c r="H66" s="585"/>
      <c r="I66" s="585"/>
      <c r="J66" s="585"/>
      <c r="K66" s="585"/>
      <c r="L66" s="585"/>
      <c r="M66" s="585"/>
      <c r="N66" s="585"/>
      <c r="O66" s="659"/>
      <c r="P66" s="1566"/>
    </row>
    <row r="67" spans="1:16" ht="15">
      <c r="A67" s="584"/>
      <c r="B67" s="585" t="s">
        <v>412</v>
      </c>
      <c r="C67" s="585"/>
      <c r="D67" s="585"/>
      <c r="E67" s="585"/>
      <c r="F67" s="585"/>
      <c r="G67" s="585"/>
      <c r="H67" s="585"/>
      <c r="I67" s="585"/>
      <c r="J67" s="585"/>
      <c r="K67" s="585"/>
      <c r="L67" s="585"/>
      <c r="M67" s="585"/>
      <c r="N67" s="585"/>
      <c r="O67" s="659"/>
      <c r="P67" s="1566"/>
    </row>
    <row r="68" spans="1:16" ht="15">
      <c r="A68" s="584"/>
      <c r="B68" s="585" t="s">
        <v>1900</v>
      </c>
      <c r="C68" s="585"/>
      <c r="D68" s="585"/>
      <c r="E68" s="585"/>
      <c r="F68" s="585"/>
      <c r="G68" s="585"/>
      <c r="H68" s="585"/>
      <c r="I68" s="585"/>
      <c r="J68" s="585"/>
      <c r="K68" s="585"/>
      <c r="L68" s="585"/>
      <c r="M68" s="585"/>
      <c r="N68" s="585"/>
      <c r="O68" s="659"/>
      <c r="P68" s="1566"/>
    </row>
    <row r="69" spans="1:16" ht="15">
      <c r="A69" s="588"/>
      <c r="B69" s="586"/>
      <c r="C69" s="586"/>
      <c r="D69" s="586"/>
      <c r="E69" s="586"/>
      <c r="F69" s="586"/>
      <c r="G69" s="586"/>
      <c r="H69" s="586"/>
      <c r="I69" s="586"/>
      <c r="J69" s="586"/>
      <c r="K69" s="586"/>
      <c r="L69" s="586"/>
      <c r="M69" s="586"/>
      <c r="N69" s="586"/>
      <c r="O69" s="669"/>
      <c r="P69" s="1566"/>
    </row>
    <row r="70" spans="1:16" ht="23.25">
      <c r="A70" s="578"/>
      <c r="B70" s="578"/>
      <c r="C70" s="578"/>
      <c r="D70" s="578"/>
      <c r="E70" s="578"/>
      <c r="F70" s="578"/>
      <c r="G70" s="578"/>
      <c r="H70" s="578"/>
      <c r="I70" s="578"/>
      <c r="J70" s="578"/>
      <c r="K70" s="578"/>
      <c r="L70" s="578"/>
      <c r="M70" s="585"/>
      <c r="N70" s="578"/>
      <c r="O70" s="674" t="s">
        <v>2420</v>
      </c>
      <c r="P70" s="1566"/>
    </row>
    <row r="71" spans="1:16" ht="15">
      <c r="A71" s="578"/>
      <c r="B71" s="578"/>
      <c r="C71" s="578"/>
      <c r="D71" s="578"/>
      <c r="E71" s="578"/>
      <c r="F71" s="578"/>
      <c r="G71" s="578"/>
      <c r="H71" s="578"/>
      <c r="I71" s="578"/>
      <c r="J71" s="578"/>
      <c r="K71" s="578"/>
      <c r="L71" s="578"/>
      <c r="M71" s="585"/>
      <c r="N71" s="578"/>
      <c r="O71" s="578"/>
      <c r="P71" s="1566"/>
    </row>
    <row r="72" spans="1:16" ht="7.5" customHeight="1">
      <c r="A72" s="578"/>
      <c r="B72" s="578"/>
      <c r="C72" s="578"/>
      <c r="D72" s="578"/>
      <c r="E72" s="578"/>
      <c r="F72" s="578"/>
      <c r="G72" s="578"/>
      <c r="H72" s="578"/>
      <c r="I72" s="578"/>
      <c r="J72" s="578"/>
      <c r="K72" s="578"/>
      <c r="L72" s="578"/>
      <c r="M72" s="585"/>
      <c r="N72" s="578"/>
      <c r="O72" s="578"/>
      <c r="P72" s="1566"/>
    </row>
    <row r="73" spans="1:16" ht="20.25">
      <c r="A73" s="591"/>
      <c r="B73" s="658" t="s">
        <v>1307</v>
      </c>
      <c r="C73" s="658"/>
      <c r="D73" s="582"/>
      <c r="E73" s="582"/>
      <c r="F73" s="582"/>
      <c r="G73" s="582"/>
      <c r="H73" s="582"/>
      <c r="I73" s="582"/>
      <c r="J73" s="582"/>
      <c r="K73" s="582"/>
      <c r="L73" s="582"/>
      <c r="M73" s="582"/>
      <c r="N73" s="582"/>
      <c r="O73" s="583"/>
      <c r="P73" s="1566"/>
    </row>
    <row r="74" spans="1:16" ht="7.5" customHeight="1">
      <c r="A74" s="584"/>
      <c r="B74" s="585"/>
      <c r="C74" s="585"/>
      <c r="D74" s="585"/>
      <c r="E74" s="585"/>
      <c r="F74" s="585"/>
      <c r="G74" s="585"/>
      <c r="H74" s="585"/>
      <c r="I74" s="585"/>
      <c r="J74" s="585"/>
      <c r="K74" s="585"/>
      <c r="L74" s="585"/>
      <c r="M74" s="585"/>
      <c r="N74" s="585"/>
      <c r="O74" s="659"/>
      <c r="P74" s="1566"/>
    </row>
    <row r="75" spans="1:16" ht="15">
      <c r="A75" s="584"/>
      <c r="B75" s="585" t="str">
        <f>"Complete Part C if, in "&amp;yeartext&amp;", another person (as described under "&amp;CHAR(34)&amp;"Who can claim child care expenses?"&amp;CHAR(34)&amp;" on the attached sheet) with"</f>
        <v>Complete Part C if, in 2009, another person (as described under "Who can claim child care expenses?" on the attached sheet) with</v>
      </c>
      <c r="C75" s="585"/>
      <c r="D75" s="585"/>
      <c r="E75" s="585"/>
      <c r="F75" s="585"/>
      <c r="G75" s="585"/>
      <c r="H75" s="585"/>
      <c r="I75" s="585"/>
      <c r="J75" s="585"/>
      <c r="K75" s="585"/>
      <c r="L75" s="585"/>
      <c r="M75" s="585"/>
      <c r="N75" s="585"/>
      <c r="O75" s="659"/>
      <c r="P75" s="1566"/>
    </row>
    <row r="76" spans="1:16" ht="15">
      <c r="A76" s="584"/>
      <c r="B76" s="585" t="s">
        <v>2248</v>
      </c>
      <c r="C76" s="585"/>
      <c r="D76" s="585"/>
      <c r="E76" s="585"/>
      <c r="F76" s="585"/>
      <c r="G76" s="585"/>
      <c r="H76" s="585"/>
      <c r="I76" s="585"/>
      <c r="J76" s="585"/>
      <c r="K76" s="585"/>
      <c r="L76" s="585"/>
      <c r="M76" s="585"/>
      <c r="N76" s="585"/>
      <c r="O76" s="659"/>
      <c r="P76" s="1566"/>
    </row>
    <row r="77" spans="1:16" ht="15.75">
      <c r="A77" s="584"/>
      <c r="B77" s="666" t="s">
        <v>2249</v>
      </c>
      <c r="C77" s="585"/>
      <c r="D77" s="585"/>
      <c r="E77" s="585"/>
      <c r="F77" s="585"/>
      <c r="G77" s="585"/>
      <c r="H77" s="585"/>
      <c r="I77" s="585"/>
      <c r="J77" s="585"/>
      <c r="K77" s="585"/>
      <c r="L77" s="585"/>
      <c r="M77" s="585"/>
      <c r="N77" s="585"/>
      <c r="O77" s="659"/>
      <c r="P77" s="1566"/>
    </row>
    <row r="78" spans="1:16" ht="21.75" customHeight="1">
      <c r="A78" s="584"/>
      <c r="B78" s="578"/>
      <c r="C78" s="585"/>
      <c r="D78" s="585"/>
      <c r="E78" s="595" t="s">
        <v>605</v>
      </c>
      <c r="F78" s="585"/>
      <c r="G78" s="585"/>
      <c r="H78" s="585"/>
      <c r="I78" s="585"/>
      <c r="J78" s="585"/>
      <c r="K78" s="595" t="s">
        <v>1696</v>
      </c>
      <c r="L78" s="585"/>
      <c r="M78" s="585"/>
      <c r="N78" s="595" t="s">
        <v>2389</v>
      </c>
      <c r="O78" s="659"/>
      <c r="P78" s="1566"/>
    </row>
    <row r="79" spans="1:16" ht="19.5" customHeight="1">
      <c r="A79" s="584"/>
      <c r="B79" s="1816"/>
      <c r="C79" s="1816"/>
      <c r="D79" s="1816"/>
      <c r="E79" s="1816"/>
      <c r="F79" s="1816"/>
      <c r="G79" s="1816"/>
      <c r="H79" s="585"/>
      <c r="I79" s="585"/>
      <c r="J79" s="585"/>
      <c r="K79" s="291"/>
      <c r="L79" s="585"/>
      <c r="M79" s="585"/>
      <c r="N79" s="104"/>
      <c r="O79" s="659"/>
      <c r="P79" s="1566"/>
    </row>
    <row r="80" spans="1:16" ht="15">
      <c r="A80" s="584"/>
      <c r="B80" s="585"/>
      <c r="C80" s="585"/>
      <c r="D80" s="585"/>
      <c r="E80" s="585"/>
      <c r="F80" s="585"/>
      <c r="G80" s="585"/>
      <c r="H80" s="585"/>
      <c r="I80" s="585"/>
      <c r="J80" s="585"/>
      <c r="K80" s="585"/>
      <c r="L80" s="585"/>
      <c r="M80" s="585"/>
      <c r="N80" s="585"/>
      <c r="O80" s="659"/>
      <c r="P80" s="1566"/>
    </row>
    <row r="81" spans="1:16" ht="18">
      <c r="A81" s="584"/>
      <c r="B81" s="292"/>
      <c r="C81" s="585" t="s">
        <v>2251</v>
      </c>
      <c r="D81" s="585"/>
      <c r="E81" s="585"/>
      <c r="F81" s="585"/>
      <c r="G81" s="585"/>
      <c r="H81" s="585"/>
      <c r="I81" s="585"/>
      <c r="J81" s="585"/>
      <c r="K81" s="585"/>
      <c r="L81" s="585"/>
      <c r="M81" s="585"/>
      <c r="N81" s="585"/>
      <c r="O81" s="659"/>
      <c r="P81" s="1566"/>
    </row>
    <row r="82" spans="1:16" ht="15">
      <c r="A82" s="584"/>
      <c r="B82" s="585"/>
      <c r="C82" s="585" t="s">
        <v>2250</v>
      </c>
      <c r="D82" s="585"/>
      <c r="E82" s="585"/>
      <c r="F82" s="585"/>
      <c r="G82" s="585"/>
      <c r="H82" s="585"/>
      <c r="I82" s="585"/>
      <c r="J82" s="585"/>
      <c r="K82" s="585"/>
      <c r="L82" s="585"/>
      <c r="M82" s="585"/>
      <c r="N82" s="585"/>
      <c r="O82" s="659"/>
      <c r="P82" s="1566"/>
    </row>
    <row r="83" spans="1:16" ht="15">
      <c r="A83" s="584"/>
      <c r="B83" s="585"/>
      <c r="C83" s="585"/>
      <c r="D83" s="585"/>
      <c r="E83" s="585"/>
      <c r="F83" s="585"/>
      <c r="G83" s="585"/>
      <c r="H83" s="585"/>
      <c r="I83" s="585"/>
      <c r="J83" s="585"/>
      <c r="K83" s="585"/>
      <c r="L83" s="585"/>
      <c r="M83" s="585"/>
      <c r="N83" s="585"/>
      <c r="O83" s="659"/>
      <c r="P83" s="1566"/>
    </row>
    <row r="84" spans="1:16" ht="18">
      <c r="A84" s="584"/>
      <c r="B84" s="292"/>
      <c r="C84" s="585" t="s">
        <v>2612</v>
      </c>
      <c r="D84" s="585"/>
      <c r="E84" s="585"/>
      <c r="F84" s="585"/>
      <c r="G84" s="585"/>
      <c r="H84" s="585"/>
      <c r="I84" s="585"/>
      <c r="J84" s="585"/>
      <c r="K84" s="585"/>
      <c r="L84" s="585"/>
      <c r="M84" s="585"/>
      <c r="N84" s="585"/>
      <c r="O84" s="659"/>
      <c r="P84" s="1566"/>
    </row>
    <row r="85" spans="1:16" ht="15">
      <c r="A85" s="584"/>
      <c r="B85" s="585"/>
      <c r="C85" s="585" t="s">
        <v>2250</v>
      </c>
      <c r="D85" s="585"/>
      <c r="E85" s="585"/>
      <c r="F85" s="585"/>
      <c r="G85" s="585"/>
      <c r="H85" s="585"/>
      <c r="I85" s="585"/>
      <c r="J85" s="585"/>
      <c r="K85" s="585"/>
      <c r="L85" s="585"/>
      <c r="M85" s="585"/>
      <c r="N85" s="585"/>
      <c r="O85" s="659"/>
      <c r="P85" s="1566"/>
    </row>
    <row r="86" spans="1:16" ht="15">
      <c r="A86" s="584"/>
      <c r="B86" s="585"/>
      <c r="C86" s="585"/>
      <c r="D86" s="585"/>
      <c r="E86" s="585"/>
      <c r="F86" s="585"/>
      <c r="G86" s="585"/>
      <c r="H86" s="585"/>
      <c r="I86" s="585"/>
      <c r="J86" s="585"/>
      <c r="K86" s="585"/>
      <c r="L86" s="585"/>
      <c r="M86" s="585"/>
      <c r="N86" s="585"/>
      <c r="O86" s="659"/>
      <c r="P86" s="1566"/>
    </row>
    <row r="87" spans="1:16" ht="18">
      <c r="A87" s="584"/>
      <c r="B87" s="292"/>
      <c r="C87" s="585" t="s">
        <v>1128</v>
      </c>
      <c r="D87" s="585"/>
      <c r="E87" s="585"/>
      <c r="F87" s="585"/>
      <c r="G87" s="585"/>
      <c r="H87" s="585"/>
      <c r="I87" s="585"/>
      <c r="J87" s="585"/>
      <c r="K87" s="585"/>
      <c r="L87" s="585"/>
      <c r="M87" s="585"/>
      <c r="N87" s="585"/>
      <c r="O87" s="659"/>
      <c r="P87" s="1566"/>
    </row>
    <row r="88" spans="1:16" ht="15">
      <c r="A88" s="584"/>
      <c r="B88" s="585"/>
      <c r="C88" s="585" t="s">
        <v>2254</v>
      </c>
      <c r="D88" s="585"/>
      <c r="E88" s="585"/>
      <c r="F88" s="585"/>
      <c r="G88" s="585"/>
      <c r="H88" s="585"/>
      <c r="I88" s="585"/>
      <c r="J88" s="585"/>
      <c r="K88" s="585"/>
      <c r="L88" s="585"/>
      <c r="M88" s="585"/>
      <c r="N88" s="585"/>
      <c r="O88" s="659"/>
      <c r="P88" s="1566"/>
    </row>
    <row r="89" spans="1:16" ht="15">
      <c r="A89" s="584"/>
      <c r="B89" s="585"/>
      <c r="C89" s="585" t="s">
        <v>2252</v>
      </c>
      <c r="D89" s="585"/>
      <c r="E89" s="585"/>
      <c r="F89" s="585"/>
      <c r="G89" s="585"/>
      <c r="H89" s="585"/>
      <c r="I89" s="585"/>
      <c r="J89" s="585"/>
      <c r="K89" s="585"/>
      <c r="L89" s="585"/>
      <c r="M89" s="585"/>
      <c r="N89" s="585"/>
      <c r="O89" s="659"/>
      <c r="P89" s="1566"/>
    </row>
    <row r="90" spans="1:16" ht="7.5" customHeight="1">
      <c r="A90" s="584"/>
      <c r="B90" s="585"/>
      <c r="C90" s="585"/>
      <c r="D90" s="585"/>
      <c r="E90" s="585"/>
      <c r="F90" s="585"/>
      <c r="G90" s="585"/>
      <c r="H90" s="585"/>
      <c r="I90" s="585"/>
      <c r="J90" s="585"/>
      <c r="K90" s="585"/>
      <c r="L90" s="585"/>
      <c r="M90" s="585"/>
      <c r="N90" s="585"/>
      <c r="O90" s="659"/>
      <c r="P90" s="1566"/>
    </row>
    <row r="91" spans="1:16" ht="18">
      <c r="A91" s="584"/>
      <c r="B91" s="292"/>
      <c r="C91" s="585" t="s">
        <v>2253</v>
      </c>
      <c r="D91" s="585"/>
      <c r="E91" s="585"/>
      <c r="F91" s="585"/>
      <c r="G91" s="585"/>
      <c r="H91" s="585"/>
      <c r="I91" s="585"/>
      <c r="J91" s="585"/>
      <c r="K91" s="585"/>
      <c r="L91" s="585"/>
      <c r="M91" s="585"/>
      <c r="N91" s="585"/>
      <c r="O91" s="659"/>
      <c r="P91" s="1566"/>
    </row>
    <row r="92" spans="1:16" ht="15">
      <c r="A92" s="584"/>
      <c r="B92" s="585"/>
      <c r="C92" s="585" t="s">
        <v>1540</v>
      </c>
      <c r="D92" s="585"/>
      <c r="E92" s="585"/>
      <c r="F92" s="585"/>
      <c r="G92" s="585"/>
      <c r="H92" s="585"/>
      <c r="I92" s="585"/>
      <c r="J92" s="585"/>
      <c r="K92" s="585"/>
      <c r="L92" s="585"/>
      <c r="M92" s="585"/>
      <c r="N92" s="585"/>
      <c r="O92" s="659"/>
      <c r="P92" s="1566"/>
    </row>
    <row r="93" spans="1:16" ht="7.5" customHeight="1">
      <c r="A93" s="584"/>
      <c r="B93" s="585"/>
      <c r="C93" s="585"/>
      <c r="D93" s="585"/>
      <c r="E93" s="585"/>
      <c r="F93" s="585"/>
      <c r="G93" s="585"/>
      <c r="H93" s="585"/>
      <c r="I93" s="585"/>
      <c r="J93" s="585"/>
      <c r="K93" s="585"/>
      <c r="L93" s="585"/>
      <c r="M93" s="585"/>
      <c r="N93" s="585"/>
      <c r="O93" s="659"/>
      <c r="P93" s="1566"/>
    </row>
    <row r="94" spans="1:16" ht="18">
      <c r="A94" s="584"/>
      <c r="B94" s="292"/>
      <c r="C94" s="585" t="s">
        <v>1826</v>
      </c>
      <c r="D94" s="585"/>
      <c r="E94" s="585"/>
      <c r="F94" s="585"/>
      <c r="G94" s="585"/>
      <c r="H94" s="585"/>
      <c r="I94" s="585"/>
      <c r="J94" s="585"/>
      <c r="K94" s="585"/>
      <c r="L94" s="585"/>
      <c r="M94" s="585"/>
      <c r="N94" s="585"/>
      <c r="O94" s="659"/>
      <c r="P94" s="1566"/>
    </row>
    <row r="95" spans="1:16" ht="15">
      <c r="A95" s="584"/>
      <c r="B95" s="585"/>
      <c r="C95" s="585"/>
      <c r="D95" s="585"/>
      <c r="E95" s="585"/>
      <c r="F95" s="585"/>
      <c r="G95" s="585"/>
      <c r="H95" s="585"/>
      <c r="I95" s="585"/>
      <c r="J95" s="585"/>
      <c r="K95" s="585"/>
      <c r="L95" s="585"/>
      <c r="M95" s="585"/>
      <c r="N95" s="585"/>
      <c r="O95" s="659"/>
      <c r="P95" s="1566"/>
    </row>
    <row r="96" spans="1:16" ht="18">
      <c r="A96" s="584"/>
      <c r="B96" s="292"/>
      <c r="C96" s="585" t="s">
        <v>1581</v>
      </c>
      <c r="D96" s="585"/>
      <c r="E96" s="585"/>
      <c r="F96" s="585"/>
      <c r="G96" s="585"/>
      <c r="H96" s="585"/>
      <c r="I96" s="585"/>
      <c r="J96" s="585"/>
      <c r="K96" s="585"/>
      <c r="L96" s="585"/>
      <c r="M96" s="585"/>
      <c r="N96" s="585"/>
      <c r="O96" s="659"/>
      <c r="P96" s="1566"/>
    </row>
    <row r="97" spans="1:16" ht="15">
      <c r="A97" s="584"/>
      <c r="B97" s="585"/>
      <c r="C97" s="585" t="str">
        <f>"    end of "&amp;yeartext&amp;" and for a period of at least 90 days beginning in "&amp;yeartext&amp;", but you reconciled before March 1, "&amp;nextyeartext&amp;"."</f>
        <v>    end of 2009 and for a period of at least 90 days beginning in 2009, but you reconciled before March 1, 2010.</v>
      </c>
      <c r="D97" s="585"/>
      <c r="E97" s="585"/>
      <c r="F97" s="585"/>
      <c r="G97" s="585"/>
      <c r="H97" s="585"/>
      <c r="I97" s="585"/>
      <c r="J97" s="585"/>
      <c r="K97" s="585"/>
      <c r="L97" s="585"/>
      <c r="M97" s="585"/>
      <c r="N97" s="585"/>
      <c r="O97" s="659"/>
      <c r="P97" s="1566"/>
    </row>
    <row r="98" spans="1:16" ht="7.5" customHeight="1">
      <c r="A98" s="584"/>
      <c r="B98" s="585"/>
      <c r="C98" s="585"/>
      <c r="D98" s="585"/>
      <c r="E98" s="585"/>
      <c r="F98" s="585"/>
      <c r="G98" s="585"/>
      <c r="H98" s="585"/>
      <c r="I98" s="585"/>
      <c r="J98" s="585"/>
      <c r="K98" s="585"/>
      <c r="L98" s="585"/>
      <c r="M98" s="585"/>
      <c r="N98" s="585"/>
      <c r="O98" s="659"/>
      <c r="P98" s="1566"/>
    </row>
    <row r="99" spans="1:16" ht="15.75">
      <c r="A99" s="584"/>
      <c r="B99" s="586" t="s">
        <v>1511</v>
      </c>
      <c r="C99" s="586"/>
      <c r="D99" s="586"/>
      <c r="E99" s="1317"/>
      <c r="F99" s="586"/>
      <c r="G99" s="1444"/>
      <c r="H99" s="586"/>
      <c r="I99" s="586"/>
      <c r="J99" s="585"/>
      <c r="K99" s="352">
        <f>N52</f>
        <v>0</v>
      </c>
      <c r="L99" s="666" t="s">
        <v>1003</v>
      </c>
      <c r="M99" s="585"/>
      <c r="N99" s="352">
        <f>K99*0.025</f>
        <v>0</v>
      </c>
      <c r="O99" s="672" t="s">
        <v>1218</v>
      </c>
      <c r="P99" s="1566"/>
    </row>
    <row r="100" spans="1:16" ht="15">
      <c r="A100" s="584"/>
      <c r="B100" s="585"/>
      <c r="C100" s="585"/>
      <c r="D100" s="585"/>
      <c r="E100" s="585"/>
      <c r="F100" s="585"/>
      <c r="G100" s="585"/>
      <c r="H100" s="585"/>
      <c r="I100" s="585"/>
      <c r="J100" s="585"/>
      <c r="K100" s="585"/>
      <c r="L100" s="585"/>
      <c r="M100" s="585"/>
      <c r="N100" s="585"/>
      <c r="O100" s="659"/>
      <c r="P100" s="1566"/>
    </row>
    <row r="101" spans="1:16" ht="15.75">
      <c r="A101" s="584"/>
      <c r="B101" s="585" t="s">
        <v>231</v>
      </c>
      <c r="C101" s="585"/>
      <c r="D101" s="585"/>
      <c r="E101" s="585"/>
      <c r="F101" s="585"/>
      <c r="G101" s="585"/>
      <c r="H101" s="290"/>
      <c r="I101" s="1813" t="str">
        <f>" in "&amp;yeartext&amp;" that"</f>
        <v> in 2009 that</v>
      </c>
      <c r="J101" s="1814"/>
      <c r="K101" s="1141" t="s">
        <v>1349</v>
      </c>
      <c r="L101" s="585"/>
      <c r="M101" s="585"/>
      <c r="N101" s="585"/>
      <c r="O101" s="659"/>
      <c r="P101" s="1566"/>
    </row>
    <row r="102" spans="1:16" ht="15.75">
      <c r="A102" s="584"/>
      <c r="B102" s="586" t="s">
        <v>2613</v>
      </c>
      <c r="C102" s="586"/>
      <c r="D102" s="586"/>
      <c r="E102" s="586"/>
      <c r="F102" s="586"/>
      <c r="G102" s="586"/>
      <c r="H102" s="586"/>
      <c r="I102" s="586"/>
      <c r="J102" s="586"/>
      <c r="K102" s="586"/>
      <c r="L102" s="586"/>
      <c r="M102" s="585"/>
      <c r="N102" s="352">
        <f>ROUND(H101,0)*N99</f>
        <v>0</v>
      </c>
      <c r="O102" s="672" t="s">
        <v>1055</v>
      </c>
      <c r="P102" s="1566"/>
    </row>
    <row r="103" spans="1:16" ht="16.5" thickBot="1">
      <c r="A103" s="584"/>
      <c r="B103" s="585" t="s">
        <v>232</v>
      </c>
      <c r="C103" s="585"/>
      <c r="D103" s="585"/>
      <c r="E103" s="585"/>
      <c r="F103" s="585"/>
      <c r="G103" s="585"/>
      <c r="H103" s="290"/>
      <c r="I103" s="578"/>
      <c r="J103" s="660" t="str">
        <f>" in "&amp;yeartext&amp;" that any of"</f>
        <v> in 2009 that any of</v>
      </c>
      <c r="K103" s="585" t="s">
        <v>1350</v>
      </c>
      <c r="L103" s="585"/>
      <c r="M103" s="585"/>
      <c r="N103" s="688">
        <f>ROUND(H103,0)*N99</f>
        <v>0</v>
      </c>
      <c r="O103" s="672" t="s">
        <v>1057</v>
      </c>
      <c r="P103" s="1566"/>
    </row>
    <row r="104" spans="1:16" ht="15.75">
      <c r="A104" s="584"/>
      <c r="B104" s="586" t="s">
        <v>2526</v>
      </c>
      <c r="C104" s="586"/>
      <c r="D104" s="586"/>
      <c r="E104" s="586"/>
      <c r="F104" s="586"/>
      <c r="G104" s="586"/>
      <c r="H104" s="586"/>
      <c r="I104" s="586"/>
      <c r="J104" s="586"/>
      <c r="K104" s="586"/>
      <c r="L104" s="586"/>
      <c r="M104" s="288" t="s">
        <v>2424</v>
      </c>
      <c r="N104" s="352">
        <f>N102+N103</f>
        <v>0</v>
      </c>
      <c r="O104" s="672" t="s">
        <v>1059</v>
      </c>
      <c r="P104" s="1566"/>
    </row>
    <row r="105" spans="1:16" ht="15">
      <c r="A105" s="584"/>
      <c r="B105" s="585"/>
      <c r="C105" s="585"/>
      <c r="D105" s="585"/>
      <c r="E105" s="585"/>
      <c r="F105" s="585"/>
      <c r="G105" s="585"/>
      <c r="H105" s="585"/>
      <c r="I105" s="585"/>
      <c r="J105" s="585"/>
      <c r="K105" s="585"/>
      <c r="L105" s="585"/>
      <c r="M105" s="585"/>
      <c r="N105" s="585"/>
      <c r="O105" s="659"/>
      <c r="P105" s="1566"/>
    </row>
    <row r="106" spans="1:16" ht="15.75">
      <c r="A106" s="584"/>
      <c r="B106" s="585" t="s">
        <v>1027</v>
      </c>
      <c r="C106" s="585"/>
      <c r="D106" s="585"/>
      <c r="E106" s="585"/>
      <c r="F106" s="585"/>
      <c r="G106" s="585"/>
      <c r="H106" s="585"/>
      <c r="I106" s="585"/>
      <c r="J106" s="585"/>
      <c r="K106" s="585"/>
      <c r="L106" s="585"/>
      <c r="M106" s="585"/>
      <c r="N106" s="585"/>
      <c r="O106" s="659"/>
      <c r="P106" s="1566"/>
    </row>
    <row r="107" spans="1:16" ht="15">
      <c r="A107" s="584"/>
      <c r="B107" s="585" t="str">
        <f>"If you attended school in "&amp;yeartext&amp;", go to Part D."</f>
        <v>If you attended school in 2009, go to Part D.</v>
      </c>
      <c r="C107" s="585"/>
      <c r="D107" s="585"/>
      <c r="E107" s="585"/>
      <c r="F107" s="585"/>
      <c r="G107" s="585"/>
      <c r="H107" s="585"/>
      <c r="I107" s="585"/>
      <c r="J107" s="585"/>
      <c r="K107" s="585"/>
      <c r="L107" s="585"/>
      <c r="M107" s="585"/>
      <c r="N107" s="585"/>
      <c r="O107" s="659"/>
      <c r="P107" s="1566"/>
    </row>
    <row r="108" spans="1:16" ht="15.75">
      <c r="A108" s="584"/>
      <c r="B108" s="585" t="s">
        <v>2614</v>
      </c>
      <c r="C108" s="585"/>
      <c r="D108" s="585"/>
      <c r="E108" s="585"/>
      <c r="F108" s="585"/>
      <c r="G108" s="585"/>
      <c r="H108" s="670"/>
      <c r="I108" s="670"/>
      <c r="J108" s="670"/>
      <c r="K108" s="585"/>
      <c r="L108" s="667" t="s">
        <v>1889</v>
      </c>
      <c r="M108" s="585"/>
      <c r="N108" s="619">
        <f>MINA(N58,N104)</f>
        <v>0</v>
      </c>
      <c r="O108" s="672" t="s">
        <v>1220</v>
      </c>
      <c r="P108" s="1566"/>
    </row>
    <row r="109" spans="1:16" ht="7.5" customHeight="1">
      <c r="A109" s="588"/>
      <c r="B109" s="586"/>
      <c r="C109" s="586"/>
      <c r="D109" s="586"/>
      <c r="E109" s="586"/>
      <c r="F109" s="586"/>
      <c r="G109" s="586"/>
      <c r="H109" s="586"/>
      <c r="I109" s="586"/>
      <c r="J109" s="586"/>
      <c r="K109" s="586"/>
      <c r="L109" s="711"/>
      <c r="M109" s="586"/>
      <c r="N109" s="589"/>
      <c r="O109" s="712"/>
      <c r="P109" s="1566"/>
    </row>
    <row r="110" spans="1:16" ht="7.5" customHeight="1">
      <c r="A110" s="578"/>
      <c r="B110" s="578"/>
      <c r="C110" s="578"/>
      <c r="D110" s="578"/>
      <c r="E110" s="578"/>
      <c r="F110" s="578"/>
      <c r="G110" s="578"/>
      <c r="H110" s="578"/>
      <c r="I110" s="578"/>
      <c r="J110" s="578"/>
      <c r="K110" s="578"/>
      <c r="L110" s="578"/>
      <c r="M110" s="585"/>
      <c r="N110" s="578"/>
      <c r="O110" s="578"/>
      <c r="P110" s="1566"/>
    </row>
    <row r="111" spans="1:16" ht="20.25">
      <c r="A111" s="591"/>
      <c r="B111" s="658" t="str">
        <f>"Part D – Were you enrolled in an educational program in "&amp;yeartext&amp;"?"</f>
        <v>Part D – Were you enrolled in an educational program in 2009?</v>
      </c>
      <c r="C111" s="582"/>
      <c r="D111" s="582"/>
      <c r="E111" s="582"/>
      <c r="F111" s="582"/>
      <c r="G111" s="582"/>
      <c r="H111" s="582"/>
      <c r="I111" s="582"/>
      <c r="J111" s="582"/>
      <c r="K111" s="582"/>
      <c r="L111" s="582"/>
      <c r="M111" s="582"/>
      <c r="N111" s="582"/>
      <c r="O111" s="583"/>
      <c r="P111" s="1566"/>
    </row>
    <row r="112" spans="1:16" ht="15">
      <c r="A112" s="584"/>
      <c r="B112" s="585" t="str">
        <f>"Complete Part D if, at a given time in "&amp;yeartext&amp;", either of the following situations applies to you:"</f>
        <v>Complete Part D if, at a given time in 2009, either of the following situations applies to you:</v>
      </c>
      <c r="C112" s="585"/>
      <c r="D112" s="585"/>
      <c r="E112" s="585"/>
      <c r="F112" s="585"/>
      <c r="G112" s="585"/>
      <c r="H112" s="585"/>
      <c r="I112" s="585"/>
      <c r="J112" s="585"/>
      <c r="K112" s="585"/>
      <c r="L112" s="585"/>
      <c r="M112" s="585"/>
      <c r="N112" s="585"/>
      <c r="O112" s="659"/>
      <c r="P112" s="1566"/>
    </row>
    <row r="113" spans="1:16" ht="15.75" customHeight="1">
      <c r="A113" s="584"/>
      <c r="B113" s="904" t="s">
        <v>880</v>
      </c>
      <c r="C113" s="585" t="s">
        <v>2255</v>
      </c>
      <c r="D113" s="585"/>
      <c r="E113" s="585"/>
      <c r="F113" s="585"/>
      <c r="G113" s="585"/>
      <c r="H113" s="585"/>
      <c r="I113" s="585"/>
      <c r="J113" s="585"/>
      <c r="K113" s="585"/>
      <c r="L113" s="585"/>
      <c r="M113" s="585"/>
      <c r="N113" s="585"/>
      <c r="O113" s="659"/>
      <c r="P113" s="1566"/>
    </row>
    <row r="114" spans="1:16" ht="15.75" customHeight="1">
      <c r="A114" s="584"/>
      <c r="B114" s="585"/>
      <c r="C114" s="585" t="s">
        <v>2256</v>
      </c>
      <c r="D114" s="585"/>
      <c r="E114" s="585"/>
      <c r="F114" s="585"/>
      <c r="G114" s="585"/>
      <c r="H114" s="585"/>
      <c r="I114" s="585"/>
      <c r="J114" s="585"/>
      <c r="K114" s="585"/>
      <c r="L114" s="585"/>
      <c r="M114" s="585"/>
      <c r="N114" s="585"/>
      <c r="O114" s="659"/>
      <c r="P114" s="1566"/>
    </row>
    <row r="115" spans="1:16" ht="15.75" customHeight="1">
      <c r="A115" s="584"/>
      <c r="B115" s="904" t="s">
        <v>880</v>
      </c>
      <c r="C115" s="602" t="s">
        <v>52</v>
      </c>
      <c r="D115" s="602"/>
      <c r="E115" s="602"/>
      <c r="F115" s="602"/>
      <c r="G115" s="602"/>
      <c r="H115" s="602"/>
      <c r="I115" s="602"/>
      <c r="J115" s="602"/>
      <c r="K115" s="602"/>
      <c r="L115" s="585" t="str">
        <f>yeartext&amp;", you and another"</f>
        <v>2009, you and another</v>
      </c>
      <c r="M115" s="585"/>
      <c r="N115" s="585"/>
      <c r="O115" s="659"/>
      <c r="P115" s="1566"/>
    </row>
    <row r="116" spans="1:16" ht="15.75" customHeight="1">
      <c r="A116" s="584"/>
      <c r="B116" s="585"/>
      <c r="C116" s="666" t="s">
        <v>2257</v>
      </c>
      <c r="D116" s="585"/>
      <c r="E116" s="585"/>
      <c r="F116" s="585"/>
      <c r="G116" s="585"/>
      <c r="H116" s="585"/>
      <c r="I116" s="585"/>
      <c r="J116" s="585"/>
      <c r="K116" s="585"/>
      <c r="L116" s="585"/>
      <c r="M116" s="585"/>
      <c r="N116" s="585"/>
      <c r="O116" s="659"/>
      <c r="P116" s="1566"/>
    </row>
    <row r="117" spans="1:16" ht="15.75" customHeight="1">
      <c r="A117" s="584"/>
      <c r="B117" s="585"/>
      <c r="C117" s="585" t="s">
        <v>2258</v>
      </c>
      <c r="D117" s="585"/>
      <c r="E117" s="585"/>
      <c r="F117" s="585"/>
      <c r="G117" s="585"/>
      <c r="H117" s="585"/>
      <c r="I117" s="585"/>
      <c r="J117" s="585"/>
      <c r="K117" s="585"/>
      <c r="L117" s="585"/>
      <c r="M117" s="585"/>
      <c r="N117" s="585"/>
      <c r="O117" s="659"/>
      <c r="P117" s="1566"/>
    </row>
    <row r="118" spans="1:16" ht="15.75" customHeight="1">
      <c r="A118" s="584"/>
      <c r="B118" s="846" t="s">
        <v>1704</v>
      </c>
      <c r="C118" s="585"/>
      <c r="D118" s="585"/>
      <c r="E118" s="585"/>
      <c r="F118" s="585"/>
      <c r="G118" s="585"/>
      <c r="H118" s="585"/>
      <c r="I118" s="585"/>
      <c r="J118" s="585"/>
      <c r="K118" s="585"/>
      <c r="L118" s="585"/>
      <c r="M118" s="585"/>
      <c r="N118" s="585"/>
      <c r="O118" s="659"/>
      <c r="P118" s="1566"/>
    </row>
    <row r="119" spans="1:16" ht="15.75" customHeight="1">
      <c r="A119" s="584"/>
      <c r="B119" s="586" t="s">
        <v>1511</v>
      </c>
      <c r="C119" s="586"/>
      <c r="D119" s="586"/>
      <c r="E119" s="586"/>
      <c r="F119" s="586"/>
      <c r="G119" s="1444"/>
      <c r="H119" s="586"/>
      <c r="I119" s="586"/>
      <c r="J119" s="585"/>
      <c r="K119" s="352">
        <f>N52</f>
        <v>0</v>
      </c>
      <c r="L119" s="671" t="s">
        <v>1003</v>
      </c>
      <c r="M119" s="585"/>
      <c r="N119" s="352">
        <f>K119*0.025</f>
        <v>0</v>
      </c>
      <c r="O119" s="672" t="s">
        <v>126</v>
      </c>
      <c r="P119" s="1566"/>
    </row>
    <row r="120" spans="1:16" ht="15.75" customHeight="1">
      <c r="A120" s="584"/>
      <c r="B120" s="585" t="s">
        <v>1331</v>
      </c>
      <c r="C120" s="585"/>
      <c r="D120" s="585"/>
      <c r="E120" s="585"/>
      <c r="F120" s="585"/>
      <c r="G120" s="585"/>
      <c r="H120" s="290"/>
      <c r="I120" s="585" t="str">
        <f>" in "&amp;yeartext&amp;" during which you were enrolled in a"</f>
        <v> in 2009 during which you were enrolled in a</v>
      </c>
      <c r="J120" s="585"/>
      <c r="K120" s="585"/>
      <c r="L120" s="585"/>
      <c r="M120" s="585"/>
      <c r="N120" s="585"/>
      <c r="O120" s="672"/>
      <c r="P120" s="1566"/>
    </row>
    <row r="121" spans="1:16" ht="15.75" customHeight="1">
      <c r="A121" s="584"/>
      <c r="B121" s="666" t="s">
        <v>2259</v>
      </c>
      <c r="C121" s="585"/>
      <c r="D121" s="585"/>
      <c r="E121" s="585"/>
      <c r="F121" s="585"/>
      <c r="G121" s="585"/>
      <c r="H121" s="585"/>
      <c r="I121" s="585"/>
      <c r="J121" s="585"/>
      <c r="K121" s="585"/>
      <c r="L121" s="585"/>
      <c r="M121" s="585"/>
      <c r="N121" s="585"/>
      <c r="O121" s="659"/>
      <c r="P121" s="1566"/>
    </row>
    <row r="122" spans="1:16" ht="15.75" customHeight="1">
      <c r="A122" s="584"/>
      <c r="B122" s="585" t="s">
        <v>2260</v>
      </c>
      <c r="C122" s="585"/>
      <c r="D122" s="585"/>
      <c r="E122" s="585"/>
      <c r="F122" s="585"/>
      <c r="G122" s="585"/>
      <c r="H122" s="585"/>
      <c r="I122" s="585"/>
      <c r="J122" s="585"/>
      <c r="K122" s="585"/>
      <c r="L122" s="585"/>
      <c r="M122" s="585"/>
      <c r="N122" s="585"/>
      <c r="O122" s="659"/>
      <c r="P122" s="1566"/>
    </row>
    <row r="123" spans="1:16" ht="15.75" customHeight="1">
      <c r="A123" s="584"/>
      <c r="B123" s="586" t="s">
        <v>2261</v>
      </c>
      <c r="C123" s="586"/>
      <c r="D123" s="586"/>
      <c r="E123" s="586"/>
      <c r="F123" s="586"/>
      <c r="G123" s="586"/>
      <c r="H123" s="586"/>
      <c r="I123" s="586"/>
      <c r="J123" s="586"/>
      <c r="K123" s="586"/>
      <c r="L123" s="586"/>
      <c r="M123" s="585"/>
      <c r="N123" s="352">
        <f>H120*N119</f>
        <v>0</v>
      </c>
      <c r="O123" s="672" t="s">
        <v>1222</v>
      </c>
      <c r="P123" s="1566"/>
    </row>
    <row r="124" spans="1:16" ht="15.75" customHeight="1">
      <c r="A124" s="584"/>
      <c r="B124" s="585" t="s">
        <v>1215</v>
      </c>
      <c r="C124" s="585"/>
      <c r="D124" s="585"/>
      <c r="E124" s="585"/>
      <c r="F124" s="585"/>
      <c r="G124" s="585"/>
      <c r="H124" s="290"/>
      <c r="I124" s="585" t="s">
        <v>879</v>
      </c>
      <c r="J124" s="585"/>
      <c r="K124" s="585"/>
      <c r="L124" s="585"/>
      <c r="M124" s="585"/>
      <c r="N124" s="585"/>
      <c r="O124" s="659"/>
      <c r="P124" s="1566"/>
    </row>
    <row r="125" spans="1:16" ht="15.75" customHeight="1">
      <c r="A125" s="584"/>
      <c r="B125" s="585" t="str">
        <f>"used to calculate the amount on line 16) in "&amp;yeartext&amp;" during which:"</f>
        <v>used to calculate the amount on line 16) in 2009 during which:</v>
      </c>
      <c r="C125" s="585"/>
      <c r="D125" s="585"/>
      <c r="E125" s="585"/>
      <c r="F125" s="585"/>
      <c r="G125" s="585"/>
      <c r="H125" s="585"/>
      <c r="I125" s="585"/>
      <c r="J125" s="585"/>
      <c r="K125" s="585"/>
      <c r="L125" s="585"/>
      <c r="M125" s="585"/>
      <c r="N125" s="585"/>
      <c r="O125" s="659"/>
      <c r="P125" s="1566"/>
    </row>
    <row r="126" spans="1:16" ht="15.75" customHeight="1">
      <c r="A126" s="584"/>
      <c r="B126" s="904" t="s">
        <v>880</v>
      </c>
      <c r="C126" s="585" t="s">
        <v>2262</v>
      </c>
      <c r="D126" s="585"/>
      <c r="E126" s="585"/>
      <c r="F126" s="585"/>
      <c r="G126" s="585"/>
      <c r="H126" s="585"/>
      <c r="I126" s="585"/>
      <c r="J126" s="585"/>
      <c r="K126" s="585"/>
      <c r="L126" s="585"/>
      <c r="M126" s="585"/>
      <c r="N126" s="585"/>
      <c r="O126" s="659"/>
      <c r="P126" s="1566"/>
    </row>
    <row r="127" spans="1:16" ht="15.75" customHeight="1">
      <c r="A127" s="584"/>
      <c r="B127" s="585"/>
      <c r="C127" s="585" t="s">
        <v>2263</v>
      </c>
      <c r="D127" s="585"/>
      <c r="E127" s="585"/>
      <c r="F127" s="585"/>
      <c r="G127" s="585"/>
      <c r="H127" s="585"/>
      <c r="I127" s="585"/>
      <c r="J127" s="585"/>
      <c r="K127" s="585"/>
      <c r="L127" s="585"/>
      <c r="M127" s="585"/>
      <c r="N127" s="585"/>
      <c r="O127" s="659"/>
      <c r="P127" s="1566"/>
    </row>
    <row r="128" spans="1:16" ht="15.75" customHeight="1">
      <c r="A128" s="584"/>
      <c r="B128" s="904" t="s">
        <v>880</v>
      </c>
      <c r="C128" s="585" t="s">
        <v>881</v>
      </c>
      <c r="D128" s="585"/>
      <c r="E128" s="585"/>
      <c r="F128" s="585"/>
      <c r="G128" s="585"/>
      <c r="H128" s="585"/>
      <c r="I128" s="585"/>
      <c r="J128" s="585"/>
      <c r="K128" s="585"/>
      <c r="L128" s="585"/>
      <c r="M128" s="585"/>
      <c r="N128" s="585"/>
      <c r="O128" s="659"/>
      <c r="P128" s="1566"/>
    </row>
    <row r="129" spans="1:16" ht="15.75" customHeight="1" thickBot="1">
      <c r="A129" s="584"/>
      <c r="B129" s="586"/>
      <c r="C129" s="586" t="s">
        <v>882</v>
      </c>
      <c r="D129" s="586"/>
      <c r="E129" s="586"/>
      <c r="F129" s="586"/>
      <c r="G129" s="586"/>
      <c r="H129" s="586"/>
      <c r="I129" s="586"/>
      <c r="J129" s="586"/>
      <c r="K129" s="586"/>
      <c r="L129" s="586"/>
      <c r="M129" s="585"/>
      <c r="N129" s="691">
        <f>H124*N119</f>
        <v>0</v>
      </c>
      <c r="O129" s="672" t="s">
        <v>1224</v>
      </c>
      <c r="P129" s="1566"/>
    </row>
    <row r="130" spans="1:16" ht="20.25" customHeight="1">
      <c r="A130" s="584"/>
      <c r="B130" s="589" t="s">
        <v>2615</v>
      </c>
      <c r="C130" s="589"/>
      <c r="D130" s="589"/>
      <c r="E130" s="589"/>
      <c r="F130" s="589"/>
      <c r="G130" s="589"/>
      <c r="H130" s="589"/>
      <c r="I130" s="589"/>
      <c r="J130" s="589"/>
      <c r="K130" s="589"/>
      <c r="L130" s="589"/>
      <c r="M130" s="288" t="s">
        <v>2423</v>
      </c>
      <c r="N130" s="352">
        <f>N123+N129</f>
        <v>0</v>
      </c>
      <c r="O130" s="672" t="s">
        <v>1225</v>
      </c>
      <c r="P130" s="1566"/>
    </row>
    <row r="131" spans="1:16" ht="15">
      <c r="A131" s="584"/>
      <c r="B131" s="585"/>
      <c r="C131" s="585"/>
      <c r="D131" s="585"/>
      <c r="E131" s="585"/>
      <c r="F131" s="585"/>
      <c r="G131" s="585"/>
      <c r="H131" s="585"/>
      <c r="I131" s="585"/>
      <c r="J131" s="585"/>
      <c r="K131" s="585"/>
      <c r="L131" s="585"/>
      <c r="M131" s="585"/>
      <c r="N131" s="585"/>
      <c r="O131" s="659"/>
      <c r="P131" s="1566"/>
    </row>
    <row r="132" spans="1:16" ht="15">
      <c r="A132" s="584"/>
      <c r="B132" s="586" t="s">
        <v>2078</v>
      </c>
      <c r="C132" s="586"/>
      <c r="D132" s="586"/>
      <c r="E132" s="586"/>
      <c r="F132" s="586"/>
      <c r="G132" s="586"/>
      <c r="H132" s="586"/>
      <c r="I132" s="586"/>
      <c r="J132" s="586"/>
      <c r="K132" s="586"/>
      <c r="L132" s="586"/>
      <c r="M132" s="585"/>
      <c r="N132" s="352">
        <f>IF(N108&gt;0,N108,(N52-N65))</f>
        <v>0</v>
      </c>
      <c r="O132" s="672" t="s">
        <v>122</v>
      </c>
      <c r="P132" s="1566"/>
    </row>
    <row r="133" spans="1:16" ht="15">
      <c r="A133" s="584"/>
      <c r="B133" s="589" t="s">
        <v>2077</v>
      </c>
      <c r="C133" s="589"/>
      <c r="D133" s="589"/>
      <c r="E133" s="589"/>
      <c r="F133" s="589"/>
      <c r="G133" s="589"/>
      <c r="H133" s="589"/>
      <c r="I133" s="589"/>
      <c r="J133" s="589"/>
      <c r="K133" s="589"/>
      <c r="L133" s="589"/>
      <c r="M133" s="585"/>
      <c r="N133" s="427">
        <f>IF(N108&gt;0,N108,(N54-N65))</f>
        <v>0</v>
      </c>
      <c r="O133" s="672" t="s">
        <v>1227</v>
      </c>
      <c r="P133" s="1566"/>
    </row>
    <row r="134" spans="1:16" ht="15.75">
      <c r="A134" s="584"/>
      <c r="B134" s="589" t="s">
        <v>2616</v>
      </c>
      <c r="C134" s="589"/>
      <c r="D134" s="589"/>
      <c r="E134" s="589"/>
      <c r="F134" s="589"/>
      <c r="G134" s="589"/>
      <c r="H134" s="589"/>
      <c r="I134" s="589"/>
      <c r="J134" s="589"/>
      <c r="K134" s="352">
        <f>MAX(0,'T1 GEN-2-3-4'!K60-('T1 GEN-2-3-4'!I65+'T1 GEN-2-3-4'!I66+'T1 GEN-2-3-4'!I67+'T1 GEN-2-3-4'!I69+'T1 GEN-2-3-4'!I72+'T1 GEN-2-3-4'!I74+'T1 GEN-2-3-4'!I75+'T1 GEN-2-3-4'!I77+'T1 GEN-2-3-4'!I78+'T1 GEN-2-3-4'!I80+'T1 GEN-2-3-4'!I81+'T1 GEN-2-3-4'!I82+'T1 GEN-2-3-4'!I83+'T1 GEN-2-3-4'!I84))</f>
        <v>0</v>
      </c>
      <c r="L134" s="671" t="s">
        <v>2419</v>
      </c>
      <c r="M134" s="585"/>
      <c r="N134" s="352">
        <f>ROUND(K134*(2/3),2)</f>
        <v>0</v>
      </c>
      <c r="O134" s="672" t="s">
        <v>127</v>
      </c>
      <c r="P134" s="1566"/>
    </row>
    <row r="135" spans="1:16" ht="15">
      <c r="A135" s="584"/>
      <c r="B135" s="586" t="s">
        <v>1101</v>
      </c>
      <c r="C135" s="586"/>
      <c r="D135" s="586"/>
      <c r="E135" s="586"/>
      <c r="F135" s="586"/>
      <c r="G135" s="586"/>
      <c r="H135" s="586"/>
      <c r="I135" s="586"/>
      <c r="J135" s="586"/>
      <c r="K135" s="586"/>
      <c r="L135" s="586"/>
      <c r="M135" s="585"/>
      <c r="N135" s="352">
        <f>IF(B79="",0,MAX(N104-N56,0))</f>
        <v>0</v>
      </c>
      <c r="O135" s="672" t="s">
        <v>1229</v>
      </c>
      <c r="P135" s="1566"/>
    </row>
    <row r="136" spans="1:16" ht="15">
      <c r="A136" s="584"/>
      <c r="B136" s="585"/>
      <c r="C136" s="585"/>
      <c r="D136" s="585"/>
      <c r="E136" s="585"/>
      <c r="F136" s="585"/>
      <c r="G136" s="585"/>
      <c r="H136" s="585"/>
      <c r="I136" s="585"/>
      <c r="J136" s="585"/>
      <c r="K136" s="585"/>
      <c r="L136" s="585"/>
      <c r="M136" s="585"/>
      <c r="N136" s="585"/>
      <c r="O136" s="659"/>
      <c r="P136" s="1566"/>
    </row>
    <row r="137" spans="1:16" ht="15.75">
      <c r="A137" s="584"/>
      <c r="B137" s="586" t="s">
        <v>2264</v>
      </c>
      <c r="C137" s="586"/>
      <c r="D137" s="586"/>
      <c r="E137" s="586"/>
      <c r="F137" s="586"/>
      <c r="G137" s="586"/>
      <c r="H137" s="586"/>
      <c r="I137" s="586"/>
      <c r="J137" s="586"/>
      <c r="K137" s="586"/>
      <c r="L137" s="586"/>
      <c r="M137" s="585"/>
      <c r="N137" s="352">
        <f>IF(B79="",MINA(N130,N132,N133,N134),MINA(N130,N132,N133,N134,N135))</f>
        <v>0</v>
      </c>
      <c r="O137" s="672" t="s">
        <v>128</v>
      </c>
      <c r="P137" s="1566"/>
    </row>
    <row r="138" spans="1:16" ht="15">
      <c r="A138" s="584"/>
      <c r="B138" s="589" t="s">
        <v>2265</v>
      </c>
      <c r="C138" s="589"/>
      <c r="D138" s="589"/>
      <c r="E138" s="589"/>
      <c r="F138" s="589"/>
      <c r="G138" s="589"/>
      <c r="H138" s="589"/>
      <c r="I138" s="589"/>
      <c r="J138" s="589"/>
      <c r="K138" s="589"/>
      <c r="L138" s="589"/>
      <c r="M138" s="585"/>
      <c r="N138" s="352">
        <f>IF(B79="",N65,N108)</f>
        <v>0</v>
      </c>
      <c r="O138" s="672" t="s">
        <v>956</v>
      </c>
      <c r="P138" s="1566"/>
    </row>
    <row r="139" spans="1:16" ht="15.75">
      <c r="A139" s="584"/>
      <c r="B139" s="589" t="s">
        <v>2617</v>
      </c>
      <c r="C139" s="589"/>
      <c r="D139" s="589"/>
      <c r="E139" s="589"/>
      <c r="F139" s="589"/>
      <c r="G139" s="589"/>
      <c r="H139" s="589"/>
      <c r="I139" s="589"/>
      <c r="J139" s="589"/>
      <c r="K139" s="589"/>
      <c r="L139" s="1443" t="s">
        <v>1889</v>
      </c>
      <c r="M139" s="585"/>
      <c r="N139" s="619">
        <f>IF(N56=N58,IF(N63&gt;0,0,N137+N138),0)</f>
        <v>0</v>
      </c>
      <c r="O139" s="672" t="s">
        <v>1712</v>
      </c>
      <c r="P139" s="1566"/>
    </row>
    <row r="140" spans="1:16" ht="15">
      <c r="A140" s="588"/>
      <c r="B140" s="586"/>
      <c r="C140" s="586"/>
      <c r="D140" s="586"/>
      <c r="E140" s="586"/>
      <c r="F140" s="586"/>
      <c r="G140" s="586"/>
      <c r="H140" s="586"/>
      <c r="I140" s="586"/>
      <c r="J140" s="586"/>
      <c r="K140" s="586"/>
      <c r="L140" s="586"/>
      <c r="M140" s="586"/>
      <c r="N140" s="586"/>
      <c r="O140" s="669"/>
      <c r="P140" s="1566"/>
    </row>
    <row r="141" spans="1:16" ht="7.5" customHeight="1">
      <c r="A141" s="578"/>
      <c r="B141" s="578"/>
      <c r="C141" s="578"/>
      <c r="D141" s="578"/>
      <c r="E141" s="578"/>
      <c r="F141" s="578"/>
      <c r="G141" s="578"/>
      <c r="H141" s="578"/>
      <c r="I141" s="578"/>
      <c r="J141" s="578"/>
      <c r="K141" s="578"/>
      <c r="L141" s="578"/>
      <c r="M141" s="585"/>
      <c r="N141" s="578"/>
      <c r="O141" s="578"/>
      <c r="P141" s="1566"/>
    </row>
  </sheetData>
  <sheetProtection password="EC35" sheet="1" objects="1" scenarios="1"/>
  <mergeCells count="20">
    <mergeCell ref="P1:P141"/>
    <mergeCell ref="B79:G79"/>
    <mergeCell ref="B24:G24"/>
    <mergeCell ref="B30:C30"/>
    <mergeCell ref="B31:C31"/>
    <mergeCell ref="B32:C32"/>
    <mergeCell ref="G34:L34"/>
    <mergeCell ref="G30:L30"/>
    <mergeCell ref="B22:G22"/>
    <mergeCell ref="B23:G23"/>
    <mergeCell ref="B34:C34"/>
    <mergeCell ref="I101:J101"/>
    <mergeCell ref="B18:G18"/>
    <mergeCell ref="B19:G19"/>
    <mergeCell ref="B21:G21"/>
    <mergeCell ref="B20:G20"/>
    <mergeCell ref="G32:L32"/>
    <mergeCell ref="G33:L33"/>
    <mergeCell ref="B33:C33"/>
    <mergeCell ref="G31:L31"/>
  </mergeCells>
  <printOptions horizontalCentered="1"/>
  <pageMargins left="0" right="0" top="0" bottom="0" header="0.5" footer="0.3"/>
  <pageSetup fitToHeight="0" fitToWidth="1" horizontalDpi="600" verticalDpi="600" orientation="portrait" scale="70" r:id="rId4"/>
  <headerFooter alignWithMargins="0">
    <oddFooter>&amp;LT778 E (09)
&amp;C(Vous pouvez obtenir ce formulaire en francais a www.arc.gc.ca ou au 1 800 959-3376. )
</oddFooter>
  </headerFooter>
  <rowBreaks count="1" manualBreakCount="1">
    <brk id="71" max="255" man="1"/>
  </rowBreaks>
  <drawing r:id="rId3"/>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R144"/>
  <sheetViews>
    <sheetView zoomScalePageLayoutView="0" workbookViewId="0" topLeftCell="A1">
      <selection activeCell="A1" sqref="A1"/>
    </sheetView>
  </sheetViews>
  <sheetFormatPr defaultColWidth="8.88671875" defaultRowHeight="15"/>
  <cols>
    <col min="1" max="2" width="1.77734375" style="0" customWidth="1"/>
    <col min="3" max="3" width="10.10546875" style="0" customWidth="1"/>
    <col min="4" max="4" width="14.21484375" style="0" customWidth="1"/>
    <col min="5" max="5" width="3.99609375" style="0" customWidth="1"/>
    <col min="6" max="6" width="5.3359375" style="0" customWidth="1"/>
    <col min="7" max="7" width="2.10546875" style="0" customWidth="1"/>
    <col min="8" max="8" width="11.77734375" style="0" customWidth="1"/>
    <col min="9" max="9" width="4.5546875" style="0" customWidth="1"/>
    <col min="10" max="10" width="12.77734375" style="0" customWidth="1"/>
    <col min="11" max="11" width="3.6640625" style="0" customWidth="1"/>
    <col min="12" max="12" width="12.77734375" style="0" customWidth="1"/>
    <col min="13" max="13" width="5.3359375" style="0" customWidth="1"/>
    <col min="14" max="14" width="16.4453125" style="0" customWidth="1"/>
    <col min="15" max="15" width="4.10546875" style="0" customWidth="1"/>
    <col min="16" max="17" width="2.77734375" style="0" customWidth="1"/>
    <col min="18" max="18" width="6.77734375" style="0" customWidth="1"/>
  </cols>
  <sheetData>
    <row r="1" spans="1:18" ht="15">
      <c r="A1" s="1561"/>
      <c r="B1" s="112"/>
      <c r="C1" s="112"/>
      <c r="D1" s="755" t="s">
        <v>2397</v>
      </c>
      <c r="E1" s="755" t="s">
        <v>2399</v>
      </c>
      <c r="F1" s="112"/>
      <c r="G1" s="112"/>
      <c r="H1" s="112"/>
      <c r="I1" s="112"/>
      <c r="J1" s="112"/>
      <c r="K1" s="112"/>
      <c r="L1" s="112"/>
      <c r="M1" s="112"/>
      <c r="N1" s="112"/>
      <c r="O1" s="112"/>
      <c r="P1" s="112"/>
      <c r="Q1" s="112"/>
      <c r="R1" s="1566" t="s">
        <v>35</v>
      </c>
    </row>
    <row r="2" spans="1:18" ht="15">
      <c r="A2" s="112"/>
      <c r="B2" s="112"/>
      <c r="C2" s="112"/>
      <c r="D2" s="995" t="s">
        <v>2398</v>
      </c>
      <c r="E2" s="995" t="s">
        <v>2400</v>
      </c>
      <c r="F2" s="112"/>
      <c r="G2" s="112"/>
      <c r="H2" s="112"/>
      <c r="I2" s="112"/>
      <c r="J2" s="112"/>
      <c r="K2" s="112"/>
      <c r="L2" s="112"/>
      <c r="M2" s="112"/>
      <c r="N2" s="112"/>
      <c r="O2" s="112"/>
      <c r="P2" s="112"/>
      <c r="Q2" s="112"/>
      <c r="R2" s="1566"/>
    </row>
    <row r="3" spans="1:18" ht="29.25" customHeight="1">
      <c r="A3" s="112"/>
      <c r="B3" s="112"/>
      <c r="C3" s="112"/>
      <c r="D3" s="995"/>
      <c r="E3" s="1193" t="s">
        <v>2266</v>
      </c>
      <c r="F3" s="112"/>
      <c r="G3" s="112"/>
      <c r="H3" s="112"/>
      <c r="I3" s="112"/>
      <c r="J3" s="112"/>
      <c r="K3" s="112"/>
      <c r="L3" s="112"/>
      <c r="M3" s="112"/>
      <c r="N3" s="112"/>
      <c r="O3" s="112"/>
      <c r="P3" s="112"/>
      <c r="Q3" s="112"/>
      <c r="R3" s="1566"/>
    </row>
    <row r="4" spans="1:18" ht="6" customHeight="1">
      <c r="A4" s="112"/>
      <c r="B4" s="112"/>
      <c r="C4" s="112"/>
      <c r="D4" s="112"/>
      <c r="E4" s="112"/>
      <c r="F4" s="112"/>
      <c r="G4" s="112"/>
      <c r="H4" s="112"/>
      <c r="I4" s="112"/>
      <c r="J4" s="112"/>
      <c r="K4" s="112"/>
      <c r="L4" s="112"/>
      <c r="M4" s="112"/>
      <c r="N4" s="112"/>
      <c r="O4" s="112"/>
      <c r="P4" s="112"/>
      <c r="Q4" s="112"/>
      <c r="R4" s="1566"/>
    </row>
    <row r="5" spans="1:18" ht="15">
      <c r="A5" s="112"/>
      <c r="B5" s="112" t="s">
        <v>2267</v>
      </c>
      <c r="C5" s="112"/>
      <c r="D5" s="112"/>
      <c r="E5" s="112"/>
      <c r="F5" s="112"/>
      <c r="G5" s="112"/>
      <c r="H5" s="112"/>
      <c r="I5" s="112"/>
      <c r="J5" s="112"/>
      <c r="K5" s="112"/>
      <c r="L5" s="112"/>
      <c r="M5" s="112"/>
      <c r="N5" s="112"/>
      <c r="O5" s="112"/>
      <c r="P5" s="112"/>
      <c r="Q5" s="112"/>
      <c r="R5" s="1566"/>
    </row>
    <row r="6" spans="1:18" ht="15.75">
      <c r="A6" s="112"/>
      <c r="B6" s="112" t="s">
        <v>2586</v>
      </c>
      <c r="C6" s="112"/>
      <c r="D6" s="112"/>
      <c r="E6" s="112"/>
      <c r="F6" s="112"/>
      <c r="G6" s="112"/>
      <c r="H6" s="112"/>
      <c r="I6" s="112"/>
      <c r="J6" s="112"/>
      <c r="K6" s="112"/>
      <c r="L6" s="112"/>
      <c r="M6" s="112"/>
      <c r="N6" s="112"/>
      <c r="O6" s="112"/>
      <c r="P6" s="112"/>
      <c r="Q6" s="112"/>
      <c r="R6" s="1566"/>
    </row>
    <row r="7" spans="1:18" ht="15">
      <c r="A7" s="112"/>
      <c r="B7" s="112"/>
      <c r="C7" s="112"/>
      <c r="D7" s="112"/>
      <c r="E7" s="112"/>
      <c r="F7" s="112"/>
      <c r="G7" s="112"/>
      <c r="H7" s="112"/>
      <c r="I7" s="112"/>
      <c r="J7" s="112"/>
      <c r="K7" s="112"/>
      <c r="L7" s="112"/>
      <c r="M7" s="112"/>
      <c r="N7" s="112"/>
      <c r="O7" s="112"/>
      <c r="P7" s="112"/>
      <c r="Q7" s="112"/>
      <c r="R7" s="1566"/>
    </row>
    <row r="8" spans="1:18" ht="15">
      <c r="A8" s="112"/>
      <c r="B8" s="1323" t="s">
        <v>880</v>
      </c>
      <c r="C8" s="112" t="s">
        <v>1861</v>
      </c>
      <c r="D8" s="112"/>
      <c r="E8" s="112"/>
      <c r="F8" s="112"/>
      <c r="G8" s="112"/>
      <c r="H8" s="112"/>
      <c r="I8" s="112"/>
      <c r="J8" s="112"/>
      <c r="K8" s="112"/>
      <c r="L8" s="112"/>
      <c r="M8" s="112"/>
      <c r="N8" s="112"/>
      <c r="O8" s="112"/>
      <c r="P8" s="112"/>
      <c r="Q8" s="112"/>
      <c r="R8" s="1566"/>
    </row>
    <row r="9" spans="1:18" ht="15">
      <c r="A9" s="112"/>
      <c r="B9" s="112"/>
      <c r="C9" s="112" t="s">
        <v>1601</v>
      </c>
      <c r="D9" s="112"/>
      <c r="E9" s="112"/>
      <c r="F9" s="112"/>
      <c r="G9" s="112"/>
      <c r="H9" s="112"/>
      <c r="I9" s="112"/>
      <c r="J9" s="112"/>
      <c r="K9" s="112"/>
      <c r="L9" s="112"/>
      <c r="M9" s="112"/>
      <c r="N9" s="112"/>
      <c r="O9" s="112"/>
      <c r="P9" s="112"/>
      <c r="Q9" s="112"/>
      <c r="R9" s="1566"/>
    </row>
    <row r="10" spans="1:18" ht="26.25" customHeight="1">
      <c r="A10" s="112"/>
      <c r="B10" s="1323" t="s">
        <v>880</v>
      </c>
      <c r="C10" s="112" t="s">
        <v>1602</v>
      </c>
      <c r="D10" s="112"/>
      <c r="E10" s="112"/>
      <c r="F10" s="112"/>
      <c r="G10" s="112"/>
      <c r="H10" s="112"/>
      <c r="I10" s="112"/>
      <c r="J10" s="112"/>
      <c r="K10" s="112"/>
      <c r="L10" s="112"/>
      <c r="M10" s="112"/>
      <c r="N10" s="112"/>
      <c r="O10" s="112"/>
      <c r="P10" s="112"/>
      <c r="Q10" s="112"/>
      <c r="R10" s="1566"/>
    </row>
    <row r="11" spans="1:18" ht="24" customHeight="1">
      <c r="A11" s="112"/>
      <c r="B11" s="1323" t="s">
        <v>880</v>
      </c>
      <c r="C11" s="112" t="s">
        <v>1603</v>
      </c>
      <c r="D11" s="112"/>
      <c r="E11" s="112"/>
      <c r="F11" s="112"/>
      <c r="G11" s="112"/>
      <c r="H11" s="112"/>
      <c r="I11" s="112"/>
      <c r="J11" s="112"/>
      <c r="K11" s="112"/>
      <c r="L11" s="112"/>
      <c r="M11" s="112"/>
      <c r="N11" s="112"/>
      <c r="O11" s="112"/>
      <c r="P11" s="112"/>
      <c r="Q11" s="112"/>
      <c r="R11" s="1566"/>
    </row>
    <row r="12" spans="1:18" ht="15">
      <c r="A12" s="112"/>
      <c r="B12" s="112"/>
      <c r="C12" s="112"/>
      <c r="D12" s="112"/>
      <c r="E12" s="112"/>
      <c r="F12" s="112"/>
      <c r="G12" s="112"/>
      <c r="H12" s="112"/>
      <c r="I12" s="112"/>
      <c r="J12" s="112"/>
      <c r="K12" s="112"/>
      <c r="L12" s="112"/>
      <c r="M12" s="112"/>
      <c r="N12" s="112"/>
      <c r="O12" s="112"/>
      <c r="P12" s="112"/>
      <c r="Q12" s="112"/>
      <c r="R12" s="1566"/>
    </row>
    <row r="13" spans="1:18" ht="15.75">
      <c r="A13" s="112"/>
      <c r="B13" s="112" t="s">
        <v>2270</v>
      </c>
      <c r="C13" s="112"/>
      <c r="D13" s="112"/>
      <c r="E13" s="112"/>
      <c r="F13" s="112"/>
      <c r="G13" s="112"/>
      <c r="H13" s="112"/>
      <c r="I13" s="112"/>
      <c r="J13" s="112"/>
      <c r="K13" s="112"/>
      <c r="L13" s="112"/>
      <c r="M13" s="112"/>
      <c r="N13" s="112"/>
      <c r="O13" s="112"/>
      <c r="P13" s="112"/>
      <c r="Q13" s="112"/>
      <c r="R13" s="1566"/>
    </row>
    <row r="14" spans="1:18" ht="15.75">
      <c r="A14" s="112"/>
      <c r="B14" s="112" t="s">
        <v>2271</v>
      </c>
      <c r="C14" s="112"/>
      <c r="D14" s="112"/>
      <c r="E14" s="112"/>
      <c r="F14" s="112"/>
      <c r="G14" s="112"/>
      <c r="H14" s="112"/>
      <c r="I14" s="112"/>
      <c r="J14" s="112"/>
      <c r="K14" s="112"/>
      <c r="L14" s="112"/>
      <c r="M14" s="112"/>
      <c r="N14" s="112"/>
      <c r="O14" s="112"/>
      <c r="P14" s="112"/>
      <c r="Q14" s="112"/>
      <c r="R14" s="1566"/>
    </row>
    <row r="15" spans="1:18" ht="15">
      <c r="A15" s="112"/>
      <c r="B15" s="112" t="s">
        <v>2269</v>
      </c>
      <c r="C15" s="112"/>
      <c r="D15" s="112"/>
      <c r="E15" s="112"/>
      <c r="F15" s="112"/>
      <c r="G15" s="112"/>
      <c r="H15" s="112"/>
      <c r="I15" s="112"/>
      <c r="J15" s="112"/>
      <c r="K15" s="112"/>
      <c r="L15" s="112"/>
      <c r="M15" s="112"/>
      <c r="N15" s="112"/>
      <c r="O15" s="112"/>
      <c r="P15" s="112"/>
      <c r="Q15" s="112"/>
      <c r="R15" s="1566"/>
    </row>
    <row r="16" spans="1:18" ht="27.75" customHeight="1">
      <c r="A16" s="112"/>
      <c r="B16" s="112" t="s">
        <v>2272</v>
      </c>
      <c r="C16" s="112"/>
      <c r="D16" s="112"/>
      <c r="E16" s="112"/>
      <c r="F16" s="112"/>
      <c r="G16" s="112"/>
      <c r="H16" s="112"/>
      <c r="I16" s="112"/>
      <c r="J16" s="112"/>
      <c r="K16" s="112"/>
      <c r="L16" s="112"/>
      <c r="M16" s="112"/>
      <c r="N16" s="112"/>
      <c r="O16" s="112"/>
      <c r="P16" s="112"/>
      <c r="Q16" s="112"/>
      <c r="R16" s="1566"/>
    </row>
    <row r="17" spans="1:18" ht="21" customHeight="1">
      <c r="A17" s="112"/>
      <c r="B17" s="1445" t="s">
        <v>2268</v>
      </c>
      <c r="C17" s="112"/>
      <c r="D17" s="112"/>
      <c r="E17" s="112"/>
      <c r="F17" s="112"/>
      <c r="G17" s="112"/>
      <c r="H17" s="112"/>
      <c r="I17" s="112"/>
      <c r="J17" s="112"/>
      <c r="K17" s="112"/>
      <c r="L17" s="112"/>
      <c r="M17" s="112"/>
      <c r="N17" s="112"/>
      <c r="O17" s="112"/>
      <c r="P17" s="112"/>
      <c r="Q17" s="112"/>
      <c r="R17" s="1566"/>
    </row>
    <row r="18" spans="1:18" ht="20.25">
      <c r="A18" s="112"/>
      <c r="B18" s="1189"/>
      <c r="C18" s="1196" t="s">
        <v>1860</v>
      </c>
      <c r="D18" s="1075"/>
      <c r="E18" s="1075"/>
      <c r="F18" s="1075"/>
      <c r="G18" s="1075"/>
      <c r="H18" s="1075"/>
      <c r="I18" s="1075"/>
      <c r="J18" s="1075"/>
      <c r="K18" s="1075"/>
      <c r="L18" s="1075"/>
      <c r="M18" s="1075"/>
      <c r="N18" s="1075" t="s">
        <v>2274</v>
      </c>
      <c r="O18" s="1446" t="str">
        <f>yeartext</f>
        <v>2009</v>
      </c>
      <c r="P18" s="1197"/>
      <c r="Q18" s="112"/>
      <c r="R18" s="1566"/>
    </row>
    <row r="19" spans="1:18" ht="18">
      <c r="A19" s="112"/>
      <c r="B19" s="1190"/>
      <c r="C19" s="112"/>
      <c r="D19" s="112"/>
      <c r="E19" s="112"/>
      <c r="F19" s="112"/>
      <c r="G19" s="112"/>
      <c r="H19" s="112"/>
      <c r="I19" s="112"/>
      <c r="J19" s="112"/>
      <c r="K19" s="112"/>
      <c r="L19" s="112"/>
      <c r="M19" s="112"/>
      <c r="N19" s="112"/>
      <c r="O19" s="1198"/>
      <c r="P19" s="128"/>
      <c r="Q19" s="112"/>
      <c r="R19" s="1566"/>
    </row>
    <row r="20" spans="1:18" ht="18">
      <c r="A20" s="112"/>
      <c r="B20" s="1190"/>
      <c r="C20" s="1192" t="s">
        <v>2273</v>
      </c>
      <c r="D20" s="112"/>
      <c r="E20" s="112"/>
      <c r="F20" s="112"/>
      <c r="G20" s="112"/>
      <c r="H20" s="112"/>
      <c r="I20" s="112"/>
      <c r="J20" s="112"/>
      <c r="K20" s="112"/>
      <c r="L20" s="112"/>
      <c r="M20" s="112"/>
      <c r="N20" s="112"/>
      <c r="O20" s="112"/>
      <c r="P20" s="128"/>
      <c r="Q20" s="112"/>
      <c r="R20" s="1566"/>
    </row>
    <row r="21" spans="1:18" ht="6" customHeight="1">
      <c r="A21" s="112"/>
      <c r="B21" s="1190"/>
      <c r="C21" s="112"/>
      <c r="D21" s="112"/>
      <c r="E21" s="112"/>
      <c r="F21" s="112"/>
      <c r="G21" s="112"/>
      <c r="H21" s="112"/>
      <c r="I21" s="112"/>
      <c r="J21" s="112"/>
      <c r="K21" s="112"/>
      <c r="L21" s="112"/>
      <c r="M21" s="112"/>
      <c r="N21" s="112"/>
      <c r="O21" s="112"/>
      <c r="P21" s="128"/>
      <c r="Q21" s="112"/>
      <c r="R21" s="1566"/>
    </row>
    <row r="22" spans="1:18" ht="15">
      <c r="A22" s="112"/>
      <c r="B22" s="1189" t="s">
        <v>1607</v>
      </c>
      <c r="C22" s="1075"/>
      <c r="D22" s="1075"/>
      <c r="E22" s="1075"/>
      <c r="F22" s="1075"/>
      <c r="G22" s="1075"/>
      <c r="H22" s="1075"/>
      <c r="I22" s="1075"/>
      <c r="J22" s="1075" t="s">
        <v>639</v>
      </c>
      <c r="K22" s="1075"/>
      <c r="L22" s="1075"/>
      <c r="M22" s="1075"/>
      <c r="N22" s="1075" t="s">
        <v>1484</v>
      </c>
      <c r="O22" s="1075"/>
      <c r="P22" s="1197"/>
      <c r="Q22" s="112"/>
      <c r="R22" s="1566"/>
    </row>
    <row r="23" spans="1:18" ht="15" customHeight="1">
      <c r="A23" s="112"/>
      <c r="B23" s="1190"/>
      <c r="C23" s="112"/>
      <c r="D23" s="1817">
        <f>surname</f>
        <v>0</v>
      </c>
      <c r="E23" s="1817"/>
      <c r="F23" s="1817"/>
      <c r="G23" s="1817"/>
      <c r="H23" s="1818"/>
      <c r="I23" s="112"/>
      <c r="J23" s="1817">
        <f>givenname1</f>
        <v>0</v>
      </c>
      <c r="K23" s="1817"/>
      <c r="L23" s="1817"/>
      <c r="M23" s="112"/>
      <c r="N23" s="1819"/>
      <c r="O23" s="1820"/>
      <c r="P23" s="128"/>
      <c r="Q23" s="112"/>
      <c r="R23" s="1566"/>
    </row>
    <row r="24" spans="1:18" ht="15">
      <c r="A24" s="112"/>
      <c r="B24" s="1189" t="s">
        <v>1608</v>
      </c>
      <c r="C24" s="1075"/>
      <c r="D24" s="1075"/>
      <c r="E24" s="1075"/>
      <c r="F24" s="1075"/>
      <c r="G24" s="1075"/>
      <c r="H24" s="1075"/>
      <c r="I24" s="1075"/>
      <c r="J24" s="1075"/>
      <c r="K24" s="1075"/>
      <c r="L24" s="1075"/>
      <c r="M24" s="1075"/>
      <c r="N24" s="1075"/>
      <c r="O24" s="1075"/>
      <c r="P24" s="1197"/>
      <c r="Q24" s="112"/>
      <c r="R24" s="1566"/>
    </row>
    <row r="25" spans="1:18" ht="15">
      <c r="A25" s="112"/>
      <c r="B25" s="1199"/>
      <c r="C25" s="125"/>
      <c r="D25" s="1821"/>
      <c r="E25" s="1821"/>
      <c r="F25" s="1821"/>
      <c r="G25" s="1821"/>
      <c r="H25" s="1821"/>
      <c r="I25" s="1821"/>
      <c r="J25" s="1821"/>
      <c r="K25" s="1821"/>
      <c r="L25" s="1821"/>
      <c r="M25" s="1821"/>
      <c r="N25" s="1821"/>
      <c r="O25" s="1821"/>
      <c r="P25" s="129"/>
      <c r="Q25" s="112"/>
      <c r="R25" s="1566"/>
    </row>
    <row r="26" spans="1:18" ht="15">
      <c r="A26" s="112"/>
      <c r="B26" s="1190"/>
      <c r="C26" s="112"/>
      <c r="D26" s="112"/>
      <c r="E26" s="112"/>
      <c r="F26" s="112"/>
      <c r="G26" s="112"/>
      <c r="H26" s="112"/>
      <c r="I26" s="112"/>
      <c r="J26" s="112"/>
      <c r="K26" s="112"/>
      <c r="L26" s="112"/>
      <c r="M26" s="112"/>
      <c r="N26" s="112"/>
      <c r="O26" s="112"/>
      <c r="P26" s="1197"/>
      <c r="Q26" s="112"/>
      <c r="R26" s="1566"/>
    </row>
    <row r="27" spans="1:18" ht="18">
      <c r="A27" s="112"/>
      <c r="B27" s="1190"/>
      <c r="C27" s="1192" t="s">
        <v>2275</v>
      </c>
      <c r="D27" s="112"/>
      <c r="E27" s="112"/>
      <c r="F27" s="112"/>
      <c r="G27" s="112"/>
      <c r="H27" s="112"/>
      <c r="I27" s="112"/>
      <c r="J27" s="112"/>
      <c r="K27" s="112"/>
      <c r="L27" s="112"/>
      <c r="M27" s="112"/>
      <c r="N27" s="112"/>
      <c r="O27" s="112"/>
      <c r="P27" s="128"/>
      <c r="Q27" s="112"/>
      <c r="R27" s="1566"/>
    </row>
    <row r="28" spans="1:18" ht="6" customHeight="1">
      <c r="A28" s="112"/>
      <c r="B28" s="1190"/>
      <c r="C28" s="112"/>
      <c r="D28" s="112"/>
      <c r="E28" s="112"/>
      <c r="F28" s="112"/>
      <c r="G28" s="112"/>
      <c r="H28" s="112"/>
      <c r="I28" s="112"/>
      <c r="J28" s="112"/>
      <c r="K28" s="112"/>
      <c r="L28" s="112"/>
      <c r="M28" s="112"/>
      <c r="N28" s="112"/>
      <c r="O28" s="112"/>
      <c r="P28" s="129"/>
      <c r="Q28" s="112"/>
      <c r="R28" s="1566"/>
    </row>
    <row r="29" spans="1:18" ht="15">
      <c r="A29" s="112"/>
      <c r="B29" s="1189" t="s">
        <v>1607</v>
      </c>
      <c r="C29" s="1075"/>
      <c r="D29" s="1075"/>
      <c r="E29" s="1075"/>
      <c r="F29" s="1075"/>
      <c r="G29" s="1075"/>
      <c r="H29" s="1075"/>
      <c r="I29" s="1075"/>
      <c r="J29" s="1075" t="s">
        <v>639</v>
      </c>
      <c r="K29" s="1075"/>
      <c r="L29" s="1075"/>
      <c r="M29" s="1075"/>
      <c r="N29" s="1075" t="s">
        <v>1484</v>
      </c>
      <c r="O29" s="1075"/>
      <c r="P29" s="1197"/>
      <c r="Q29" s="112"/>
      <c r="R29" s="1566"/>
    </row>
    <row r="30" spans="1:18" ht="18">
      <c r="A30" s="112"/>
      <c r="B30" s="1190"/>
      <c r="C30" s="112"/>
      <c r="D30" s="1816"/>
      <c r="E30" s="1816"/>
      <c r="F30" s="1816"/>
      <c r="G30" s="1816"/>
      <c r="H30" s="1825"/>
      <c r="I30" s="112"/>
      <c r="J30" s="1817">
        <f>givenname2</f>
        <v>0</v>
      </c>
      <c r="K30" s="1817"/>
      <c r="L30" s="1817"/>
      <c r="M30" s="112"/>
      <c r="N30" s="1819">
        <f>sinn2</f>
        <v>0</v>
      </c>
      <c r="O30" s="1820"/>
      <c r="P30" s="128"/>
      <c r="Q30" s="112"/>
      <c r="R30" s="1566"/>
    </row>
    <row r="31" spans="1:18" ht="15">
      <c r="A31" s="112"/>
      <c r="B31" s="1189" t="s">
        <v>2276</v>
      </c>
      <c r="C31" s="1075"/>
      <c r="D31" s="1075"/>
      <c r="E31" s="1075"/>
      <c r="F31" s="1075"/>
      <c r="G31" s="1075"/>
      <c r="H31" s="1075"/>
      <c r="I31" s="1075"/>
      <c r="J31" s="1075"/>
      <c r="K31" s="1075"/>
      <c r="L31" s="1075"/>
      <c r="M31" s="1075"/>
      <c r="N31" s="1075"/>
      <c r="O31" s="1075"/>
      <c r="P31" s="1197"/>
      <c r="Q31" s="112"/>
      <c r="R31" s="1566"/>
    </row>
    <row r="32" spans="1:18" ht="15">
      <c r="A32" s="112"/>
      <c r="B32" s="1199"/>
      <c r="C32" s="125"/>
      <c r="D32" s="1821"/>
      <c r="E32" s="1821"/>
      <c r="F32" s="1821"/>
      <c r="G32" s="1821"/>
      <c r="H32" s="1821"/>
      <c r="I32" s="1821"/>
      <c r="J32" s="1821"/>
      <c r="K32" s="1821"/>
      <c r="L32" s="1821"/>
      <c r="M32" s="1821"/>
      <c r="N32" s="1821"/>
      <c r="O32" s="1821"/>
      <c r="P32" s="129"/>
      <c r="Q32" s="112"/>
      <c r="R32" s="1566"/>
    </row>
    <row r="33" spans="1:18" ht="15">
      <c r="A33" s="112"/>
      <c r="B33" s="112"/>
      <c r="C33" s="112"/>
      <c r="D33" s="112"/>
      <c r="E33" s="112"/>
      <c r="F33" s="112"/>
      <c r="G33" s="112"/>
      <c r="H33" s="112"/>
      <c r="I33" s="112"/>
      <c r="J33" s="112"/>
      <c r="K33" s="112"/>
      <c r="L33" s="112"/>
      <c r="M33" s="112"/>
      <c r="N33" s="112"/>
      <c r="O33" s="112"/>
      <c r="P33" s="112"/>
      <c r="Q33" s="112"/>
      <c r="R33" s="1566"/>
    </row>
    <row r="34" spans="1:18" ht="20.25">
      <c r="A34" s="112"/>
      <c r="B34" s="1189"/>
      <c r="C34" s="1196" t="s">
        <v>1609</v>
      </c>
      <c r="D34" s="1075"/>
      <c r="E34" s="1075"/>
      <c r="F34" s="1075"/>
      <c r="G34" s="1075"/>
      <c r="H34" s="1075"/>
      <c r="I34" s="1075"/>
      <c r="J34" s="1075"/>
      <c r="K34" s="1075"/>
      <c r="L34" s="1075"/>
      <c r="M34" s="1075"/>
      <c r="N34" s="1075"/>
      <c r="O34" s="1075"/>
      <c r="P34" s="1197"/>
      <c r="Q34" s="112"/>
      <c r="R34" s="1566"/>
    </row>
    <row r="35" spans="1:18" ht="6" customHeight="1">
      <c r="A35" s="112"/>
      <c r="B35" s="1190"/>
      <c r="C35" s="112"/>
      <c r="D35" s="112"/>
      <c r="E35" s="112"/>
      <c r="F35" s="112"/>
      <c r="G35" s="112"/>
      <c r="H35" s="112"/>
      <c r="I35" s="112"/>
      <c r="J35" s="112"/>
      <c r="K35" s="112"/>
      <c r="L35" s="112"/>
      <c r="M35" s="112"/>
      <c r="N35" s="112"/>
      <c r="O35" s="112"/>
      <c r="P35" s="128"/>
      <c r="Q35" s="112"/>
      <c r="R35" s="1566"/>
    </row>
    <row r="36" spans="1:18" ht="15">
      <c r="A36" s="112"/>
      <c r="B36" s="1190"/>
      <c r="C36" s="112" t="s">
        <v>2277</v>
      </c>
      <c r="D36" s="112"/>
      <c r="E36" s="112"/>
      <c r="F36" s="112"/>
      <c r="G36" s="112"/>
      <c r="H36" s="112"/>
      <c r="I36" s="112"/>
      <c r="J36" s="112"/>
      <c r="K36" s="112"/>
      <c r="L36" s="112"/>
      <c r="M36" s="112"/>
      <c r="N36" s="112"/>
      <c r="O36" s="112"/>
      <c r="P36" s="128"/>
      <c r="Q36" s="112"/>
      <c r="R36" s="1566"/>
    </row>
    <row r="37" spans="1:18" ht="15">
      <c r="A37" s="112"/>
      <c r="B37" s="1190"/>
      <c r="C37" s="112" t="s">
        <v>2587</v>
      </c>
      <c r="D37" s="112"/>
      <c r="E37" s="112"/>
      <c r="F37" s="112"/>
      <c r="G37" s="112"/>
      <c r="H37" s="112"/>
      <c r="I37" s="112"/>
      <c r="J37" s="112"/>
      <c r="K37" s="112"/>
      <c r="L37" s="112"/>
      <c r="M37" s="112"/>
      <c r="N37" s="112"/>
      <c r="O37" s="112"/>
      <c r="P37" s="128"/>
      <c r="Q37" s="112"/>
      <c r="R37" s="1566"/>
    </row>
    <row r="38" spans="1:18" ht="21.75" customHeight="1">
      <c r="A38" s="112"/>
      <c r="B38" s="1190"/>
      <c r="C38" s="125" t="s">
        <v>2278</v>
      </c>
      <c r="D38" s="125"/>
      <c r="E38" s="125"/>
      <c r="F38" s="125"/>
      <c r="G38" s="125"/>
      <c r="H38" s="125"/>
      <c r="I38" s="125"/>
      <c r="J38" s="125"/>
      <c r="K38" s="125"/>
      <c r="L38" s="125"/>
      <c r="M38" s="1195" t="s">
        <v>1192</v>
      </c>
      <c r="N38" s="1200">
        <f>'FED WRK'!I82</f>
        <v>0</v>
      </c>
      <c r="O38" s="890" t="s">
        <v>1193</v>
      </c>
      <c r="P38" s="128"/>
      <c r="Q38" s="112"/>
      <c r="R38" s="1566"/>
    </row>
    <row r="39" spans="1:18" ht="7.5" customHeight="1">
      <c r="A39" s="112"/>
      <c r="B39" s="1190"/>
      <c r="C39" s="112"/>
      <c r="D39" s="112"/>
      <c r="E39" s="112"/>
      <c r="F39" s="112"/>
      <c r="G39" s="112"/>
      <c r="H39" s="112"/>
      <c r="I39" s="112"/>
      <c r="J39" s="112"/>
      <c r="K39" s="112"/>
      <c r="L39" s="112"/>
      <c r="M39" s="112"/>
      <c r="N39" s="112"/>
      <c r="O39" s="112"/>
      <c r="P39" s="128"/>
      <c r="Q39" s="112"/>
      <c r="R39" s="1566"/>
    </row>
    <row r="40" spans="1:18" ht="15.75">
      <c r="A40" s="112"/>
      <c r="B40" s="1190"/>
      <c r="C40" s="1191" t="s">
        <v>1191</v>
      </c>
      <c r="D40" s="112"/>
      <c r="E40" s="112"/>
      <c r="F40" s="112"/>
      <c r="G40" s="112"/>
      <c r="H40" s="112"/>
      <c r="I40" s="112"/>
      <c r="J40" s="112"/>
      <c r="K40" s="112"/>
      <c r="L40" s="112"/>
      <c r="M40" s="112"/>
      <c r="N40" s="112"/>
      <c r="O40" s="112"/>
      <c r="P40" s="128"/>
      <c r="Q40" s="112"/>
      <c r="R40" s="1566"/>
    </row>
    <row r="41" spans="1:18" ht="15">
      <c r="A41" s="112"/>
      <c r="B41" s="1190"/>
      <c r="C41" s="112" t="s">
        <v>1611</v>
      </c>
      <c r="D41" s="112"/>
      <c r="E41" s="112"/>
      <c r="F41" s="112"/>
      <c r="G41" s="112"/>
      <c r="H41" s="112"/>
      <c r="I41" s="112"/>
      <c r="J41" s="112"/>
      <c r="K41" s="112"/>
      <c r="L41" s="112"/>
      <c r="M41" s="112"/>
      <c r="N41" s="112"/>
      <c r="O41" s="112"/>
      <c r="P41" s="128"/>
      <c r="Q41" s="112"/>
      <c r="R41" s="1566"/>
    </row>
    <row r="42" spans="1:18" ht="15">
      <c r="A42" s="112"/>
      <c r="B42" s="1190"/>
      <c r="C42" s="112"/>
      <c r="D42" s="112"/>
      <c r="E42" s="112"/>
      <c r="F42" s="112"/>
      <c r="G42" s="112"/>
      <c r="H42" s="112"/>
      <c r="I42" s="112"/>
      <c r="J42" s="112"/>
      <c r="K42" s="112"/>
      <c r="L42" s="112"/>
      <c r="M42" s="112"/>
      <c r="N42" s="112"/>
      <c r="O42" s="112"/>
      <c r="P42" s="128"/>
      <c r="Q42" s="112"/>
      <c r="R42" s="1566"/>
    </row>
    <row r="43" spans="1:18" ht="15">
      <c r="A43" s="112"/>
      <c r="B43" s="1190"/>
      <c r="C43" s="112" t="s">
        <v>1200</v>
      </c>
      <c r="D43" s="112"/>
      <c r="E43" s="112"/>
      <c r="F43" s="112"/>
      <c r="G43" s="112"/>
      <c r="H43" s="112"/>
      <c r="I43" s="112"/>
      <c r="J43" s="112"/>
      <c r="K43" s="112"/>
      <c r="L43" s="112"/>
      <c r="M43" s="112"/>
      <c r="N43" s="112"/>
      <c r="O43" s="112"/>
      <c r="P43" s="128"/>
      <c r="Q43" s="112"/>
      <c r="R43" s="1566"/>
    </row>
    <row r="44" spans="1:18" ht="21" customHeight="1">
      <c r="A44" s="112"/>
      <c r="B44" s="1190"/>
      <c r="C44" s="125" t="s">
        <v>1198</v>
      </c>
      <c r="D44" s="125"/>
      <c r="E44" s="112"/>
      <c r="F44" s="1195" t="s">
        <v>1610</v>
      </c>
      <c r="G44" s="112"/>
      <c r="H44" s="920">
        <v>12</v>
      </c>
      <c r="I44" s="890" t="s">
        <v>586</v>
      </c>
      <c r="J44" s="1194" t="s">
        <v>1194</v>
      </c>
      <c r="K44" s="112"/>
      <c r="L44" s="1201">
        <f>N38</f>
        <v>0</v>
      </c>
      <c r="M44" s="112"/>
      <c r="N44" s="1202">
        <f>(H44/12)*L44</f>
        <v>0</v>
      </c>
      <c r="O44" s="890" t="s">
        <v>1197</v>
      </c>
      <c r="P44" s="128"/>
      <c r="Q44" s="112"/>
      <c r="R44" s="1566"/>
    </row>
    <row r="45" spans="1:18" ht="15">
      <c r="A45" s="112"/>
      <c r="B45" s="1190"/>
      <c r="C45" s="1823" t="s">
        <v>1009</v>
      </c>
      <c r="D45" s="1823"/>
      <c r="E45" s="112"/>
      <c r="F45" s="112"/>
      <c r="G45" s="112"/>
      <c r="H45" s="1203" t="s">
        <v>1196</v>
      </c>
      <c r="I45" s="112"/>
      <c r="J45" s="1194" t="s">
        <v>1195</v>
      </c>
      <c r="K45" s="112"/>
      <c r="L45" s="112"/>
      <c r="M45" s="112"/>
      <c r="N45" s="112"/>
      <c r="O45" s="112"/>
      <c r="P45" s="128"/>
      <c r="Q45" s="112"/>
      <c r="R45" s="1566"/>
    </row>
    <row r="46" spans="1:18" ht="15">
      <c r="A46" s="112"/>
      <c r="B46" s="1190"/>
      <c r="C46" s="1824" t="s">
        <v>1199</v>
      </c>
      <c r="D46" s="1824"/>
      <c r="E46" s="112"/>
      <c r="F46" s="112"/>
      <c r="G46" s="112"/>
      <c r="H46" s="112"/>
      <c r="I46" s="112"/>
      <c r="J46" s="112"/>
      <c r="K46" s="112"/>
      <c r="L46" s="112"/>
      <c r="M46" s="112"/>
      <c r="N46" s="112"/>
      <c r="O46" s="112"/>
      <c r="P46" s="128"/>
      <c r="Q46" s="112"/>
      <c r="R46" s="1566"/>
    </row>
    <row r="47" spans="1:18" ht="20.25" customHeight="1">
      <c r="A47" s="112"/>
      <c r="B47" s="1190"/>
      <c r="C47" s="112"/>
      <c r="D47" s="112"/>
      <c r="E47" s="112"/>
      <c r="F47" s="112"/>
      <c r="G47" s="112"/>
      <c r="H47" s="112"/>
      <c r="I47" s="112"/>
      <c r="J47" s="112"/>
      <c r="K47" s="112"/>
      <c r="L47" s="112"/>
      <c r="M47" s="112"/>
      <c r="N47" s="112"/>
      <c r="O47" s="112"/>
      <c r="P47" s="128"/>
      <c r="Q47" s="112"/>
      <c r="R47" s="1566"/>
    </row>
    <row r="48" spans="1:18" ht="21" customHeight="1">
      <c r="A48" s="112"/>
      <c r="B48" s="1190"/>
      <c r="C48" s="125"/>
      <c r="D48" s="125"/>
      <c r="E48" s="125"/>
      <c r="F48" s="125"/>
      <c r="G48" s="125"/>
      <c r="H48" s="125"/>
      <c r="I48" s="125"/>
      <c r="J48" s="125"/>
      <c r="K48" s="125"/>
      <c r="L48" s="1204" t="s">
        <v>1606</v>
      </c>
      <c r="M48" s="112"/>
      <c r="N48" s="1202">
        <f>IF(H44=0,N38,N44)</f>
        <v>0</v>
      </c>
      <c r="O48" s="890" t="s">
        <v>1604</v>
      </c>
      <c r="P48" s="128"/>
      <c r="Q48" s="112"/>
      <c r="R48" s="1566"/>
    </row>
    <row r="49" spans="1:18" ht="24" customHeight="1">
      <c r="A49" s="112"/>
      <c r="B49" s="1190"/>
      <c r="C49" s="112"/>
      <c r="D49" s="112"/>
      <c r="E49" s="112"/>
      <c r="F49" s="112"/>
      <c r="G49" s="112"/>
      <c r="H49" s="112"/>
      <c r="I49" s="112"/>
      <c r="J49" s="112"/>
      <c r="K49" s="112"/>
      <c r="L49" s="112"/>
      <c r="M49" s="112"/>
      <c r="N49" s="890" t="s">
        <v>1201</v>
      </c>
      <c r="O49" s="112"/>
      <c r="P49" s="128"/>
      <c r="Q49" s="112"/>
      <c r="R49" s="1566"/>
    </row>
    <row r="50" spans="1:18" ht="21" customHeight="1">
      <c r="A50" s="112"/>
      <c r="B50" s="1190"/>
      <c r="C50" s="125"/>
      <c r="D50" s="125"/>
      <c r="E50" s="125"/>
      <c r="F50" s="125"/>
      <c r="G50" s="125"/>
      <c r="H50" s="125"/>
      <c r="I50" s="125"/>
      <c r="J50" s="125"/>
      <c r="K50" s="125"/>
      <c r="L50" s="1204" t="s">
        <v>1605</v>
      </c>
      <c r="M50" s="112"/>
      <c r="N50" s="1202">
        <f>0.5*N48</f>
        <v>0</v>
      </c>
      <c r="O50" s="890" t="s">
        <v>1202</v>
      </c>
      <c r="P50" s="128"/>
      <c r="Q50" s="112"/>
      <c r="R50" s="1566"/>
    </row>
    <row r="51" spans="1:18" ht="15">
      <c r="A51" s="112"/>
      <c r="B51" s="1190"/>
      <c r="C51" s="112"/>
      <c r="D51" s="112"/>
      <c r="E51" s="112"/>
      <c r="F51" s="112"/>
      <c r="G51" s="112"/>
      <c r="H51" s="112"/>
      <c r="I51" s="112"/>
      <c r="J51" s="112"/>
      <c r="K51" s="112"/>
      <c r="L51" s="112"/>
      <c r="M51" s="112"/>
      <c r="N51" s="112"/>
      <c r="O51" s="112"/>
      <c r="P51" s="128"/>
      <c r="Q51" s="112"/>
      <c r="R51" s="1566"/>
    </row>
    <row r="52" spans="1:18" ht="15">
      <c r="A52" s="112"/>
      <c r="B52" s="1199"/>
      <c r="C52" s="125" t="s">
        <v>1203</v>
      </c>
      <c r="D52" s="125"/>
      <c r="E52" s="125"/>
      <c r="F52" s="125"/>
      <c r="G52" s="125"/>
      <c r="H52" s="125"/>
      <c r="I52" s="125"/>
      <c r="J52" s="125"/>
      <c r="K52" s="125"/>
      <c r="L52" s="125"/>
      <c r="M52" s="125"/>
      <c r="N52" s="125"/>
      <c r="O52" s="125"/>
      <c r="P52" s="129"/>
      <c r="Q52" s="112"/>
      <c r="R52" s="1566"/>
    </row>
    <row r="53" spans="1:18" ht="15">
      <c r="A53" s="112"/>
      <c r="B53" s="112"/>
      <c r="C53" s="112"/>
      <c r="D53" s="112"/>
      <c r="E53" s="112"/>
      <c r="F53" s="112"/>
      <c r="G53" s="112"/>
      <c r="H53" s="112"/>
      <c r="I53" s="112"/>
      <c r="J53" s="112"/>
      <c r="K53" s="112"/>
      <c r="L53" s="112"/>
      <c r="M53" s="112"/>
      <c r="N53" s="112"/>
      <c r="O53" s="112"/>
      <c r="P53" s="112"/>
      <c r="Q53" s="112"/>
      <c r="R53" s="1566"/>
    </row>
    <row r="54" spans="1:18" ht="20.25">
      <c r="A54" s="112"/>
      <c r="B54" s="1189"/>
      <c r="C54" s="1196" t="s">
        <v>1204</v>
      </c>
      <c r="D54" s="1075"/>
      <c r="E54" s="1075"/>
      <c r="F54" s="1075"/>
      <c r="G54" s="1075"/>
      <c r="H54" s="1075"/>
      <c r="I54" s="1075"/>
      <c r="J54" s="1075"/>
      <c r="K54" s="1075"/>
      <c r="L54" s="1075"/>
      <c r="M54" s="1075"/>
      <c r="N54" s="1075"/>
      <c r="O54" s="1075"/>
      <c r="P54" s="1197"/>
      <c r="Q54" s="112"/>
      <c r="R54" s="1566"/>
    </row>
    <row r="55" spans="1:18" ht="15">
      <c r="A55" s="112"/>
      <c r="B55" s="1190"/>
      <c r="C55" s="124"/>
      <c r="D55" s="124"/>
      <c r="E55" s="124"/>
      <c r="F55" s="124"/>
      <c r="G55" s="124"/>
      <c r="H55" s="124"/>
      <c r="I55" s="124"/>
      <c r="J55" s="124"/>
      <c r="K55" s="124"/>
      <c r="L55" s="124"/>
      <c r="M55" s="124"/>
      <c r="N55" s="112"/>
      <c r="O55" s="112"/>
      <c r="P55" s="128"/>
      <c r="Q55" s="112"/>
      <c r="R55" s="1566"/>
    </row>
    <row r="56" spans="1:18" ht="15">
      <c r="A56" s="112"/>
      <c r="B56" s="1190"/>
      <c r="C56" s="124" t="s">
        <v>2279</v>
      </c>
      <c r="D56" s="124"/>
      <c r="E56" s="124"/>
      <c r="F56" s="124"/>
      <c r="G56" s="124"/>
      <c r="H56" s="124"/>
      <c r="I56" s="124"/>
      <c r="J56" s="124"/>
      <c r="K56" s="124"/>
      <c r="L56" s="124"/>
      <c r="M56" s="124"/>
      <c r="N56" s="1354">
        <f>IF(N57&gt;N50,"E Amount Exceeds Allowable","")</f>
      </c>
      <c r="O56" s="112"/>
      <c r="P56" s="128"/>
      <c r="Q56" s="112"/>
      <c r="R56" s="1566"/>
    </row>
    <row r="57" spans="1:18" ht="15.75">
      <c r="A57" s="112"/>
      <c r="B57" s="1190"/>
      <c r="C57" s="1016" t="s">
        <v>2588</v>
      </c>
      <c r="D57" s="125"/>
      <c r="E57" s="125"/>
      <c r="F57" s="125"/>
      <c r="G57" s="125"/>
      <c r="H57" s="125"/>
      <c r="I57" s="125"/>
      <c r="J57" s="125"/>
      <c r="K57" s="125"/>
      <c r="L57" s="125"/>
      <c r="M57" s="124"/>
      <c r="N57" s="1205"/>
      <c r="O57" s="890" t="s">
        <v>1205</v>
      </c>
      <c r="P57" s="128"/>
      <c r="Q57" s="112"/>
      <c r="R57" s="1566"/>
    </row>
    <row r="58" spans="1:18" ht="24" customHeight="1">
      <c r="A58" s="112"/>
      <c r="B58" s="1190"/>
      <c r="C58" s="124" t="s">
        <v>1206</v>
      </c>
      <c r="D58" s="124"/>
      <c r="E58" s="124"/>
      <c r="F58" s="124"/>
      <c r="G58" s="124"/>
      <c r="H58" s="124"/>
      <c r="I58" s="124"/>
      <c r="J58" s="124"/>
      <c r="K58" s="124"/>
      <c r="L58" s="124"/>
      <c r="M58" s="124"/>
      <c r="N58" s="112"/>
      <c r="O58" s="112"/>
      <c r="P58" s="128"/>
      <c r="Q58" s="112"/>
      <c r="R58" s="1566"/>
    </row>
    <row r="59" spans="1:18" ht="15.75">
      <c r="A59" s="112"/>
      <c r="B59" s="1190"/>
      <c r="C59" s="124" t="s">
        <v>1207</v>
      </c>
      <c r="D59" s="124"/>
      <c r="E59" s="124"/>
      <c r="F59" s="124"/>
      <c r="G59" s="124"/>
      <c r="H59" s="124"/>
      <c r="I59" s="124"/>
      <c r="J59" s="124"/>
      <c r="K59" s="124"/>
      <c r="L59" s="124"/>
      <c r="M59" s="124"/>
      <c r="N59" s="112"/>
      <c r="O59" s="112"/>
      <c r="P59" s="128"/>
      <c r="Q59" s="112"/>
      <c r="R59" s="1566"/>
    </row>
    <row r="60" spans="1:18" ht="15">
      <c r="A60" s="112"/>
      <c r="B60" s="1199"/>
      <c r="C60" s="125"/>
      <c r="D60" s="125"/>
      <c r="E60" s="125"/>
      <c r="F60" s="125"/>
      <c r="G60" s="125"/>
      <c r="H60" s="125"/>
      <c r="I60" s="125"/>
      <c r="J60" s="125"/>
      <c r="K60" s="125"/>
      <c r="L60" s="125"/>
      <c r="M60" s="125"/>
      <c r="N60" s="1448"/>
      <c r="O60" s="125"/>
      <c r="P60" s="129"/>
      <c r="Q60" s="112"/>
      <c r="R60" s="1566"/>
    </row>
    <row r="61" spans="1:18" ht="15">
      <c r="A61" s="112"/>
      <c r="B61" s="124"/>
      <c r="C61" s="124"/>
      <c r="D61" s="124"/>
      <c r="E61" s="124"/>
      <c r="F61" s="124"/>
      <c r="G61" s="124"/>
      <c r="H61" s="124"/>
      <c r="I61" s="124"/>
      <c r="J61" s="124"/>
      <c r="K61" s="124"/>
      <c r="L61" s="124"/>
      <c r="M61" s="124"/>
      <c r="N61" s="1449" t="s">
        <v>2280</v>
      </c>
      <c r="O61" s="124"/>
      <c r="P61" s="124"/>
      <c r="Q61" s="112"/>
      <c r="R61" s="1566"/>
    </row>
    <row r="62" spans="1:18" ht="21" customHeight="1">
      <c r="A62" s="112"/>
      <c r="B62" s="112"/>
      <c r="C62" s="124" t="s">
        <v>2589</v>
      </c>
      <c r="D62" s="112"/>
      <c r="E62" s="112" t="s">
        <v>1209</v>
      </c>
      <c r="F62" s="112"/>
      <c r="G62" s="112"/>
      <c r="H62" s="112"/>
      <c r="I62" s="112"/>
      <c r="J62" s="112"/>
      <c r="K62" s="112"/>
      <c r="L62" s="112"/>
      <c r="M62" s="112"/>
      <c r="N62" s="112"/>
      <c r="O62" s="112"/>
      <c r="P62" s="112"/>
      <c r="Q62" s="112"/>
      <c r="R62" s="1566"/>
    </row>
    <row r="63" spans="1:18" ht="19.5" customHeight="1">
      <c r="A63" s="112"/>
      <c r="B63" s="112"/>
      <c r="C63" s="112"/>
      <c r="D63" s="112"/>
      <c r="E63" s="112"/>
      <c r="F63" s="112"/>
      <c r="G63" s="112"/>
      <c r="H63" s="112"/>
      <c r="I63" s="112"/>
      <c r="J63" s="112"/>
      <c r="K63" s="112"/>
      <c r="L63" s="112"/>
      <c r="M63" s="112"/>
      <c r="N63" s="112"/>
      <c r="O63" s="112"/>
      <c r="P63" s="112"/>
      <c r="Q63" s="112"/>
      <c r="R63" s="1566"/>
    </row>
    <row r="64" spans="1:18" ht="20.25">
      <c r="A64" s="112"/>
      <c r="B64" s="1189"/>
      <c r="C64" s="1196" t="s">
        <v>1210</v>
      </c>
      <c r="D64" s="1075"/>
      <c r="E64" s="1075"/>
      <c r="F64" s="1075"/>
      <c r="G64" s="1075"/>
      <c r="H64" s="1075"/>
      <c r="I64" s="1075"/>
      <c r="J64" s="1075"/>
      <c r="K64" s="1075"/>
      <c r="L64" s="1075"/>
      <c r="M64" s="1075"/>
      <c r="N64" s="1075"/>
      <c r="O64" s="1075"/>
      <c r="P64" s="1197"/>
      <c r="Q64" s="112"/>
      <c r="R64" s="1566"/>
    </row>
    <row r="65" spans="1:18" ht="15">
      <c r="A65" s="112"/>
      <c r="B65" s="1190"/>
      <c r="C65" s="124"/>
      <c r="D65" s="124"/>
      <c r="E65" s="124"/>
      <c r="F65" s="124"/>
      <c r="G65" s="124"/>
      <c r="H65" s="124"/>
      <c r="I65" s="124"/>
      <c r="J65" s="124"/>
      <c r="K65" s="124"/>
      <c r="L65" s="124"/>
      <c r="M65" s="124"/>
      <c r="N65" s="112"/>
      <c r="O65" s="112"/>
      <c r="P65" s="128"/>
      <c r="Q65" s="112"/>
      <c r="R65" s="1566"/>
    </row>
    <row r="66" spans="1:18" ht="22.5" customHeight="1">
      <c r="A66" s="112"/>
      <c r="B66" s="1190"/>
      <c r="C66" s="1208" t="s">
        <v>2281</v>
      </c>
      <c r="D66" s="124"/>
      <c r="E66" s="124"/>
      <c r="F66" s="124"/>
      <c r="G66" s="124"/>
      <c r="H66" s="124"/>
      <c r="I66" s="124"/>
      <c r="J66" s="124"/>
      <c r="K66" s="124"/>
      <c r="L66" s="124"/>
      <c r="M66" s="124"/>
      <c r="N66" s="112"/>
      <c r="O66" s="112"/>
      <c r="P66" s="128"/>
      <c r="Q66" s="112"/>
      <c r="R66" s="1566"/>
    </row>
    <row r="67" spans="1:18" ht="15.75">
      <c r="A67" s="112"/>
      <c r="B67" s="1190"/>
      <c r="C67" s="1016" t="s">
        <v>1211</v>
      </c>
      <c r="D67" s="125"/>
      <c r="E67" s="125"/>
      <c r="F67" s="125"/>
      <c r="G67" s="125"/>
      <c r="H67" s="125"/>
      <c r="I67" s="125"/>
      <c r="J67" s="125"/>
      <c r="K67" s="125"/>
      <c r="L67" s="125"/>
      <c r="M67" s="124"/>
      <c r="N67" s="1133">
        <f>N38</f>
        <v>0</v>
      </c>
      <c r="O67" s="890" t="s">
        <v>384</v>
      </c>
      <c r="P67" s="128"/>
      <c r="Q67" s="112"/>
      <c r="R67" s="1566"/>
    </row>
    <row r="68" spans="1:18" ht="15.75">
      <c r="A68" s="112"/>
      <c r="B68" s="1190"/>
      <c r="C68" s="126" t="s">
        <v>1212</v>
      </c>
      <c r="D68" s="126"/>
      <c r="E68" s="126"/>
      <c r="F68" s="126"/>
      <c r="G68" s="126"/>
      <c r="H68" s="126"/>
      <c r="I68" s="126"/>
      <c r="J68" s="126"/>
      <c r="K68" s="126"/>
      <c r="L68" s="126"/>
      <c r="M68" s="124"/>
      <c r="N68" s="1132">
        <f>N57</f>
        <v>0</v>
      </c>
      <c r="O68" s="890" t="s">
        <v>385</v>
      </c>
      <c r="P68" s="128"/>
      <c r="Q68" s="112"/>
      <c r="R68" s="1566"/>
    </row>
    <row r="69" spans="1:18" ht="15.75">
      <c r="A69" s="112"/>
      <c r="B69" s="1190"/>
      <c r="C69" s="126" t="s">
        <v>1213</v>
      </c>
      <c r="D69" s="126"/>
      <c r="E69" s="126"/>
      <c r="F69" s="126"/>
      <c r="G69" s="126"/>
      <c r="H69" s="126"/>
      <c r="I69" s="126"/>
      <c r="J69" s="126"/>
      <c r="K69" s="126"/>
      <c r="L69" s="126"/>
      <c r="M69" s="124"/>
      <c r="N69" s="1131">
        <f>N67-N68</f>
        <v>0</v>
      </c>
      <c r="O69" s="890" t="s">
        <v>386</v>
      </c>
      <c r="P69" s="128"/>
      <c r="Q69" s="112"/>
      <c r="R69" s="1566"/>
    </row>
    <row r="70" spans="1:18" ht="18" customHeight="1">
      <c r="A70" s="112"/>
      <c r="B70" s="1190"/>
      <c r="C70" s="124" t="s">
        <v>2595</v>
      </c>
      <c r="D70" s="124"/>
      <c r="E70" s="124"/>
      <c r="F70" s="124"/>
      <c r="G70" s="124"/>
      <c r="H70" s="124"/>
      <c r="I70" s="124"/>
      <c r="J70" s="124"/>
      <c r="K70" s="124"/>
      <c r="L70" s="124"/>
      <c r="M70" s="124"/>
      <c r="N70" s="112"/>
      <c r="O70" s="112"/>
      <c r="P70" s="128"/>
      <c r="Q70" s="112"/>
      <c r="R70" s="1566"/>
    </row>
    <row r="71" spans="1:18" ht="15">
      <c r="A71" s="112"/>
      <c r="B71" s="1190"/>
      <c r="C71" s="124"/>
      <c r="D71" s="124"/>
      <c r="E71" s="124"/>
      <c r="F71" s="124"/>
      <c r="G71" s="124"/>
      <c r="H71" s="124"/>
      <c r="I71" s="124"/>
      <c r="J71" s="124"/>
      <c r="K71" s="124"/>
      <c r="L71" s="124"/>
      <c r="M71" s="124"/>
      <c r="N71" s="112"/>
      <c r="O71" s="112"/>
      <c r="P71" s="128"/>
      <c r="Q71" s="112"/>
      <c r="R71" s="1566"/>
    </row>
    <row r="72" spans="1:18" ht="15.75">
      <c r="A72" s="112"/>
      <c r="B72" s="1189"/>
      <c r="C72" s="1450" t="s">
        <v>2282</v>
      </c>
      <c r="D72" s="1075"/>
      <c r="E72" s="1075"/>
      <c r="F72" s="1075"/>
      <c r="G72" s="1075"/>
      <c r="H72" s="1075"/>
      <c r="I72" s="1075"/>
      <c r="J72" s="1075"/>
      <c r="K72" s="1075"/>
      <c r="L72" s="1075"/>
      <c r="M72" s="1075"/>
      <c r="N72" s="1075"/>
      <c r="O72" s="1075"/>
      <c r="P72" s="1197"/>
      <c r="Q72" s="112"/>
      <c r="R72" s="1566"/>
    </row>
    <row r="73" spans="1:18" ht="21" customHeight="1">
      <c r="A73" s="112"/>
      <c r="B73" s="1190"/>
      <c r="C73" s="124" t="s">
        <v>2284</v>
      </c>
      <c r="D73" s="124"/>
      <c r="E73" s="124"/>
      <c r="F73" s="124"/>
      <c r="G73" s="124"/>
      <c r="H73" s="124"/>
      <c r="I73" s="124"/>
      <c r="J73" s="124"/>
      <c r="K73" s="124"/>
      <c r="L73" s="124"/>
      <c r="M73" s="124"/>
      <c r="N73" s="112"/>
      <c r="O73" s="112"/>
      <c r="P73" s="128"/>
      <c r="Q73" s="112"/>
      <c r="R73" s="1566"/>
    </row>
    <row r="74" spans="1:18" ht="15.75">
      <c r="A74" s="112"/>
      <c r="B74" s="1190"/>
      <c r="C74" s="125" t="s">
        <v>2590</v>
      </c>
      <c r="D74" s="125"/>
      <c r="E74" s="125"/>
      <c r="F74" s="125"/>
      <c r="G74" s="125"/>
      <c r="H74" s="125"/>
      <c r="I74" s="125"/>
      <c r="J74" s="125"/>
      <c r="K74" s="125"/>
      <c r="L74" s="125"/>
      <c r="M74" s="124"/>
      <c r="N74" s="1210">
        <v>0</v>
      </c>
      <c r="O74" s="890" t="s">
        <v>387</v>
      </c>
      <c r="P74" s="128"/>
      <c r="Q74" s="112"/>
      <c r="R74" s="1566"/>
    </row>
    <row r="75" spans="1:18" ht="15.75">
      <c r="A75" s="112"/>
      <c r="B75" s="1190"/>
      <c r="C75" s="126" t="s">
        <v>2283</v>
      </c>
      <c r="D75" s="126"/>
      <c r="E75" s="126"/>
      <c r="F75" s="126"/>
      <c r="G75" s="126"/>
      <c r="H75" s="126"/>
      <c r="I75" s="126"/>
      <c r="J75" s="126"/>
      <c r="K75" s="126"/>
      <c r="L75" s="126"/>
      <c r="M75" s="124"/>
      <c r="N75" s="1209">
        <f>N57</f>
        <v>0</v>
      </c>
      <c r="O75" s="890" t="s">
        <v>388</v>
      </c>
      <c r="P75" s="128"/>
      <c r="Q75" s="112"/>
      <c r="R75" s="1566"/>
    </row>
    <row r="76" spans="1:18" ht="15.75">
      <c r="A76" s="112"/>
      <c r="B76" s="1190"/>
      <c r="C76" s="126" t="s">
        <v>1214</v>
      </c>
      <c r="D76" s="126"/>
      <c r="E76" s="126"/>
      <c r="F76" s="126"/>
      <c r="G76" s="126"/>
      <c r="H76" s="126"/>
      <c r="I76" s="126"/>
      <c r="J76" s="126"/>
      <c r="K76" s="126"/>
      <c r="L76" s="126"/>
      <c r="M76" s="124"/>
      <c r="N76" s="1131">
        <f>N74+N75</f>
        <v>0</v>
      </c>
      <c r="O76" s="890" t="s">
        <v>389</v>
      </c>
      <c r="P76" s="128"/>
      <c r="Q76" s="112"/>
      <c r="R76" s="1566"/>
    </row>
    <row r="77" spans="1:18" ht="15.75">
      <c r="A77" s="112"/>
      <c r="B77" s="1190"/>
      <c r="C77" s="124" t="s">
        <v>2591</v>
      </c>
      <c r="D77" s="124"/>
      <c r="E77" s="124"/>
      <c r="F77" s="124"/>
      <c r="G77" s="124"/>
      <c r="H77" s="124"/>
      <c r="I77" s="124"/>
      <c r="J77" s="124"/>
      <c r="K77" s="124"/>
      <c r="L77" s="124"/>
      <c r="M77" s="124"/>
      <c r="N77" s="112"/>
      <c r="O77" s="112"/>
      <c r="P77" s="128"/>
      <c r="Q77" s="112"/>
      <c r="R77" s="1566"/>
    </row>
    <row r="78" spans="1:18" ht="24.75" customHeight="1">
      <c r="A78" s="112"/>
      <c r="B78" s="1190"/>
      <c r="C78" s="1207" t="s">
        <v>1429</v>
      </c>
      <c r="D78" s="124"/>
      <c r="E78" s="124"/>
      <c r="F78" s="124"/>
      <c r="G78" s="124"/>
      <c r="H78" s="124"/>
      <c r="I78" s="124"/>
      <c r="J78" s="124"/>
      <c r="K78" s="124"/>
      <c r="L78" s="124"/>
      <c r="M78" s="124"/>
      <c r="N78" s="112"/>
      <c r="O78" s="112"/>
      <c r="P78" s="128"/>
      <c r="Q78" s="112"/>
      <c r="R78" s="1566"/>
    </row>
    <row r="79" spans="1:18" ht="15.75">
      <c r="A79" s="112"/>
      <c r="B79" s="1190"/>
      <c r="C79" s="124" t="s">
        <v>2592</v>
      </c>
      <c r="D79" s="124"/>
      <c r="E79" s="124"/>
      <c r="F79" s="124"/>
      <c r="G79" s="124"/>
      <c r="H79" s="124"/>
      <c r="I79" s="124"/>
      <c r="J79" s="124"/>
      <c r="K79" s="124"/>
      <c r="L79" s="124"/>
      <c r="M79" s="124"/>
      <c r="N79" s="112"/>
      <c r="O79" s="112"/>
      <c r="P79" s="128"/>
      <c r="Q79" s="112"/>
      <c r="R79" s="1566"/>
    </row>
    <row r="80" spans="1:18" ht="15">
      <c r="A80" s="112"/>
      <c r="B80" s="1190"/>
      <c r="C80" s="124" t="s">
        <v>2285</v>
      </c>
      <c r="D80" s="124"/>
      <c r="E80" s="124"/>
      <c r="F80" s="124"/>
      <c r="G80" s="124"/>
      <c r="H80" s="124"/>
      <c r="I80" s="124"/>
      <c r="J80" s="124"/>
      <c r="K80" s="124"/>
      <c r="L80" s="124"/>
      <c r="M80" s="124"/>
      <c r="N80" s="112"/>
      <c r="O80" s="112"/>
      <c r="P80" s="128"/>
      <c r="Q80" s="112"/>
      <c r="R80" s="1566"/>
    </row>
    <row r="81" spans="1:18" ht="15">
      <c r="A81" s="112"/>
      <c r="B81" s="1190"/>
      <c r="C81" s="124" t="s">
        <v>2286</v>
      </c>
      <c r="D81" s="124"/>
      <c r="E81" s="124"/>
      <c r="F81" s="124"/>
      <c r="G81" s="124"/>
      <c r="H81" s="124"/>
      <c r="I81" s="124"/>
      <c r="J81" s="124"/>
      <c r="K81" s="124"/>
      <c r="L81" s="124"/>
      <c r="M81" s="124"/>
      <c r="N81" s="112"/>
      <c r="O81" s="112"/>
      <c r="P81" s="128"/>
      <c r="Q81" s="112"/>
      <c r="R81" s="1566"/>
    </row>
    <row r="82" spans="1:18" ht="15">
      <c r="A82" s="112"/>
      <c r="B82" s="1190"/>
      <c r="C82" s="124" t="s">
        <v>2287</v>
      </c>
      <c r="D82" s="124"/>
      <c r="E82" s="124"/>
      <c r="F82" s="124"/>
      <c r="G82" s="124"/>
      <c r="H82" s="124"/>
      <c r="I82" s="124"/>
      <c r="J82" s="124"/>
      <c r="K82" s="124"/>
      <c r="L82" s="124"/>
      <c r="M82" s="124"/>
      <c r="N82" s="112"/>
      <c r="O82" s="112"/>
      <c r="P82" s="128"/>
      <c r="Q82" s="112"/>
      <c r="R82" s="1566"/>
    </row>
    <row r="83" spans="1:18" ht="25.5" customHeight="1">
      <c r="A83" s="112"/>
      <c r="B83" s="1190"/>
      <c r="C83" s="124" t="s">
        <v>877</v>
      </c>
      <c r="D83" s="124"/>
      <c r="E83" s="124"/>
      <c r="F83" s="124"/>
      <c r="G83" s="124"/>
      <c r="H83" s="124"/>
      <c r="I83" s="124"/>
      <c r="J83" s="124"/>
      <c r="K83" s="124"/>
      <c r="L83" s="124"/>
      <c r="M83" s="124"/>
      <c r="N83" s="112"/>
      <c r="O83" s="112"/>
      <c r="P83" s="128"/>
      <c r="Q83" s="112"/>
      <c r="R83" s="1566"/>
    </row>
    <row r="84" spans="1:18" ht="15">
      <c r="A84" s="112"/>
      <c r="B84" s="1190"/>
      <c r="C84" s="124" t="s">
        <v>878</v>
      </c>
      <c r="D84" s="124"/>
      <c r="E84" s="124"/>
      <c r="F84" s="124"/>
      <c r="G84" s="124"/>
      <c r="H84" s="124"/>
      <c r="I84" s="124"/>
      <c r="J84" s="124"/>
      <c r="K84" s="124"/>
      <c r="L84" s="124"/>
      <c r="M84" s="124"/>
      <c r="N84" s="112"/>
      <c r="O84" s="112"/>
      <c r="P84" s="128"/>
      <c r="Q84" s="112"/>
      <c r="R84" s="1566"/>
    </row>
    <row r="85" spans="1:18" ht="9.75" customHeight="1">
      <c r="A85" s="112"/>
      <c r="B85" s="1190"/>
      <c r="C85" s="124"/>
      <c r="D85" s="124"/>
      <c r="E85" s="124"/>
      <c r="F85" s="124"/>
      <c r="G85" s="124"/>
      <c r="H85" s="124"/>
      <c r="I85" s="124"/>
      <c r="J85" s="124"/>
      <c r="K85" s="124"/>
      <c r="L85" s="124"/>
      <c r="M85" s="124"/>
      <c r="N85" s="112"/>
      <c r="O85" s="112"/>
      <c r="P85" s="128"/>
      <c r="Q85" s="112"/>
      <c r="R85" s="1566"/>
    </row>
    <row r="86" spans="1:18" ht="15.75">
      <c r="A86" s="112"/>
      <c r="B86" s="1190"/>
      <c r="C86" s="124" t="s">
        <v>2288</v>
      </c>
      <c r="D86" s="124"/>
      <c r="E86" s="124"/>
      <c r="F86" s="124"/>
      <c r="G86" s="124"/>
      <c r="H86" s="124"/>
      <c r="I86" s="124"/>
      <c r="J86" s="124"/>
      <c r="K86" s="124"/>
      <c r="L86" s="124"/>
      <c r="M86" s="124"/>
      <c r="N86" s="112"/>
      <c r="O86" s="112"/>
      <c r="P86" s="128"/>
      <c r="Q86" s="112"/>
      <c r="R86" s="1566"/>
    </row>
    <row r="87" spans="1:18" ht="9.75" customHeight="1">
      <c r="A87" s="112"/>
      <c r="B87" s="1190"/>
      <c r="C87" s="124"/>
      <c r="D87" s="124"/>
      <c r="E87" s="124"/>
      <c r="F87" s="124"/>
      <c r="G87" s="124"/>
      <c r="H87" s="124"/>
      <c r="I87" s="124"/>
      <c r="J87" s="124"/>
      <c r="K87" s="124"/>
      <c r="L87" s="124"/>
      <c r="M87" s="124"/>
      <c r="N87" s="112"/>
      <c r="O87" s="112"/>
      <c r="P87" s="128"/>
      <c r="Q87" s="112"/>
      <c r="R87" s="1566"/>
    </row>
    <row r="88" spans="1:18" ht="15.75">
      <c r="A88" s="112"/>
      <c r="B88" s="1190"/>
      <c r="C88" s="124" t="s">
        <v>2289</v>
      </c>
      <c r="D88" s="124"/>
      <c r="E88" s="124"/>
      <c r="F88" s="124"/>
      <c r="G88" s="124"/>
      <c r="H88" s="124"/>
      <c r="I88" s="124"/>
      <c r="J88" s="124"/>
      <c r="K88" s="124"/>
      <c r="L88" s="124"/>
      <c r="M88" s="124"/>
      <c r="N88" s="112"/>
      <c r="O88" s="112"/>
      <c r="P88" s="128"/>
      <c r="Q88" s="112"/>
      <c r="R88" s="1566"/>
    </row>
    <row r="89" spans="1:18" ht="15.75">
      <c r="A89" s="112"/>
      <c r="B89" s="1190"/>
      <c r="C89" s="124" t="s">
        <v>2290</v>
      </c>
      <c r="D89" s="124"/>
      <c r="E89" s="124"/>
      <c r="F89" s="124"/>
      <c r="G89" s="124"/>
      <c r="H89" s="124"/>
      <c r="I89" s="124"/>
      <c r="J89" s="124"/>
      <c r="K89" s="124"/>
      <c r="L89" s="124"/>
      <c r="M89" s="124"/>
      <c r="N89" s="112"/>
      <c r="O89" s="112"/>
      <c r="P89" s="128"/>
      <c r="Q89" s="112"/>
      <c r="R89" s="1566"/>
    </row>
    <row r="90" spans="1:18" ht="9.75" customHeight="1">
      <c r="A90" s="112"/>
      <c r="B90" s="1199"/>
      <c r="C90" s="125"/>
      <c r="D90" s="125"/>
      <c r="E90" s="125"/>
      <c r="F90" s="125"/>
      <c r="G90" s="125"/>
      <c r="H90" s="125"/>
      <c r="I90" s="125"/>
      <c r="J90" s="125"/>
      <c r="K90" s="125"/>
      <c r="L90" s="125"/>
      <c r="M90" s="125"/>
      <c r="N90" s="1206"/>
      <c r="O90" s="125"/>
      <c r="P90" s="129"/>
      <c r="Q90" s="112"/>
      <c r="R90" s="1566"/>
    </row>
    <row r="91" spans="1:18" ht="15">
      <c r="A91" s="112"/>
      <c r="B91" s="112"/>
      <c r="C91" s="112"/>
      <c r="D91" s="112"/>
      <c r="E91" s="112"/>
      <c r="F91" s="112"/>
      <c r="G91" s="112"/>
      <c r="H91" s="112"/>
      <c r="I91" s="112"/>
      <c r="J91" s="112"/>
      <c r="K91" s="112"/>
      <c r="L91" s="112"/>
      <c r="M91" s="112"/>
      <c r="N91" s="112"/>
      <c r="O91" s="112"/>
      <c r="P91" s="112"/>
      <c r="Q91" s="112"/>
      <c r="R91" s="1566"/>
    </row>
    <row r="92" spans="1:18" ht="20.25">
      <c r="A92" s="112"/>
      <c r="B92" s="1189"/>
      <c r="C92" s="1196" t="s">
        <v>390</v>
      </c>
      <c r="D92" s="1075"/>
      <c r="E92" s="1075"/>
      <c r="F92" s="1075"/>
      <c r="G92" s="1075"/>
      <c r="H92" s="1075"/>
      <c r="I92" s="1075"/>
      <c r="J92" s="1075"/>
      <c r="K92" s="1075"/>
      <c r="L92" s="1075"/>
      <c r="M92" s="1075"/>
      <c r="N92" s="1075"/>
      <c r="O92" s="1075"/>
      <c r="P92" s="1197"/>
      <c r="Q92" s="112"/>
      <c r="R92" s="1566"/>
    </row>
    <row r="93" spans="1:18" ht="15">
      <c r="A93" s="112"/>
      <c r="B93" s="1190"/>
      <c r="C93" s="124"/>
      <c r="D93" s="124"/>
      <c r="E93" s="124"/>
      <c r="F93" s="124"/>
      <c r="G93" s="124"/>
      <c r="H93" s="124"/>
      <c r="I93" s="124"/>
      <c r="J93" s="124"/>
      <c r="K93" s="124"/>
      <c r="L93" s="124"/>
      <c r="M93" s="124"/>
      <c r="N93" s="112"/>
      <c r="O93" s="112"/>
      <c r="P93" s="128"/>
      <c r="Q93" s="112"/>
      <c r="R93" s="1566"/>
    </row>
    <row r="94" spans="1:18" ht="15">
      <c r="A94" s="112"/>
      <c r="B94" s="1190"/>
      <c r="C94" s="124" t="s">
        <v>2291</v>
      </c>
      <c r="D94" s="124"/>
      <c r="E94" s="124"/>
      <c r="F94" s="124"/>
      <c r="G94" s="124"/>
      <c r="H94" s="124"/>
      <c r="I94" s="124"/>
      <c r="J94" s="124"/>
      <c r="K94" s="124"/>
      <c r="L94" s="124"/>
      <c r="M94" s="124"/>
      <c r="N94" s="112"/>
      <c r="O94" s="112"/>
      <c r="P94" s="128"/>
      <c r="Q94" s="112"/>
      <c r="R94" s="1566"/>
    </row>
    <row r="95" spans="1:18" ht="15.75">
      <c r="A95" s="112"/>
      <c r="B95" s="1190"/>
      <c r="C95" s="125" t="s">
        <v>2292</v>
      </c>
      <c r="D95" s="125"/>
      <c r="E95" s="125"/>
      <c r="F95" s="125"/>
      <c r="G95" s="125"/>
      <c r="H95" s="125"/>
      <c r="I95" s="125"/>
      <c r="J95" s="125"/>
      <c r="K95" s="125"/>
      <c r="L95" s="125"/>
      <c r="M95" s="1195" t="s">
        <v>391</v>
      </c>
      <c r="N95" s="1210"/>
      <c r="O95" s="1211" t="s">
        <v>392</v>
      </c>
      <c r="P95" s="128"/>
      <c r="Q95" s="112"/>
      <c r="R95" s="1566"/>
    </row>
    <row r="96" spans="1:18" ht="15">
      <c r="A96" s="112"/>
      <c r="B96" s="1190"/>
      <c r="C96" s="124" t="s">
        <v>2294</v>
      </c>
      <c r="D96" s="124"/>
      <c r="E96" s="124"/>
      <c r="F96" s="124"/>
      <c r="G96" s="124"/>
      <c r="H96" s="124"/>
      <c r="I96" s="124"/>
      <c r="J96" s="124"/>
      <c r="K96" s="124"/>
      <c r="L96" s="124"/>
      <c r="M96" s="124"/>
      <c r="N96" s="112"/>
      <c r="O96" s="112"/>
      <c r="P96" s="128"/>
      <c r="Q96" s="112"/>
      <c r="R96" s="1566"/>
    </row>
    <row r="97" spans="1:18" ht="15.75">
      <c r="A97" s="112"/>
      <c r="B97" s="1190"/>
      <c r="C97" s="124" t="s">
        <v>2296</v>
      </c>
      <c r="D97" s="124"/>
      <c r="E97" s="124"/>
      <c r="F97" s="124"/>
      <c r="G97" s="124"/>
      <c r="H97" s="124"/>
      <c r="I97" s="124"/>
      <c r="J97" s="124"/>
      <c r="K97" s="124"/>
      <c r="L97" s="124"/>
      <c r="M97" s="124"/>
      <c r="N97" s="112"/>
      <c r="O97" s="112"/>
      <c r="P97" s="128"/>
      <c r="Q97" s="112"/>
      <c r="R97" s="1566"/>
    </row>
    <row r="98" spans="1:18" ht="15">
      <c r="A98" s="112"/>
      <c r="B98" s="1190"/>
      <c r="C98" s="124" t="s">
        <v>2295</v>
      </c>
      <c r="D98" s="124"/>
      <c r="E98" s="124"/>
      <c r="F98" s="124"/>
      <c r="G98" s="124"/>
      <c r="H98" s="124"/>
      <c r="I98" s="124"/>
      <c r="J98" s="124"/>
      <c r="K98" s="124"/>
      <c r="L98" s="124"/>
      <c r="M98" s="124"/>
      <c r="N98" s="112"/>
      <c r="O98" s="112"/>
      <c r="P98" s="128"/>
      <c r="Q98" s="112"/>
      <c r="R98" s="1566"/>
    </row>
    <row r="99" spans="1:18" ht="21" customHeight="1">
      <c r="A99" s="112"/>
      <c r="B99" s="1190"/>
      <c r="C99" s="124" t="s">
        <v>2293</v>
      </c>
      <c r="D99" s="124"/>
      <c r="E99" s="124"/>
      <c r="F99" s="124"/>
      <c r="G99" s="124"/>
      <c r="H99" s="124"/>
      <c r="I99" s="124"/>
      <c r="J99" s="124"/>
      <c r="K99" s="124"/>
      <c r="L99" s="124"/>
      <c r="M99" s="124"/>
      <c r="N99" s="112"/>
      <c r="O99" s="112"/>
      <c r="P99" s="128"/>
      <c r="Q99" s="112"/>
      <c r="R99" s="1566"/>
    </row>
    <row r="100" spans="1:18" ht="15">
      <c r="A100" s="112"/>
      <c r="B100" s="1190"/>
      <c r="C100" s="124"/>
      <c r="D100" s="124"/>
      <c r="E100" s="124"/>
      <c r="F100" s="124"/>
      <c r="G100" s="124"/>
      <c r="H100" s="124"/>
      <c r="I100" s="124"/>
      <c r="J100" s="124"/>
      <c r="K100" s="124"/>
      <c r="L100" s="124"/>
      <c r="M100" s="124"/>
      <c r="N100" s="112"/>
      <c r="O100" s="112"/>
      <c r="P100" s="128"/>
      <c r="Q100" s="112"/>
      <c r="R100" s="1566"/>
    </row>
    <row r="101" spans="1:18" ht="15.75">
      <c r="A101" s="112"/>
      <c r="B101" s="1190"/>
      <c r="C101" s="124"/>
      <c r="D101" s="124"/>
      <c r="E101" s="124"/>
      <c r="F101" s="1214" t="s">
        <v>2593</v>
      </c>
      <c r="G101" s="124"/>
      <c r="H101" s="1133">
        <f>N95</f>
        <v>0</v>
      </c>
      <c r="I101" s="1212" t="s">
        <v>586</v>
      </c>
      <c r="J101" s="1215" t="s">
        <v>2594</v>
      </c>
      <c r="K101" s="124"/>
      <c r="L101" s="1201">
        <f>N57</f>
        <v>0</v>
      </c>
      <c r="M101" s="1195" t="s">
        <v>393</v>
      </c>
      <c r="N101" s="1202">
        <f>H101*L101/(L102+0.00001)</f>
        <v>0</v>
      </c>
      <c r="O101" s="1211" t="s">
        <v>394</v>
      </c>
      <c r="P101" s="128"/>
      <c r="Q101" s="112"/>
      <c r="R101" s="1566"/>
    </row>
    <row r="102" spans="1:18" ht="15">
      <c r="A102" s="112"/>
      <c r="B102" s="1190"/>
      <c r="C102" s="124"/>
      <c r="D102" s="124"/>
      <c r="E102" s="124"/>
      <c r="F102" s="124"/>
      <c r="G102" s="124"/>
      <c r="H102" s="124"/>
      <c r="I102" s="124"/>
      <c r="J102" s="955" t="s">
        <v>1211</v>
      </c>
      <c r="K102" s="124"/>
      <c r="L102" s="1213">
        <f>N38</f>
        <v>0</v>
      </c>
      <c r="M102" s="124"/>
      <c r="N102" s="112"/>
      <c r="O102" s="112"/>
      <c r="P102" s="128"/>
      <c r="Q102" s="112"/>
      <c r="R102" s="1566"/>
    </row>
    <row r="103" spans="1:18" ht="15">
      <c r="A103" s="112"/>
      <c r="B103" s="1190"/>
      <c r="C103" s="124"/>
      <c r="D103" s="124"/>
      <c r="E103" s="124"/>
      <c r="F103" s="124"/>
      <c r="G103" s="124"/>
      <c r="H103" s="124"/>
      <c r="I103" s="124"/>
      <c r="J103" s="124"/>
      <c r="K103" s="124"/>
      <c r="L103" s="124"/>
      <c r="M103" s="124"/>
      <c r="N103" s="112"/>
      <c r="O103" s="112"/>
      <c r="P103" s="128"/>
      <c r="Q103" s="112"/>
      <c r="R103" s="1566"/>
    </row>
    <row r="104" spans="1:18" ht="15.75">
      <c r="A104" s="112"/>
      <c r="B104" s="1190"/>
      <c r="C104" s="124" t="s">
        <v>2297</v>
      </c>
      <c r="D104" s="124"/>
      <c r="E104" s="124"/>
      <c r="F104" s="124"/>
      <c r="G104" s="124"/>
      <c r="H104" s="124"/>
      <c r="I104" s="124"/>
      <c r="J104" s="124"/>
      <c r="K104" s="124"/>
      <c r="L104" s="124"/>
      <c r="M104" s="124"/>
      <c r="N104" s="112"/>
      <c r="O104" s="112"/>
      <c r="P104" s="128"/>
      <c r="Q104" s="112"/>
      <c r="R104" s="1566"/>
    </row>
    <row r="105" spans="1:18" ht="15">
      <c r="A105" s="112"/>
      <c r="B105" s="1190"/>
      <c r="C105" s="124" t="s">
        <v>395</v>
      </c>
      <c r="D105" s="124"/>
      <c r="E105" s="124"/>
      <c r="F105" s="124"/>
      <c r="G105" s="124"/>
      <c r="H105" s="124"/>
      <c r="I105" s="124"/>
      <c r="J105" s="124"/>
      <c r="K105" s="124"/>
      <c r="L105" s="124"/>
      <c r="M105" s="124"/>
      <c r="N105" s="112"/>
      <c r="O105" s="112"/>
      <c r="P105" s="128"/>
      <c r="Q105" s="112"/>
      <c r="R105" s="1566"/>
    </row>
    <row r="106" spans="1:18" ht="15">
      <c r="A106" s="112"/>
      <c r="B106" s="1190"/>
      <c r="C106" s="124"/>
      <c r="D106" s="124"/>
      <c r="E106" s="124"/>
      <c r="F106" s="124"/>
      <c r="G106" s="124"/>
      <c r="H106" s="124"/>
      <c r="I106" s="124"/>
      <c r="J106" s="124"/>
      <c r="K106" s="124"/>
      <c r="L106" s="124"/>
      <c r="M106" s="124"/>
      <c r="N106" s="112"/>
      <c r="O106" s="112"/>
      <c r="P106" s="128"/>
      <c r="Q106" s="112"/>
      <c r="R106" s="1566"/>
    </row>
    <row r="107" spans="1:18" ht="15.75">
      <c r="A107" s="112"/>
      <c r="B107" s="1190"/>
      <c r="C107" s="124" t="s">
        <v>2298</v>
      </c>
      <c r="D107" s="124"/>
      <c r="E107" s="124"/>
      <c r="F107" s="124"/>
      <c r="G107" s="124"/>
      <c r="H107" s="124"/>
      <c r="I107" s="124"/>
      <c r="J107" s="124"/>
      <c r="K107" s="124"/>
      <c r="L107" s="124"/>
      <c r="M107" s="124"/>
      <c r="N107" s="112"/>
      <c r="O107" s="112"/>
      <c r="P107" s="128"/>
      <c r="Q107" s="112"/>
      <c r="R107" s="1566"/>
    </row>
    <row r="108" spans="1:18" ht="15">
      <c r="A108" s="112"/>
      <c r="B108" s="1190"/>
      <c r="C108" s="124" t="s">
        <v>396</v>
      </c>
      <c r="D108" s="124"/>
      <c r="E108" s="124"/>
      <c r="F108" s="124"/>
      <c r="G108" s="124"/>
      <c r="H108" s="124"/>
      <c r="I108" s="124"/>
      <c r="J108" s="124"/>
      <c r="K108" s="124"/>
      <c r="L108" s="124"/>
      <c r="M108" s="124"/>
      <c r="N108" s="112"/>
      <c r="O108" s="112"/>
      <c r="P108" s="128"/>
      <c r="Q108" s="112"/>
      <c r="R108" s="1566"/>
    </row>
    <row r="109" spans="1:18" ht="15.75">
      <c r="A109" s="112"/>
      <c r="B109" s="1199"/>
      <c r="C109" s="125"/>
      <c r="D109" s="125"/>
      <c r="E109" s="125"/>
      <c r="F109" s="125"/>
      <c r="G109" s="125"/>
      <c r="H109" s="125"/>
      <c r="I109" s="125"/>
      <c r="J109" s="125"/>
      <c r="K109" s="125"/>
      <c r="L109" s="125"/>
      <c r="M109" s="125"/>
      <c r="N109" s="1206"/>
      <c r="O109" s="125"/>
      <c r="P109" s="129"/>
      <c r="Q109" s="112"/>
      <c r="R109" s="1566"/>
    </row>
    <row r="110" spans="1:18" ht="15">
      <c r="A110" s="112"/>
      <c r="B110" s="112"/>
      <c r="C110" s="112"/>
      <c r="D110" s="112"/>
      <c r="E110" s="112"/>
      <c r="F110" s="112"/>
      <c r="G110" s="112"/>
      <c r="H110" s="112"/>
      <c r="I110" s="112"/>
      <c r="J110" s="112"/>
      <c r="K110" s="112"/>
      <c r="L110" s="112"/>
      <c r="M110" s="112"/>
      <c r="N110" s="112"/>
      <c r="O110" s="112"/>
      <c r="P110" s="112"/>
      <c r="Q110" s="112"/>
      <c r="R110" s="1566"/>
    </row>
    <row r="111" spans="1:18" ht="20.25">
      <c r="A111" s="112"/>
      <c r="B111" s="1189"/>
      <c r="C111" s="1196" t="s">
        <v>397</v>
      </c>
      <c r="D111" s="1075"/>
      <c r="E111" s="1075"/>
      <c r="F111" s="1075"/>
      <c r="G111" s="1075"/>
      <c r="H111" s="1075"/>
      <c r="I111" s="1075"/>
      <c r="J111" s="1075"/>
      <c r="K111" s="1075"/>
      <c r="L111" s="1075"/>
      <c r="M111" s="1075"/>
      <c r="N111" s="1075"/>
      <c r="O111" s="1075"/>
      <c r="P111" s="1197"/>
      <c r="Q111" s="112"/>
      <c r="R111" s="1566"/>
    </row>
    <row r="112" spans="1:18" ht="6" customHeight="1">
      <c r="A112" s="112"/>
      <c r="B112" s="1190"/>
      <c r="C112" s="124"/>
      <c r="D112" s="124"/>
      <c r="E112" s="124"/>
      <c r="F112" s="124"/>
      <c r="G112" s="124"/>
      <c r="H112" s="124"/>
      <c r="I112" s="124"/>
      <c r="J112" s="124"/>
      <c r="K112" s="124"/>
      <c r="L112" s="124"/>
      <c r="M112" s="124"/>
      <c r="N112" s="112"/>
      <c r="O112" s="112"/>
      <c r="P112" s="128"/>
      <c r="Q112" s="112"/>
      <c r="R112" s="1566"/>
    </row>
    <row r="113" spans="1:18" ht="15.75">
      <c r="A113" s="112"/>
      <c r="B113" s="1190"/>
      <c r="C113" s="124" t="s">
        <v>2299</v>
      </c>
      <c r="D113" s="124"/>
      <c r="E113" s="124"/>
      <c r="F113" s="124"/>
      <c r="G113" s="124"/>
      <c r="H113" s="124"/>
      <c r="I113" s="124"/>
      <c r="J113" s="124"/>
      <c r="K113" s="124"/>
      <c r="L113" s="124"/>
      <c r="M113" s="124"/>
      <c r="N113" s="112"/>
      <c r="O113" s="112"/>
      <c r="P113" s="128"/>
      <c r="Q113" s="112"/>
      <c r="R113" s="1566"/>
    </row>
    <row r="114" spans="1:18" ht="15">
      <c r="A114" s="112"/>
      <c r="B114" s="1190"/>
      <c r="C114" s="124" t="s">
        <v>2300</v>
      </c>
      <c r="D114" s="124"/>
      <c r="E114" s="124"/>
      <c r="F114" s="124"/>
      <c r="G114" s="124"/>
      <c r="H114" s="124"/>
      <c r="I114" s="124"/>
      <c r="J114" s="124"/>
      <c r="K114" s="124"/>
      <c r="L114" s="124"/>
      <c r="M114" s="124"/>
      <c r="N114" s="112"/>
      <c r="O114" s="112"/>
      <c r="P114" s="128"/>
      <c r="Q114" s="112"/>
      <c r="R114" s="1566"/>
    </row>
    <row r="115" spans="1:18" ht="15">
      <c r="A115" s="112"/>
      <c r="B115" s="1190"/>
      <c r="C115" s="124" t="str">
        <f>"for the "&amp;year&amp;" tax year. We accept that we will be jointly and severally liable for any amounts of tax, interest and penalties that may"</f>
        <v>for the 2009 tax year. We accept that we will be jointly and severally liable for any amounts of tax, interest and penalties that may</v>
      </c>
      <c r="D115" s="124"/>
      <c r="E115" s="124"/>
      <c r="F115" s="124"/>
      <c r="G115" s="124"/>
      <c r="H115" s="124"/>
      <c r="I115" s="124"/>
      <c r="J115" s="124"/>
      <c r="K115" s="124"/>
      <c r="L115" s="124"/>
      <c r="M115" s="124"/>
      <c r="N115" s="112"/>
      <c r="O115" s="112"/>
      <c r="P115" s="128"/>
      <c r="Q115" s="112"/>
      <c r="R115" s="1566"/>
    </row>
    <row r="116" spans="1:18" ht="15">
      <c r="A116" s="112"/>
      <c r="B116" s="1190"/>
      <c r="C116" s="124" t="s">
        <v>2301</v>
      </c>
      <c r="D116" s="124"/>
      <c r="E116" s="124"/>
      <c r="F116" s="124"/>
      <c r="G116" s="124"/>
      <c r="H116" s="124"/>
      <c r="I116" s="124"/>
      <c r="J116" s="124"/>
      <c r="K116" s="124"/>
      <c r="L116" s="124"/>
      <c r="M116" s="124"/>
      <c r="N116" s="112"/>
      <c r="O116" s="112"/>
      <c r="P116" s="128"/>
      <c r="Q116" s="112"/>
      <c r="R116" s="1566"/>
    </row>
    <row r="117" spans="1:18" ht="15">
      <c r="A117" s="112"/>
      <c r="B117" s="1190"/>
      <c r="C117" s="124"/>
      <c r="D117" s="124"/>
      <c r="E117" s="124"/>
      <c r="F117" s="124"/>
      <c r="G117" s="124"/>
      <c r="H117" s="124"/>
      <c r="I117" s="124"/>
      <c r="J117" s="124"/>
      <c r="K117" s="124"/>
      <c r="L117" s="124"/>
      <c r="M117" s="124"/>
      <c r="N117" s="112"/>
      <c r="O117" s="112"/>
      <c r="P117" s="128"/>
      <c r="Q117" s="112"/>
      <c r="R117" s="1566"/>
    </row>
    <row r="118" spans="1:18" ht="21" customHeight="1">
      <c r="A118" s="112"/>
      <c r="B118" s="1190"/>
      <c r="C118" s="1447" t="s">
        <v>153</v>
      </c>
      <c r="D118" s="1822"/>
      <c r="E118" s="1822"/>
      <c r="F118" s="1822"/>
      <c r="G118" s="1822"/>
      <c r="H118" s="1822"/>
      <c r="I118" s="1822"/>
      <c r="J118" s="1822"/>
      <c r="K118" s="1822"/>
      <c r="L118" s="1679"/>
      <c r="M118" s="124" t="s">
        <v>399</v>
      </c>
      <c r="N118" s="1216"/>
      <c r="O118" s="112"/>
      <c r="P118" s="128"/>
      <c r="Q118" s="112"/>
      <c r="R118" s="1566"/>
    </row>
    <row r="119" spans="1:18" ht="15.75">
      <c r="A119" s="112"/>
      <c r="B119" s="1190"/>
      <c r="C119" s="124"/>
      <c r="D119" s="124"/>
      <c r="E119" s="124"/>
      <c r="F119" s="124"/>
      <c r="G119" s="124"/>
      <c r="H119" s="1207" t="s">
        <v>398</v>
      </c>
      <c r="I119" s="124"/>
      <c r="J119" s="124"/>
      <c r="K119" s="124"/>
      <c r="L119" s="124"/>
      <c r="M119" s="124"/>
      <c r="N119" s="112"/>
      <c r="O119" s="112"/>
      <c r="P119" s="128"/>
      <c r="Q119" s="112"/>
      <c r="R119" s="1566"/>
    </row>
    <row r="120" spans="1:18" ht="15">
      <c r="A120" s="112"/>
      <c r="B120" s="1190"/>
      <c r="C120" s="124"/>
      <c r="D120" s="124"/>
      <c r="E120" s="124"/>
      <c r="F120" s="124"/>
      <c r="G120" s="124"/>
      <c r="H120" s="124"/>
      <c r="I120" s="124"/>
      <c r="J120" s="124"/>
      <c r="K120" s="124"/>
      <c r="L120" s="124"/>
      <c r="M120" s="124"/>
      <c r="N120" s="112"/>
      <c r="O120" s="112"/>
      <c r="P120" s="128"/>
      <c r="Q120" s="112"/>
      <c r="R120" s="1566"/>
    </row>
    <row r="121" spans="1:18" ht="21" customHeight="1">
      <c r="A121" s="112"/>
      <c r="B121" s="1190"/>
      <c r="C121" s="955" t="s">
        <v>402</v>
      </c>
      <c r="D121" s="124"/>
      <c r="E121" s="124"/>
      <c r="F121" s="124"/>
      <c r="G121" s="124"/>
      <c r="H121" s="1822"/>
      <c r="I121" s="1822"/>
      <c r="J121" s="1822"/>
      <c r="K121" s="1822"/>
      <c r="L121" s="1822"/>
      <c r="M121" s="124" t="s">
        <v>399</v>
      </c>
      <c r="N121" s="1216"/>
      <c r="O121" s="112"/>
      <c r="P121" s="128"/>
      <c r="Q121" s="112"/>
      <c r="R121" s="1566"/>
    </row>
    <row r="122" spans="1:18" ht="15.75">
      <c r="A122" s="112"/>
      <c r="B122" s="1190"/>
      <c r="C122" s="124"/>
      <c r="D122" s="124"/>
      <c r="E122" s="124"/>
      <c r="F122" s="124"/>
      <c r="G122" s="124"/>
      <c r="H122" s="124"/>
      <c r="I122" s="124"/>
      <c r="J122" s="1207" t="s">
        <v>401</v>
      </c>
      <c r="K122" s="124"/>
      <c r="L122" s="124"/>
      <c r="M122" s="124"/>
      <c r="N122" s="112"/>
      <c r="O122" s="112"/>
      <c r="P122" s="128"/>
      <c r="Q122" s="112"/>
      <c r="R122" s="1566"/>
    </row>
    <row r="123" spans="1:18" ht="15">
      <c r="A123" s="112"/>
      <c r="B123" s="1190"/>
      <c r="C123" s="124"/>
      <c r="D123" s="124"/>
      <c r="E123" s="124"/>
      <c r="F123" s="124"/>
      <c r="G123" s="124"/>
      <c r="H123" s="124"/>
      <c r="I123" s="124"/>
      <c r="J123" s="124"/>
      <c r="K123" s="124"/>
      <c r="L123" s="124"/>
      <c r="M123" s="124"/>
      <c r="N123" s="112"/>
      <c r="O123" s="112"/>
      <c r="P123" s="128"/>
      <c r="Q123" s="112"/>
      <c r="R123" s="1566"/>
    </row>
    <row r="124" spans="1:18" ht="15.75">
      <c r="A124" s="112"/>
      <c r="B124" s="1199"/>
      <c r="C124" s="125"/>
      <c r="D124" s="125"/>
      <c r="E124" s="125"/>
      <c r="F124" s="125"/>
      <c r="G124" s="125"/>
      <c r="H124" s="125"/>
      <c r="I124" s="1217" t="s">
        <v>400</v>
      </c>
      <c r="J124" s="125"/>
      <c r="K124" s="125"/>
      <c r="L124" s="125"/>
      <c r="M124" s="125"/>
      <c r="N124" s="1206"/>
      <c r="O124" s="125"/>
      <c r="P124" s="129"/>
      <c r="Q124" s="112"/>
      <c r="R124" s="1566"/>
    </row>
    <row r="126" spans="1:17" ht="30" customHeight="1">
      <c r="A126" s="1339"/>
      <c r="B126" s="1340"/>
      <c r="C126" s="1341" t="s">
        <v>2438</v>
      </c>
      <c r="D126" s="1342"/>
      <c r="E126" s="1342"/>
      <c r="F126" s="1342"/>
      <c r="G126" s="1342"/>
      <c r="H126" s="1342"/>
      <c r="I126" s="1342"/>
      <c r="J126" s="1342"/>
      <c r="K126" s="1342"/>
      <c r="L126" s="1342"/>
      <c r="M126" s="1342"/>
      <c r="N126" s="1342"/>
      <c r="O126" s="1342"/>
      <c r="P126" s="1343"/>
      <c r="Q126" s="1339"/>
    </row>
    <row r="127" spans="1:17" ht="20.25">
      <c r="A127" s="1339"/>
      <c r="B127" s="1344"/>
      <c r="C127" s="1361" t="s">
        <v>2437</v>
      </c>
      <c r="D127" s="1345"/>
      <c r="E127" s="1345"/>
      <c r="F127" s="1345"/>
      <c r="G127" s="1345"/>
      <c r="H127" s="1345"/>
      <c r="I127" s="1345"/>
      <c r="J127" s="1345"/>
      <c r="K127" s="1345"/>
      <c r="L127" s="1345"/>
      <c r="M127" s="1345"/>
      <c r="N127" s="1345"/>
      <c r="O127" s="1345"/>
      <c r="P127" s="1346"/>
      <c r="Q127" s="1339"/>
    </row>
    <row r="128" spans="1:17" ht="24.75" customHeight="1">
      <c r="A128" s="1339"/>
      <c r="B128" s="1344"/>
      <c r="C128" s="1362" t="s">
        <v>652</v>
      </c>
      <c r="D128" s="1345"/>
      <c r="E128" s="1345"/>
      <c r="F128" s="1345"/>
      <c r="G128" s="1345"/>
      <c r="H128" s="1345"/>
      <c r="I128" s="1345"/>
      <c r="J128" s="1345"/>
      <c r="K128" s="1345"/>
      <c r="L128" s="1345"/>
      <c r="M128" s="1345"/>
      <c r="N128" s="1345"/>
      <c r="O128" s="1345"/>
      <c r="P128" s="1346"/>
      <c r="Q128" s="1339"/>
    </row>
    <row r="129" spans="1:17" ht="15.75">
      <c r="A129" s="1339"/>
      <c r="B129" s="1344"/>
      <c r="C129" s="1345" t="s">
        <v>2432</v>
      </c>
      <c r="D129" s="1345"/>
      <c r="E129" s="1345"/>
      <c r="F129" s="1345"/>
      <c r="G129" s="1345"/>
      <c r="H129" s="1345"/>
      <c r="I129" s="1345"/>
      <c r="J129" s="1345"/>
      <c r="K129" s="1345"/>
      <c r="L129" s="1345"/>
      <c r="M129" s="1345"/>
      <c r="N129" s="1345"/>
      <c r="O129" s="1345"/>
      <c r="P129" s="1346"/>
      <c r="Q129" s="1339"/>
    </row>
    <row r="130" spans="1:17" ht="15.75">
      <c r="A130" s="1339"/>
      <c r="B130" s="1344"/>
      <c r="C130" s="1360" t="s">
        <v>2435</v>
      </c>
      <c r="D130" s="1345"/>
      <c r="E130" s="1345"/>
      <c r="F130" s="1345"/>
      <c r="G130" s="1345"/>
      <c r="H130" s="1345"/>
      <c r="I130" s="1345"/>
      <c r="J130" s="1345"/>
      <c r="K130" s="1345"/>
      <c r="L130" s="1345"/>
      <c r="M130" s="1345"/>
      <c r="N130" s="1345"/>
      <c r="O130" s="1345"/>
      <c r="P130" s="1346"/>
      <c r="Q130" s="1339"/>
    </row>
    <row r="131" spans="1:17" ht="15">
      <c r="A131" s="1339"/>
      <c r="B131" s="1344"/>
      <c r="C131" s="1345" t="s">
        <v>2434</v>
      </c>
      <c r="D131" s="1345"/>
      <c r="E131" s="1345"/>
      <c r="F131" s="1345"/>
      <c r="G131" s="1345"/>
      <c r="H131" s="1345"/>
      <c r="I131" s="1345"/>
      <c r="J131" s="1345"/>
      <c r="K131" s="1345"/>
      <c r="L131" s="1345"/>
      <c r="M131" s="1345"/>
      <c r="N131" s="1345"/>
      <c r="O131" s="1345"/>
      <c r="P131" s="1346"/>
      <c r="Q131" s="1339"/>
    </row>
    <row r="132" spans="1:17" ht="15">
      <c r="A132" s="1339"/>
      <c r="B132" s="1344"/>
      <c r="C132" s="1345"/>
      <c r="D132" s="1345"/>
      <c r="E132" s="1345"/>
      <c r="F132" s="1345"/>
      <c r="G132" s="1345"/>
      <c r="H132" s="1345"/>
      <c r="I132" s="1345"/>
      <c r="J132" s="1345"/>
      <c r="K132" s="1345"/>
      <c r="L132" s="1345"/>
      <c r="M132" s="1345"/>
      <c r="N132" s="1345"/>
      <c r="O132" s="1345"/>
      <c r="P132" s="1346"/>
      <c r="Q132" s="1339"/>
    </row>
    <row r="133" spans="1:17" ht="15">
      <c r="A133" s="1339"/>
      <c r="B133" s="1344"/>
      <c r="C133" s="1345"/>
      <c r="D133" s="1345"/>
      <c r="E133" s="1345"/>
      <c r="F133" s="1345"/>
      <c r="G133" s="1345"/>
      <c r="H133" s="1345"/>
      <c r="I133" s="1345"/>
      <c r="J133" s="1345"/>
      <c r="K133" s="1345"/>
      <c r="L133" s="1345"/>
      <c r="M133" s="1345"/>
      <c r="N133" s="1345"/>
      <c r="O133" s="1345"/>
      <c r="P133" s="1346"/>
      <c r="Q133" s="1339"/>
    </row>
    <row r="134" spans="1:17" ht="15.75">
      <c r="A134" s="1339"/>
      <c r="B134" s="1344"/>
      <c r="C134" s="1345" t="s">
        <v>2427</v>
      </c>
      <c r="D134" s="1345"/>
      <c r="E134" s="1345"/>
      <c r="F134" s="1345"/>
      <c r="G134" s="1345"/>
      <c r="H134" s="1345"/>
      <c r="I134" s="1357"/>
      <c r="J134" s="1357"/>
      <c r="K134" s="1357"/>
      <c r="L134" s="1357"/>
      <c r="M134" s="1345"/>
      <c r="N134" s="1210">
        <v>0</v>
      </c>
      <c r="O134" s="1351"/>
      <c r="P134" s="1346"/>
      <c r="Q134" s="1339"/>
    </row>
    <row r="135" spans="1:17" ht="15">
      <c r="A135" s="1339"/>
      <c r="B135" s="1344"/>
      <c r="C135" s="1347" t="s">
        <v>2433</v>
      </c>
      <c r="D135" s="1345"/>
      <c r="E135" s="1345"/>
      <c r="F135" s="1345"/>
      <c r="G135" s="1345"/>
      <c r="H135" s="1345"/>
      <c r="I135" s="1345"/>
      <c r="J135" s="1345"/>
      <c r="K135" s="1345"/>
      <c r="L135" s="1348"/>
      <c r="M135" s="1345"/>
      <c r="N135" s="1345"/>
      <c r="O135" s="1345"/>
      <c r="P135" s="1346"/>
      <c r="Q135" s="1339"/>
    </row>
    <row r="136" spans="1:17" ht="15">
      <c r="A136" s="1339"/>
      <c r="B136" s="1344"/>
      <c r="C136" s="1345"/>
      <c r="D136" s="1345"/>
      <c r="E136" s="1345"/>
      <c r="F136" s="1345"/>
      <c r="G136" s="1345"/>
      <c r="H136" s="1345"/>
      <c r="I136" s="1345"/>
      <c r="J136" s="1345"/>
      <c r="K136" s="1345"/>
      <c r="L136" s="1345"/>
      <c r="M136" s="1345"/>
      <c r="N136" s="1345"/>
      <c r="O136" s="1345"/>
      <c r="P136" s="1346"/>
      <c r="Q136" s="1339"/>
    </row>
    <row r="137" spans="1:17" ht="15.75">
      <c r="A137" s="1339"/>
      <c r="B137" s="1344"/>
      <c r="C137" s="1345" t="s">
        <v>2428</v>
      </c>
      <c r="D137" s="1345"/>
      <c r="E137" s="1345"/>
      <c r="F137" s="1345"/>
      <c r="G137" s="1345"/>
      <c r="H137" s="1345"/>
      <c r="I137" s="1357"/>
      <c r="J137" s="1357"/>
      <c r="K137" s="1357"/>
      <c r="L137" s="1358"/>
      <c r="M137" s="1345"/>
      <c r="N137" s="1210">
        <v>0</v>
      </c>
      <c r="O137" s="1351"/>
      <c r="P137" s="1346"/>
      <c r="Q137" s="1339"/>
    </row>
    <row r="138" spans="1:17" ht="15">
      <c r="A138" s="1339"/>
      <c r="B138" s="1344"/>
      <c r="C138" s="1347" t="s">
        <v>2430</v>
      </c>
      <c r="D138" s="1345"/>
      <c r="E138" s="1345"/>
      <c r="F138" s="1345"/>
      <c r="G138" s="1345"/>
      <c r="H138" s="1345"/>
      <c r="I138" s="1359"/>
      <c r="J138" s="1359"/>
      <c r="K138" s="1359"/>
      <c r="L138" s="1359"/>
      <c r="M138" s="1345"/>
      <c r="N138" s="1356">
        <f>MIN(2000,N137+0)</f>
        <v>0</v>
      </c>
      <c r="O138" s="1345"/>
      <c r="P138" s="1346"/>
      <c r="Q138" s="1339"/>
    </row>
    <row r="139" spans="1:17" ht="15">
      <c r="A139" s="1339"/>
      <c r="B139" s="1344"/>
      <c r="C139" s="1345"/>
      <c r="D139" s="1345"/>
      <c r="E139" s="1345"/>
      <c r="F139" s="1345"/>
      <c r="G139" s="1345"/>
      <c r="H139" s="1345"/>
      <c r="I139" s="1345"/>
      <c r="J139" s="1345"/>
      <c r="K139" s="1345"/>
      <c r="L139" s="1345"/>
      <c r="M139" s="1345"/>
      <c r="N139" s="1345"/>
      <c r="O139" s="1345"/>
      <c r="P139" s="1346"/>
      <c r="Q139" s="1339"/>
    </row>
    <row r="140" spans="1:17" ht="15.75">
      <c r="A140" s="1339"/>
      <c r="B140" s="1344"/>
      <c r="C140" s="1345" t="s">
        <v>2429</v>
      </c>
      <c r="D140" s="1345"/>
      <c r="E140" s="1345"/>
      <c r="F140" s="1345"/>
      <c r="G140" s="1345"/>
      <c r="H140" s="1345"/>
      <c r="I140" s="1357"/>
      <c r="J140" s="1357"/>
      <c r="K140" s="1357"/>
      <c r="L140" s="1357"/>
      <c r="M140" s="1345"/>
      <c r="N140" s="1210">
        <v>0</v>
      </c>
      <c r="O140" s="1351"/>
      <c r="P140" s="1346"/>
      <c r="Q140" s="1339"/>
    </row>
    <row r="141" spans="1:17" ht="15">
      <c r="A141" s="1339"/>
      <c r="B141" s="1344"/>
      <c r="C141" s="1347" t="s">
        <v>2431</v>
      </c>
      <c r="D141" s="1345"/>
      <c r="E141" s="1345"/>
      <c r="F141" s="1345"/>
      <c r="G141" s="1345"/>
      <c r="H141" s="1345"/>
      <c r="I141" s="1345"/>
      <c r="J141" s="1345"/>
      <c r="K141" s="1345"/>
      <c r="L141" s="1345"/>
      <c r="M141" s="1345"/>
      <c r="N141" s="1345"/>
      <c r="O141" s="1345"/>
      <c r="P141" s="1346"/>
      <c r="Q141" s="1339"/>
    </row>
    <row r="142" spans="1:17" ht="15">
      <c r="A142" s="1339"/>
      <c r="B142" s="1344"/>
      <c r="C142" s="1347"/>
      <c r="D142" s="1345"/>
      <c r="E142" s="1345"/>
      <c r="F142" s="1345"/>
      <c r="G142" s="1345"/>
      <c r="H142" s="1345"/>
      <c r="I142" s="1345"/>
      <c r="J142" s="1345"/>
      <c r="K142" s="1345"/>
      <c r="L142" s="1345"/>
      <c r="M142" s="1345"/>
      <c r="N142" s="1345"/>
      <c r="O142" s="1345"/>
      <c r="P142" s="1346"/>
      <c r="Q142" s="1339"/>
    </row>
    <row r="143" spans="1:17" ht="28.5" customHeight="1">
      <c r="A143" s="1339"/>
      <c r="B143" s="1349"/>
      <c r="C143" s="1353" t="s">
        <v>2436</v>
      </c>
      <c r="D143" s="1350"/>
      <c r="E143" s="1350"/>
      <c r="F143" s="1350"/>
      <c r="G143" s="1350"/>
      <c r="H143" s="1350"/>
      <c r="I143" s="1350"/>
      <c r="J143" s="1350"/>
      <c r="K143" s="1350"/>
      <c r="L143" s="1350"/>
      <c r="M143" s="1350"/>
      <c r="N143" s="1350"/>
      <c r="O143" s="1350"/>
      <c r="P143" s="1352"/>
      <c r="Q143" s="1339"/>
    </row>
    <row r="144" spans="1:17" ht="15">
      <c r="A144" s="1339"/>
      <c r="B144" s="1339"/>
      <c r="C144" s="1339"/>
      <c r="D144" s="1339"/>
      <c r="E144" s="1339"/>
      <c r="F144" s="1339"/>
      <c r="G144" s="1339"/>
      <c r="H144" s="1339"/>
      <c r="I144" s="1339"/>
      <c r="J144" s="1339"/>
      <c r="K144" s="1339"/>
      <c r="L144" s="1339"/>
      <c r="M144" s="1339"/>
      <c r="N144" s="1339"/>
      <c r="O144" s="1339"/>
      <c r="P144" s="1339"/>
      <c r="Q144" s="1339"/>
    </row>
  </sheetData>
  <sheetProtection password="EC35" sheet="1" objects="1" scenarios="1"/>
  <mergeCells count="13">
    <mergeCell ref="N30:O30"/>
    <mergeCell ref="D32:O32"/>
    <mergeCell ref="J23:L23"/>
    <mergeCell ref="D23:H23"/>
    <mergeCell ref="N23:O23"/>
    <mergeCell ref="D25:O25"/>
    <mergeCell ref="H121:L121"/>
    <mergeCell ref="R1:R124"/>
    <mergeCell ref="C45:D45"/>
    <mergeCell ref="C46:D46"/>
    <mergeCell ref="D118:L118"/>
    <mergeCell ref="D30:H30"/>
    <mergeCell ref="J30:L30"/>
  </mergeCells>
  <printOptions horizontalCentered="1"/>
  <pageMargins left="0" right="0" top="0" bottom="0" header="0" footer="0.5"/>
  <pageSetup fitToHeight="0" fitToWidth="1" horizontalDpi="600" verticalDpi="600" orientation="portrait" scale="73" r:id="rId4"/>
  <rowBreaks count="2" manualBreakCount="2">
    <brk id="62" max="255" man="1"/>
    <brk id="124" max="16" man="1"/>
  </rowBreaks>
  <drawing r:id="rId3"/>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selection activeCell="A1" sqref="A1"/>
    </sheetView>
  </sheetViews>
  <sheetFormatPr defaultColWidth="7.10546875" defaultRowHeight="15"/>
  <cols>
    <col min="1" max="1" width="2.10546875" style="382" customWidth="1"/>
    <col min="2" max="2" width="0.9921875" style="382" customWidth="1"/>
    <col min="3" max="3" width="7.10546875" style="382" customWidth="1"/>
    <col min="4" max="4" width="16.77734375" style="382" customWidth="1"/>
    <col min="5" max="5" width="17.77734375" style="382" customWidth="1"/>
    <col min="6" max="6" width="16.77734375" style="382" customWidth="1"/>
    <col min="7" max="7" width="9.10546875" style="382" customWidth="1"/>
    <col min="8" max="8" width="2.88671875" style="382" customWidth="1"/>
    <col min="9" max="9" width="9.10546875" style="382" customWidth="1"/>
    <col min="10" max="10" width="2.77734375" style="382" customWidth="1"/>
    <col min="11" max="11" width="2.10546875" style="382" customWidth="1"/>
    <col min="12" max="12" width="7.10546875" style="382" customWidth="1"/>
    <col min="13" max="13" width="2.77734375" style="382" customWidth="1"/>
    <col min="14" max="16384" width="7.10546875" style="382" customWidth="1"/>
  </cols>
  <sheetData>
    <row r="1" spans="1:12" ht="15" customHeight="1">
      <c r="A1" s="378"/>
      <c r="C1" s="380"/>
      <c r="D1" s="842" t="s">
        <v>2397</v>
      </c>
      <c r="E1" s="572"/>
      <c r="F1" s="380"/>
      <c r="G1" s="380"/>
      <c r="H1" s="380"/>
      <c r="I1" s="840" t="str">
        <f>"Employee Overpayment of "&amp;yeartext&amp;" Canada Pension Plan"</f>
        <v>Employee Overpayment of 2009 Canada Pension Plan</v>
      </c>
      <c r="J1" s="380"/>
      <c r="K1" s="380"/>
      <c r="L1" s="1087" t="s">
        <v>35</v>
      </c>
    </row>
    <row r="2" spans="1:12" ht="16.5" customHeight="1">
      <c r="A2" s="378"/>
      <c r="C2" s="380"/>
      <c r="D2" s="841" t="s">
        <v>2398</v>
      </c>
      <c r="E2" s="572"/>
      <c r="F2" s="380"/>
      <c r="G2" s="380"/>
      <c r="H2" s="380"/>
      <c r="I2" s="840" t="str">
        <f>"Contributions and "&amp;yeartext&amp;" Employment Insurance Premiums"</f>
        <v>Contributions and 2009 Employment Insurance Premiums</v>
      </c>
      <c r="J2" s="380"/>
      <c r="K2" s="380"/>
      <c r="L2" s="1087"/>
    </row>
    <row r="3" spans="1:12" ht="18">
      <c r="A3" s="378"/>
      <c r="B3" s="383"/>
      <c r="C3" s="380"/>
      <c r="D3" s="52"/>
      <c r="E3" s="52"/>
      <c r="F3" s="380"/>
      <c r="G3" s="380"/>
      <c r="H3" s="380"/>
      <c r="I3" s="380"/>
      <c r="J3" s="380"/>
      <c r="K3" s="380"/>
      <c r="L3" s="1087"/>
    </row>
    <row r="4" spans="1:12" ht="16.5" customHeight="1">
      <c r="A4" s="381"/>
      <c r="B4" s="380" t="s">
        <v>2541</v>
      </c>
      <c r="C4" s="380"/>
      <c r="D4" s="52"/>
      <c r="E4" s="52"/>
      <c r="F4" s="380"/>
      <c r="G4" s="380"/>
      <c r="H4" s="380"/>
      <c r="I4" s="380"/>
      <c r="J4" s="380"/>
      <c r="K4" s="380"/>
      <c r="L4" s="1087"/>
    </row>
    <row r="5" spans="1:12" ht="12" customHeight="1">
      <c r="A5" s="381"/>
      <c r="B5" s="380" t="str">
        <f>"made through employment if you had no self-employment earnings and you were not a resident of Quebec on December 31, "&amp;yeartext&amp;"."</f>
        <v>made through employment if you had no self-employment earnings and you were not a resident of Quebec on December 31, 2009.</v>
      </c>
      <c r="C5" s="380"/>
      <c r="D5" s="52"/>
      <c r="E5" s="52"/>
      <c r="F5" s="380"/>
      <c r="G5" s="380"/>
      <c r="H5" s="380"/>
      <c r="I5" s="380"/>
      <c r="J5" s="380"/>
      <c r="K5" s="380"/>
      <c r="L5" s="1087"/>
    </row>
    <row r="6" spans="1:12" ht="15.75" customHeight="1">
      <c r="A6" s="381"/>
      <c r="B6" s="380" t="str">
        <f>"If however, you worked in Quebec, or you worked in Quebec and in a province other than Quebec in "&amp;yeartext&amp;", and you were either 70 years of"</f>
        <v>If however, you worked in Quebec, or you worked in Quebec and in a province other than Quebec in 2009, and you were either 70 years of</v>
      </c>
      <c r="C6" s="380"/>
      <c r="D6" s="52"/>
      <c r="E6" s="52"/>
      <c r="F6" s="380"/>
      <c r="G6" s="380"/>
      <c r="H6" s="380"/>
      <c r="I6" s="380"/>
      <c r="J6" s="380"/>
      <c r="K6" s="380"/>
      <c r="L6" s="1087"/>
    </row>
    <row r="7" spans="1:12" ht="15.75" customHeight="1">
      <c r="A7" s="381"/>
      <c r="B7" s="380" t="s">
        <v>2542</v>
      </c>
      <c r="C7" s="380"/>
      <c r="D7" s="52"/>
      <c r="E7" s="52"/>
      <c r="F7" s="380"/>
      <c r="G7" s="380"/>
      <c r="H7" s="380"/>
      <c r="I7" s="380"/>
      <c r="J7" s="380"/>
      <c r="K7" s="380"/>
      <c r="L7" s="1087"/>
    </row>
    <row r="8" spans="1:12" ht="12" customHeight="1">
      <c r="A8" s="381"/>
      <c r="B8" s="380" t="s">
        <v>2540</v>
      </c>
      <c r="C8" s="380"/>
      <c r="D8" s="52"/>
      <c r="E8" s="52"/>
      <c r="F8" s="380"/>
      <c r="G8" s="380"/>
      <c r="H8" s="380"/>
      <c r="I8" s="380"/>
      <c r="J8" s="380"/>
      <c r="K8" s="380"/>
      <c r="L8" s="1087"/>
    </row>
    <row r="9" spans="1:12" ht="26.25" customHeight="1">
      <c r="A9" s="381"/>
      <c r="B9" s="1534" t="str">
        <f>" Note: If the individual died in "&amp;yeartext&amp;", complete Section A in Part 1."</f>
        <v> Note: If the individual died in 2009, complete Section A in Part 1.</v>
      </c>
      <c r="C9" s="380"/>
      <c r="D9" s="52"/>
      <c r="E9" s="52"/>
      <c r="F9" s="380"/>
      <c r="G9" s="380"/>
      <c r="H9" s="380"/>
      <c r="I9" s="380"/>
      <c r="J9" s="380"/>
      <c r="K9" s="380"/>
      <c r="L9" s="1087"/>
    </row>
    <row r="10" spans="1:12" ht="12" customHeight="1">
      <c r="A10" s="381"/>
      <c r="B10" s="380" t="str">
        <f>"Do not complete this form if you were a resident of Quebec on December 31, "&amp;yeartext&amp;", and you made CPP or QPP contributions."</f>
        <v>Do not complete this form if you were a resident of Quebec on December 31, 2009, and you made CPP or QPP contributions.</v>
      </c>
      <c r="C10" s="380"/>
      <c r="D10" s="52"/>
      <c r="E10" s="52"/>
      <c r="F10" s="380"/>
      <c r="G10" s="380"/>
      <c r="H10" s="380"/>
      <c r="I10" s="380"/>
      <c r="J10" s="380"/>
      <c r="K10" s="380"/>
      <c r="L10" s="1087"/>
    </row>
    <row r="11" spans="1:12" ht="18" customHeight="1">
      <c r="A11" s="381"/>
      <c r="B11" s="843" t="s">
        <v>2543</v>
      </c>
      <c r="C11" s="843"/>
      <c r="D11" s="52"/>
      <c r="E11" s="52"/>
      <c r="F11" s="380"/>
      <c r="G11" s="380"/>
      <c r="H11" s="380"/>
      <c r="I11" s="380"/>
      <c r="J11" s="380"/>
      <c r="K11" s="380"/>
      <c r="L11" s="1087"/>
    </row>
    <row r="12" spans="1:12" ht="24.75" customHeight="1">
      <c r="A12" s="381"/>
      <c r="B12" s="843" t="s">
        <v>2544</v>
      </c>
      <c r="C12" s="380"/>
      <c r="D12" s="52"/>
      <c r="E12" s="52"/>
      <c r="F12" s="380"/>
      <c r="G12" s="380"/>
      <c r="H12" s="380"/>
      <c r="I12" s="380"/>
      <c r="J12" s="380"/>
      <c r="K12" s="380"/>
      <c r="L12" s="1087"/>
    </row>
    <row r="13" spans="1:13" ht="22.5" customHeight="1">
      <c r="A13" s="378"/>
      <c r="B13" s="1535"/>
      <c r="C13" s="416" t="s">
        <v>1944</v>
      </c>
      <c r="D13" s="1536"/>
      <c r="E13" s="1536"/>
      <c r="F13" s="387"/>
      <c r="G13" s="387"/>
      <c r="H13" s="1555" t="s">
        <v>2578</v>
      </c>
      <c r="I13" s="1556" t="s">
        <v>985</v>
      </c>
      <c r="J13" s="388"/>
      <c r="K13" s="380"/>
      <c r="L13" s="1087"/>
      <c r="M13" s="1136"/>
    </row>
    <row r="14" spans="1:16" ht="22.5" customHeight="1">
      <c r="A14" s="378"/>
      <c r="B14" s="1537"/>
      <c r="C14" s="1539" t="s">
        <v>2545</v>
      </c>
      <c r="D14" s="1540" t="s">
        <v>2546</v>
      </c>
      <c r="E14" s="1538"/>
      <c r="F14" s="389"/>
      <c r="G14" s="389"/>
      <c r="H14" s="389"/>
      <c r="I14" s="389"/>
      <c r="J14" s="392"/>
      <c r="K14" s="380"/>
      <c r="L14" s="1087"/>
      <c r="M14" s="1136"/>
      <c r="P14" s="1558"/>
    </row>
    <row r="15" spans="1:13" ht="18">
      <c r="A15" s="378"/>
      <c r="B15" s="390"/>
      <c r="C15" s="409" t="s">
        <v>2548</v>
      </c>
      <c r="D15" s="52"/>
      <c r="E15" s="52"/>
      <c r="F15" s="389"/>
      <c r="G15" s="389"/>
      <c r="H15" s="389"/>
      <c r="I15" s="389"/>
      <c r="J15" s="392"/>
      <c r="K15" s="389"/>
      <c r="L15" s="1087"/>
      <c r="M15" s="946"/>
    </row>
    <row r="16" spans="1:13" ht="12" customHeight="1">
      <c r="A16" s="378"/>
      <c r="B16" s="390"/>
      <c r="C16" s="409" t="s">
        <v>2547</v>
      </c>
      <c r="D16" s="52"/>
      <c r="E16" s="52"/>
      <c r="F16" s="389"/>
      <c r="G16" s="389"/>
      <c r="H16" s="389"/>
      <c r="I16" s="389"/>
      <c r="J16" s="392"/>
      <c r="K16" s="389"/>
      <c r="L16" s="1087"/>
      <c r="M16" s="946"/>
    </row>
    <row r="17" spans="1:13" ht="15" customHeight="1">
      <c r="A17" s="378"/>
      <c r="B17" s="390"/>
      <c r="C17" s="409" t="str">
        <f>"● If throughout "&amp;yeartext&amp;", you were over 70 years of age or you received CPP or QPP retirement pension, enter "&amp;CHAR(34)&amp;"0"&amp;CHAR(34)&amp;" months below."</f>
        <v>● If throughout 2009, you were over 70 years of age or you received CPP or QPP retirement pension, enter "0" months below.</v>
      </c>
      <c r="D17" s="52"/>
      <c r="E17" s="52"/>
      <c r="F17" s="389"/>
      <c r="G17" s="389"/>
      <c r="H17" s="389"/>
      <c r="I17" s="389"/>
      <c r="J17" s="392"/>
      <c r="K17" s="389"/>
      <c r="L17" s="1087"/>
      <c r="M17" s="946"/>
    </row>
    <row r="18" spans="1:12" ht="12" customHeight="1">
      <c r="A18" s="378"/>
      <c r="B18" s="390"/>
      <c r="C18" s="421" t="str">
        <f>"● If you turned 18 years of age in "&amp;yeartext&amp;", use the number of months in the year after the month you turned 18 years of age."</f>
        <v>● If you turned 18 years of age in 2009, use the number of months in the year after the month you turned 18 years of age.</v>
      </c>
      <c r="D18" s="52"/>
      <c r="E18" s="52"/>
      <c r="F18" s="389"/>
      <c r="G18" s="389"/>
      <c r="H18" s="389"/>
      <c r="I18" s="389"/>
      <c r="J18" s="392"/>
      <c r="K18" s="389"/>
      <c r="L18" s="1087"/>
    </row>
    <row r="19" spans="1:12" ht="12" customHeight="1">
      <c r="A19" s="378"/>
      <c r="B19" s="390"/>
      <c r="C19" s="421" t="str">
        <f>"● If you turned 70 years of age in "&amp;yeartext&amp;", use the number of months in the year up to and including the month your turned 70 years of age."</f>
        <v>● If you turned 70 years of age in 2009, use the number of months in the year up to and including the month your turned 70 years of age.</v>
      </c>
      <c r="D19" s="52"/>
      <c r="E19" s="52"/>
      <c r="F19" s="389"/>
      <c r="G19" s="389"/>
      <c r="H19" s="389"/>
      <c r="I19" s="389"/>
      <c r="J19" s="392"/>
      <c r="K19" s="389"/>
      <c r="L19" s="1087"/>
    </row>
    <row r="20" spans="1:12" ht="12" customHeight="1">
      <c r="A20" s="378"/>
      <c r="B20" s="390"/>
      <c r="C20" s="421" t="str">
        <f>"● If you received, or were entitled to receive, a CPP retirement pension, or a CPP or QPP disability pension for part of "&amp;yeartext&amp;", use"</f>
        <v>● If you received, or were entitled to receive, a CPP retirement pension, or a CPP or QPP disability pension for part of 2009, use</v>
      </c>
      <c r="D20" s="52"/>
      <c r="E20" s="52"/>
      <c r="F20" s="389"/>
      <c r="G20" s="389"/>
      <c r="H20" s="389"/>
      <c r="I20" s="389"/>
      <c r="J20" s="392"/>
      <c r="K20" s="389"/>
      <c r="L20" s="1087"/>
    </row>
    <row r="21" spans="1:12" ht="12" customHeight="1">
      <c r="A21" s="378"/>
      <c r="B21" s="390"/>
      <c r="C21" s="389" t="s">
        <v>2549</v>
      </c>
      <c r="D21" s="52"/>
      <c r="E21" s="52"/>
      <c r="F21" s="389"/>
      <c r="G21" s="389"/>
      <c r="H21" s="389"/>
      <c r="I21" s="389"/>
      <c r="J21" s="392"/>
      <c r="K21" s="389"/>
      <c r="L21" s="1087"/>
    </row>
    <row r="22" spans="1:12" ht="13.5" customHeight="1">
      <c r="A22" s="378"/>
      <c r="B22" s="390"/>
      <c r="C22" s="421" t="str">
        <f>"● If the individual died in "&amp;yeartext&amp;", use the number of months in the year up to and including the month the individual died."</f>
        <v>● If the individual died in 2009, use the number of months in the year up to and including the month the individual died.</v>
      </c>
      <c r="D22" s="52"/>
      <c r="E22" s="52"/>
      <c r="F22" s="389"/>
      <c r="G22" s="389"/>
      <c r="H22" s="389"/>
      <c r="I22" s="389"/>
      <c r="J22" s="392"/>
      <c r="K22" s="389"/>
      <c r="L22" s="1087"/>
    </row>
    <row r="23" spans="1:12" ht="6" customHeight="1">
      <c r="A23" s="378"/>
      <c r="B23" s="394"/>
      <c r="C23" s="393"/>
      <c r="D23" s="52"/>
      <c r="E23" s="52"/>
      <c r="F23" s="389"/>
      <c r="G23" s="389"/>
      <c r="H23" s="389"/>
      <c r="I23" s="425">
        <f>IF('T1 GEN-1'!T40=year,'T1 GEN-1'!U40,IF(OR('T1 GEN-1'!T14&gt;year18,'T1 GEN-1'!T14&lt;year70),0,IF(OR('T1 GEN-1'!T14=year18,'T1 GEN-1'!T14=year70),IF('T1 GEN-1'!T14=year18,12-'T1 GEN-1'!U14,'T1 GEN-1'!U14),12)))</f>
        <v>12</v>
      </c>
      <c r="J23" s="392"/>
      <c r="K23" s="389"/>
      <c r="L23" s="1087"/>
    </row>
    <row r="24" spans="1:12" ht="12" customHeight="1">
      <c r="A24" s="378"/>
      <c r="B24" s="390"/>
      <c r="C24" s="389"/>
      <c r="D24" s="52"/>
      <c r="E24" s="52"/>
      <c r="F24" s="389"/>
      <c r="G24" s="395" t="s">
        <v>1009</v>
      </c>
      <c r="H24" s="389"/>
      <c r="I24" s="449">
        <f>nummonths</f>
        <v>12</v>
      </c>
      <c r="J24" s="392"/>
      <c r="K24" s="389"/>
      <c r="L24" s="1087"/>
    </row>
    <row r="25" spans="1:12" ht="18">
      <c r="A25" s="378"/>
      <c r="B25" s="390"/>
      <c r="C25" s="410" t="s">
        <v>1724</v>
      </c>
      <c r="D25" s="534"/>
      <c r="E25" s="534"/>
      <c r="F25" s="410"/>
      <c r="G25" s="1451" t="s">
        <v>2536</v>
      </c>
      <c r="H25" s="389"/>
      <c r="I25" s="423">
        <f>MIN(TRUNC(I24*D51/12,2),MISC!L85)</f>
        <v>0</v>
      </c>
      <c r="J25" s="396">
        <v>1</v>
      </c>
      <c r="K25" s="397"/>
      <c r="L25" s="1087"/>
    </row>
    <row r="26" spans="1:15" ht="16.5" customHeight="1" thickBot="1">
      <c r="A26" s="378"/>
      <c r="B26" s="390"/>
      <c r="C26" s="1452" t="s">
        <v>1725</v>
      </c>
      <c r="D26" s="1453"/>
      <c r="E26" s="1453"/>
      <c r="F26" s="1452"/>
      <c r="G26" s="1454" t="s">
        <v>1726</v>
      </c>
      <c r="H26" s="389"/>
      <c r="I26" s="710">
        <f>ROUNDDOWN(I24*(E51/12),2)</f>
        <v>3500</v>
      </c>
      <c r="J26" s="396">
        <v>2</v>
      </c>
      <c r="K26" s="397"/>
      <c r="L26" s="1087"/>
      <c r="N26" s="709">
        <f>IF(I13="Yes",MIN(I29,I30),0)</f>
        <v>0</v>
      </c>
      <c r="O26" s="382" t="s">
        <v>2581</v>
      </c>
    </row>
    <row r="27" spans="1:15" ht="15" customHeight="1">
      <c r="A27" s="378"/>
      <c r="B27" s="390"/>
      <c r="C27" s="1452" t="s">
        <v>1727</v>
      </c>
      <c r="D27" s="1453"/>
      <c r="E27" s="1453"/>
      <c r="F27" s="1452"/>
      <c r="G27" s="1454" t="s">
        <v>2537</v>
      </c>
      <c r="H27" s="389"/>
      <c r="I27" s="423">
        <f>MAX(0,MIN((I24*F51/12),I25-I26))</f>
        <v>0</v>
      </c>
      <c r="J27" s="396">
        <v>3</v>
      </c>
      <c r="K27" s="397"/>
      <c r="L27" s="1087"/>
      <c r="N27" s="709">
        <f>IF(I55="Yes",MIN(I75,I76),0)</f>
        <v>0</v>
      </c>
      <c r="O27" s="382" t="s">
        <v>2582</v>
      </c>
    </row>
    <row r="28" spans="1:12" ht="6" customHeight="1">
      <c r="A28" s="378"/>
      <c r="B28" s="390"/>
      <c r="C28" s="389"/>
      <c r="D28" s="52"/>
      <c r="E28" s="52"/>
      <c r="F28" s="389"/>
      <c r="G28" s="395"/>
      <c r="H28" s="389"/>
      <c r="I28" s="389"/>
      <c r="J28" s="396"/>
      <c r="K28" s="397"/>
      <c r="L28" s="1087"/>
    </row>
    <row r="29" spans="1:15" ht="12" customHeight="1">
      <c r="A29" s="378"/>
      <c r="B29" s="390"/>
      <c r="C29" s="410" t="s">
        <v>784</v>
      </c>
      <c r="D29" s="534"/>
      <c r="E29" s="534"/>
      <c r="F29" s="410"/>
      <c r="G29" s="410"/>
      <c r="H29" s="389"/>
      <c r="I29" s="423">
        <f>MISC!L86</f>
        <v>0</v>
      </c>
      <c r="J29" s="396">
        <v>4</v>
      </c>
      <c r="K29" s="397"/>
      <c r="L29" s="1087"/>
      <c r="N29" s="709">
        <f>MAX(N26,N27)</f>
        <v>0</v>
      </c>
      <c r="O29" s="382" t="s">
        <v>2584</v>
      </c>
    </row>
    <row r="30" spans="1:15" ht="12" customHeight="1">
      <c r="A30" s="378"/>
      <c r="B30" s="390"/>
      <c r="C30" s="1452" t="s">
        <v>573</v>
      </c>
      <c r="D30" s="1453"/>
      <c r="E30" s="1453"/>
      <c r="F30" s="1452"/>
      <c r="G30" s="1454" t="s">
        <v>2538</v>
      </c>
      <c r="H30" s="389"/>
      <c r="I30" s="423">
        <f>MIN((I24*G51/12),I27*0.0495)</f>
        <v>0</v>
      </c>
      <c r="J30" s="396">
        <v>5</v>
      </c>
      <c r="K30" s="397"/>
      <c r="L30" s="1087"/>
      <c r="O30" s="382" t="s">
        <v>2583</v>
      </c>
    </row>
    <row r="31" spans="1:15" ht="12" customHeight="1">
      <c r="A31" s="378"/>
      <c r="B31" s="390"/>
      <c r="C31" s="1452" t="s">
        <v>111</v>
      </c>
      <c r="D31" s="1455"/>
      <c r="E31" s="1452"/>
      <c r="F31" s="1452"/>
      <c r="G31" s="1456" t="s">
        <v>785</v>
      </c>
      <c r="H31" s="389"/>
      <c r="I31" s="709">
        <f>IF(I13="Yes",I29-I30,0)</f>
        <v>0</v>
      </c>
      <c r="J31" s="396">
        <v>6</v>
      </c>
      <c r="K31" s="397"/>
      <c r="L31" s="1087"/>
      <c r="N31" s="709">
        <f>I31+I77</f>
        <v>0</v>
      </c>
      <c r="O31" s="382" t="s">
        <v>2580</v>
      </c>
    </row>
    <row r="32" spans="1:12" ht="6" customHeight="1">
      <c r="A32" s="378"/>
      <c r="B32" s="390"/>
      <c r="C32" s="389"/>
      <c r="D32" s="391"/>
      <c r="E32" s="389"/>
      <c r="F32" s="399"/>
      <c r="G32" s="398"/>
      <c r="H32" s="389"/>
      <c r="I32" s="400"/>
      <c r="J32" s="396"/>
      <c r="K32" s="397"/>
      <c r="L32" s="1087"/>
    </row>
    <row r="33" spans="1:12" ht="12" customHeight="1">
      <c r="A33" s="378"/>
      <c r="B33" s="390"/>
      <c r="C33" s="389" t="s">
        <v>1945</v>
      </c>
      <c r="D33" s="391"/>
      <c r="E33" s="389"/>
      <c r="F33" s="389"/>
      <c r="G33" s="389"/>
      <c r="H33" s="389"/>
      <c r="I33" s="389"/>
      <c r="J33" s="392"/>
      <c r="K33" s="389"/>
      <c r="L33" s="1087"/>
    </row>
    <row r="34" spans="1:12" ht="12" customHeight="1">
      <c r="A34" s="378"/>
      <c r="B34" s="390"/>
      <c r="C34" s="389" t="s">
        <v>2535</v>
      </c>
      <c r="D34" s="391"/>
      <c r="E34" s="389"/>
      <c r="F34" s="389"/>
      <c r="G34" s="389"/>
      <c r="H34" s="389"/>
      <c r="I34" s="389"/>
      <c r="J34" s="392"/>
      <c r="K34" s="389"/>
      <c r="L34" s="1087"/>
    </row>
    <row r="35" spans="1:12" ht="12" customHeight="1">
      <c r="A35" s="378"/>
      <c r="B35" s="390"/>
      <c r="C35" s="389" t="s">
        <v>2539</v>
      </c>
      <c r="D35" s="391"/>
      <c r="E35" s="389"/>
      <c r="F35" s="389"/>
      <c r="G35" s="389"/>
      <c r="H35" s="389"/>
      <c r="I35" s="389"/>
      <c r="J35" s="392"/>
      <c r="K35" s="389"/>
      <c r="L35" s="1087"/>
    </row>
    <row r="36" spans="1:12" ht="15.75" customHeight="1">
      <c r="A36" s="378"/>
      <c r="B36" s="390"/>
      <c r="C36" s="399"/>
      <c r="D36" s="391"/>
      <c r="E36" s="399" t="str">
        <f>"Monthly Proration Table for "&amp;yeartext</f>
        <v>Monthly Proration Table for 2009</v>
      </c>
      <c r="F36" s="389"/>
      <c r="G36" s="389"/>
      <c r="H36" s="389"/>
      <c r="I36" s="389"/>
      <c r="J36" s="392"/>
      <c r="K36" s="389"/>
      <c r="L36" s="1087"/>
    </row>
    <row r="37" spans="1:12" ht="12.75" customHeight="1">
      <c r="A37" s="378"/>
      <c r="B37" s="385"/>
      <c r="C37" s="401" t="s">
        <v>1780</v>
      </c>
      <c r="D37" s="420" t="s">
        <v>1591</v>
      </c>
      <c r="E37" s="420" t="s">
        <v>1592</v>
      </c>
      <c r="F37" s="420" t="s">
        <v>1593</v>
      </c>
      <c r="G37" s="1826" t="s">
        <v>1946</v>
      </c>
      <c r="H37" s="1827"/>
      <c r="I37" s="1827"/>
      <c r="J37" s="388"/>
      <c r="K37" s="389"/>
      <c r="L37" s="1087"/>
    </row>
    <row r="38" spans="1:12" ht="15">
      <c r="A38" s="378"/>
      <c r="B38" s="390"/>
      <c r="C38" s="418" t="s">
        <v>1781</v>
      </c>
      <c r="D38" s="419" t="s">
        <v>1594</v>
      </c>
      <c r="E38" s="419" t="s">
        <v>1491</v>
      </c>
      <c r="F38" s="419" t="s">
        <v>1491</v>
      </c>
      <c r="G38" s="1834" t="s">
        <v>786</v>
      </c>
      <c r="H38" s="1835"/>
      <c r="I38" s="1835"/>
      <c r="J38" s="392"/>
      <c r="K38" s="389"/>
      <c r="L38" s="1087"/>
    </row>
    <row r="39" spans="1:12" ht="15">
      <c r="A39" s="378"/>
      <c r="B39" s="402"/>
      <c r="C39" s="403" t="s">
        <v>787</v>
      </c>
      <c r="D39" s="404" t="s">
        <v>1595</v>
      </c>
      <c r="E39" s="404" t="s">
        <v>1596</v>
      </c>
      <c r="F39" s="404" t="s">
        <v>1779</v>
      </c>
      <c r="G39" s="1830" t="s">
        <v>788</v>
      </c>
      <c r="H39" s="1831"/>
      <c r="I39" s="1831"/>
      <c r="J39" s="392"/>
      <c r="K39" s="389"/>
      <c r="L39" s="1087"/>
    </row>
    <row r="40" spans="1:12" ht="10.5" customHeight="1">
      <c r="A40" s="378"/>
      <c r="B40" s="405"/>
      <c r="C40" s="406">
        <v>1</v>
      </c>
      <c r="D40" s="407">
        <f>ROUNDDOWN((C40/12)*$D$51,2)</f>
        <v>3858.33</v>
      </c>
      <c r="E40" s="407">
        <f>ROUNDDOWN((C40/12)*$E$51,2)</f>
        <v>291.66</v>
      </c>
      <c r="F40" s="407">
        <f>(C40/12)*$F$51</f>
        <v>3566.67</v>
      </c>
      <c r="G40" s="1828">
        <f>(C40/12)*$G$51</f>
        <v>176.55</v>
      </c>
      <c r="H40" s="1829"/>
      <c r="I40" s="1829"/>
      <c r="J40" s="408"/>
      <c r="K40" s="389"/>
      <c r="L40" s="1087"/>
    </row>
    <row r="41" spans="1:12" ht="10.5" customHeight="1">
      <c r="A41" s="378"/>
      <c r="B41" s="405"/>
      <c r="C41" s="406">
        <v>2</v>
      </c>
      <c r="D41" s="407">
        <f>ROUNDDOWN((C41/12)*$D$51,2)</f>
        <v>7716.66</v>
      </c>
      <c r="E41" s="407">
        <f aca="true" t="shared" si="0" ref="E41:E50">ROUNDDOWN((C41/12)*$E$51,2)</f>
        <v>583.33</v>
      </c>
      <c r="F41" s="407">
        <f aca="true" t="shared" si="1" ref="F41:F50">(C41/12)*$F$51</f>
        <v>7133.33</v>
      </c>
      <c r="G41" s="1828">
        <f aca="true" t="shared" si="2" ref="G41:G50">(C41/12)*$G$51</f>
        <v>353.1</v>
      </c>
      <c r="H41" s="1829"/>
      <c r="I41" s="1829"/>
      <c r="J41" s="408"/>
      <c r="K41" s="389"/>
      <c r="L41" s="1087"/>
    </row>
    <row r="42" spans="1:12" ht="10.5" customHeight="1">
      <c r="A42" s="378"/>
      <c r="B42" s="405"/>
      <c r="C42" s="406">
        <v>3</v>
      </c>
      <c r="D42" s="407">
        <f aca="true" t="shared" si="3" ref="D42:D50">ROUNDDOWN((C42/12)*$D$51,2)</f>
        <v>11575</v>
      </c>
      <c r="E42" s="407">
        <f>ROUNDDOWN((C42/12)*$E$51,2)</f>
        <v>875</v>
      </c>
      <c r="F42" s="407">
        <f t="shared" si="1"/>
        <v>10700</v>
      </c>
      <c r="G42" s="1828">
        <f t="shared" si="2"/>
        <v>529.65</v>
      </c>
      <c r="H42" s="1829"/>
      <c r="I42" s="1829"/>
      <c r="J42" s="408"/>
      <c r="K42" s="389"/>
      <c r="L42" s="1087"/>
    </row>
    <row r="43" spans="1:12" ht="10.5" customHeight="1">
      <c r="A43" s="378"/>
      <c r="B43" s="405"/>
      <c r="C43" s="406">
        <v>4</v>
      </c>
      <c r="D43" s="407">
        <f t="shared" si="3"/>
        <v>15433.33</v>
      </c>
      <c r="E43" s="407">
        <f t="shared" si="0"/>
        <v>1166.66</v>
      </c>
      <c r="F43" s="407">
        <f t="shared" si="1"/>
        <v>14266.67</v>
      </c>
      <c r="G43" s="1828">
        <f t="shared" si="2"/>
        <v>706.2</v>
      </c>
      <c r="H43" s="1829"/>
      <c r="I43" s="1829"/>
      <c r="J43" s="408"/>
      <c r="K43" s="389"/>
      <c r="L43" s="1087"/>
    </row>
    <row r="44" spans="1:12" ht="10.5" customHeight="1">
      <c r="A44" s="378"/>
      <c r="B44" s="405"/>
      <c r="C44" s="406">
        <v>5</v>
      </c>
      <c r="D44" s="407">
        <f t="shared" si="3"/>
        <v>19291.66</v>
      </c>
      <c r="E44" s="407">
        <f t="shared" si="0"/>
        <v>1458.33</v>
      </c>
      <c r="F44" s="407">
        <f t="shared" si="1"/>
        <v>17833.33</v>
      </c>
      <c r="G44" s="1828">
        <f t="shared" si="2"/>
        <v>882.75</v>
      </c>
      <c r="H44" s="1829"/>
      <c r="I44" s="1829"/>
      <c r="J44" s="408"/>
      <c r="K44" s="389"/>
      <c r="L44" s="1087"/>
    </row>
    <row r="45" spans="1:12" ht="10.5" customHeight="1">
      <c r="A45" s="378"/>
      <c r="B45" s="405"/>
      <c r="C45" s="406">
        <v>6</v>
      </c>
      <c r="D45" s="407">
        <f t="shared" si="3"/>
        <v>23150</v>
      </c>
      <c r="E45" s="407">
        <f>ROUNDDOWN((C45/12)*$E$51,2)</f>
        <v>1750</v>
      </c>
      <c r="F45" s="407">
        <f t="shared" si="1"/>
        <v>21400</v>
      </c>
      <c r="G45" s="1828">
        <f t="shared" si="2"/>
        <v>1059.3</v>
      </c>
      <c r="H45" s="1829"/>
      <c r="I45" s="1829"/>
      <c r="J45" s="408"/>
      <c r="K45" s="389"/>
      <c r="L45" s="1087"/>
    </row>
    <row r="46" spans="1:12" ht="10.5" customHeight="1">
      <c r="A46" s="378"/>
      <c r="B46" s="405"/>
      <c r="C46" s="406">
        <v>7</v>
      </c>
      <c r="D46" s="407">
        <f t="shared" si="3"/>
        <v>27008.33</v>
      </c>
      <c r="E46" s="407">
        <f t="shared" si="0"/>
        <v>2041.66</v>
      </c>
      <c r="F46" s="407">
        <f t="shared" si="1"/>
        <v>24966.67</v>
      </c>
      <c r="G46" s="1828">
        <f t="shared" si="2"/>
        <v>1235.85</v>
      </c>
      <c r="H46" s="1829"/>
      <c r="I46" s="1829"/>
      <c r="J46" s="408"/>
      <c r="K46" s="389"/>
      <c r="L46" s="1087"/>
    </row>
    <row r="47" spans="1:12" ht="10.5" customHeight="1">
      <c r="A47" s="378"/>
      <c r="B47" s="405"/>
      <c r="C47" s="406">
        <v>8</v>
      </c>
      <c r="D47" s="407">
        <f t="shared" si="3"/>
        <v>30866.66</v>
      </c>
      <c r="E47" s="407">
        <f t="shared" si="0"/>
        <v>2333.33</v>
      </c>
      <c r="F47" s="407">
        <f t="shared" si="1"/>
        <v>28533.33</v>
      </c>
      <c r="G47" s="1828">
        <f t="shared" si="2"/>
        <v>1412.4</v>
      </c>
      <c r="H47" s="1829"/>
      <c r="I47" s="1829"/>
      <c r="J47" s="408"/>
      <c r="K47" s="389"/>
      <c r="L47" s="1087"/>
    </row>
    <row r="48" spans="1:12" ht="10.5" customHeight="1">
      <c r="A48" s="378"/>
      <c r="B48" s="405"/>
      <c r="C48" s="406">
        <v>9</v>
      </c>
      <c r="D48" s="407">
        <f t="shared" si="3"/>
        <v>34725</v>
      </c>
      <c r="E48" s="407">
        <f>ROUNDDOWN((C48/12)*$E$51,2)</f>
        <v>2625</v>
      </c>
      <c r="F48" s="407">
        <f t="shared" si="1"/>
        <v>32100</v>
      </c>
      <c r="G48" s="1828">
        <f t="shared" si="2"/>
        <v>1588.95</v>
      </c>
      <c r="H48" s="1829"/>
      <c r="I48" s="1829"/>
      <c r="J48" s="408"/>
      <c r="K48" s="389"/>
      <c r="L48" s="1087"/>
    </row>
    <row r="49" spans="1:12" ht="10.5" customHeight="1">
      <c r="A49" s="378"/>
      <c r="B49" s="405"/>
      <c r="C49" s="406">
        <v>10</v>
      </c>
      <c r="D49" s="407">
        <f t="shared" si="3"/>
        <v>38583.33</v>
      </c>
      <c r="E49" s="407">
        <f t="shared" si="0"/>
        <v>2916.66</v>
      </c>
      <c r="F49" s="407">
        <f t="shared" si="1"/>
        <v>35666.67</v>
      </c>
      <c r="G49" s="1828">
        <f t="shared" si="2"/>
        <v>1765.5</v>
      </c>
      <c r="H49" s="1829"/>
      <c r="I49" s="1829"/>
      <c r="J49" s="408"/>
      <c r="K49" s="389"/>
      <c r="L49" s="1087"/>
    </row>
    <row r="50" spans="1:12" ht="10.5" customHeight="1">
      <c r="A50" s="378"/>
      <c r="B50" s="405"/>
      <c r="C50" s="406">
        <v>11</v>
      </c>
      <c r="D50" s="407">
        <f t="shared" si="3"/>
        <v>42441.66</v>
      </c>
      <c r="E50" s="407">
        <f t="shared" si="0"/>
        <v>3208.33</v>
      </c>
      <c r="F50" s="407">
        <f t="shared" si="1"/>
        <v>39233.33</v>
      </c>
      <c r="G50" s="1828">
        <f t="shared" si="2"/>
        <v>1942.05</v>
      </c>
      <c r="H50" s="1829"/>
      <c r="I50" s="1829"/>
      <c r="J50" s="408"/>
      <c r="K50" s="389"/>
      <c r="L50" s="1087"/>
    </row>
    <row r="51" spans="1:12" ht="10.5" customHeight="1">
      <c r="A51" s="378"/>
      <c r="B51" s="405"/>
      <c r="C51" s="406">
        <v>12</v>
      </c>
      <c r="D51" s="407">
        <v>46300</v>
      </c>
      <c r="E51" s="407">
        <v>3500</v>
      </c>
      <c r="F51" s="407">
        <v>42800</v>
      </c>
      <c r="G51" s="1828">
        <v>2118.6</v>
      </c>
      <c r="H51" s="1829"/>
      <c r="I51" s="1829"/>
      <c r="J51" s="408"/>
      <c r="K51" s="389"/>
      <c r="L51" s="1087"/>
    </row>
    <row r="52" spans="1:12" ht="31.5" customHeight="1">
      <c r="A52" s="378"/>
      <c r="B52" s="1543"/>
      <c r="C52" s="1529"/>
      <c r="D52" s="1529"/>
      <c r="E52" s="1529"/>
      <c r="F52" s="1529"/>
      <c r="G52" s="1529"/>
      <c r="H52" s="1529"/>
      <c r="I52" s="1544" t="s">
        <v>2555</v>
      </c>
      <c r="J52" s="1530"/>
      <c r="K52" s="1087"/>
      <c r="L52" s="1087"/>
    </row>
    <row r="53" spans="1:12" ht="15">
      <c r="A53" s="378"/>
      <c r="B53" s="1457"/>
      <c r="C53" s="389"/>
      <c r="D53" s="391"/>
      <c r="E53" s="389"/>
      <c r="F53" s="389"/>
      <c r="G53" s="389"/>
      <c r="H53" s="389"/>
      <c r="I53" s="389"/>
      <c r="J53" s="380"/>
      <c r="K53" s="380"/>
      <c r="L53" s="1087"/>
    </row>
    <row r="54" spans="1:12" ht="15">
      <c r="A54" s="378"/>
      <c r="B54" s="1457"/>
      <c r="C54" s="389"/>
      <c r="D54" s="391"/>
      <c r="E54" s="389"/>
      <c r="F54" s="389"/>
      <c r="G54" s="389"/>
      <c r="H54" s="389"/>
      <c r="I54" s="389"/>
      <c r="J54" s="380"/>
      <c r="K54" s="380"/>
      <c r="L54" s="1087"/>
    </row>
    <row r="55" spans="1:12" ht="15.75">
      <c r="A55" s="378"/>
      <c r="B55" s="1545"/>
      <c r="C55" s="416" t="s">
        <v>1944</v>
      </c>
      <c r="D55" s="386"/>
      <c r="E55" s="387"/>
      <c r="F55" s="387"/>
      <c r="G55" s="387"/>
      <c r="H55" s="1555" t="s">
        <v>2579</v>
      </c>
      <c r="I55" s="1556" t="s">
        <v>2075</v>
      </c>
      <c r="J55" s="388"/>
      <c r="K55" s="380"/>
      <c r="L55" s="1087"/>
    </row>
    <row r="56" spans="1:12" ht="15">
      <c r="A56" s="378"/>
      <c r="B56" s="1546"/>
      <c r="C56" s="389"/>
      <c r="D56" s="391"/>
      <c r="E56" s="389"/>
      <c r="F56" s="389"/>
      <c r="G56" s="389"/>
      <c r="H56" s="389"/>
      <c r="I56" s="389"/>
      <c r="J56" s="392"/>
      <c r="K56" s="380"/>
      <c r="L56" s="1087"/>
    </row>
    <row r="57" spans="1:12" ht="15">
      <c r="A57" s="378"/>
      <c r="B57" s="1546"/>
      <c r="C57" s="1539" t="s">
        <v>2556</v>
      </c>
      <c r="D57" s="1549" t="s">
        <v>2557</v>
      </c>
      <c r="E57" s="389"/>
      <c r="F57" s="389"/>
      <c r="G57" s="389"/>
      <c r="H57" s="389"/>
      <c r="I57" s="389"/>
      <c r="J57" s="392"/>
      <c r="K57" s="380"/>
      <c r="L57" s="1087"/>
    </row>
    <row r="58" spans="1:12" ht="21.75" customHeight="1">
      <c r="A58" s="378"/>
      <c r="B58" s="1546"/>
      <c r="C58" s="389"/>
      <c r="D58" s="1550" t="str">
        <f>"     in "&amp;yeartext&amp;", and you were either 70 years of age or older, or you received a CPP or QPP retirement pension."</f>
        <v>     in 2009, and you were either 70 years of age or older, or you received a CPP or QPP retirement pension.</v>
      </c>
      <c r="E58" s="389"/>
      <c r="F58" s="389"/>
      <c r="G58" s="389"/>
      <c r="H58" s="389"/>
      <c r="I58" s="389"/>
      <c r="J58" s="392"/>
      <c r="K58" s="380"/>
      <c r="L58" s="1087"/>
    </row>
    <row r="59" spans="1:12" ht="22.5" customHeight="1">
      <c r="A59" s="378"/>
      <c r="B59" s="1546"/>
      <c r="C59" s="1551" t="s">
        <v>2558</v>
      </c>
      <c r="D59" s="391"/>
      <c r="E59" s="389"/>
      <c r="F59" s="389"/>
      <c r="G59" s="389"/>
      <c r="H59" s="389"/>
      <c r="I59" s="389"/>
      <c r="J59" s="392"/>
      <c r="K59" s="380"/>
      <c r="L59" s="1087"/>
    </row>
    <row r="60" spans="1:12" ht="15">
      <c r="A60" s="378"/>
      <c r="B60" s="1546"/>
      <c r="C60" s="389" t="str">
        <f>"●  If throughout "&amp;yeartext&amp;", you were over 70 years of age or you received CPP or QPP retirement pension, enter"&amp;CHAR(34)&amp;"0"&amp;CHAR(34)&amp;" at line 7."</f>
        <v>●  If throughout 2009, you were over 70 years of age or you received CPP or QPP retirement pension, enter"0" at line 7.</v>
      </c>
      <c r="D60" s="391"/>
      <c r="E60" s="389"/>
      <c r="F60" s="389"/>
      <c r="G60" s="389"/>
      <c r="H60" s="389"/>
      <c r="I60" s="389"/>
      <c r="J60" s="392"/>
      <c r="K60" s="380"/>
      <c r="L60" s="1087"/>
    </row>
    <row r="61" spans="1:12" ht="15">
      <c r="A61" s="378"/>
      <c r="B61" s="1546"/>
      <c r="C61" s="389" t="s">
        <v>2562</v>
      </c>
      <c r="D61" s="391"/>
      <c r="E61" s="389"/>
      <c r="F61" s="389"/>
      <c r="G61" s="389"/>
      <c r="H61" s="389"/>
      <c r="I61" s="389"/>
      <c r="J61" s="392"/>
      <c r="K61" s="380"/>
      <c r="L61" s="1087"/>
    </row>
    <row r="62" spans="1:12" ht="15">
      <c r="A62" s="378"/>
      <c r="B62" s="1546"/>
      <c r="C62" s="389" t="s">
        <v>2561</v>
      </c>
      <c r="D62" s="391"/>
      <c r="E62" s="389"/>
      <c r="F62" s="389"/>
      <c r="G62" s="389"/>
      <c r="H62" s="389"/>
      <c r="I62" s="389"/>
      <c r="J62" s="392"/>
      <c r="K62" s="380"/>
      <c r="L62" s="1087"/>
    </row>
    <row r="63" spans="1:12" ht="15">
      <c r="A63" s="378"/>
      <c r="B63" s="1546"/>
      <c r="C63" s="389" t="str">
        <f>"● If you received, or were entitled to receive a CPP or QPP retirement pension, or a CPP or QPP disability pension for part of "&amp;yeartext&amp;","</f>
        <v>● If you received, or were entitled to receive a CPP or QPP retirement pension, or a CPP or QPP disability pension for part of 2009,</v>
      </c>
      <c r="D63" s="391"/>
      <c r="E63" s="389"/>
      <c r="F63" s="389"/>
      <c r="G63" s="389"/>
      <c r="H63" s="389"/>
      <c r="I63" s="389"/>
      <c r="J63" s="392"/>
      <c r="K63" s="380"/>
      <c r="L63" s="1087"/>
    </row>
    <row r="64" spans="1:12" ht="15">
      <c r="A64" s="378"/>
      <c r="B64" s="1546"/>
      <c r="C64" s="389" t="s">
        <v>2560</v>
      </c>
      <c r="D64" s="391"/>
      <c r="E64" s="389"/>
      <c r="F64" s="389"/>
      <c r="G64" s="389"/>
      <c r="H64" s="389"/>
      <c r="I64" s="389"/>
      <c r="J64" s="392"/>
      <c r="K64" s="380"/>
      <c r="L64" s="1087"/>
    </row>
    <row r="65" spans="1:12" ht="24.75" customHeight="1">
      <c r="A65" s="378"/>
      <c r="B65" s="1546"/>
      <c r="C65" s="1550" t="s">
        <v>2559</v>
      </c>
      <c r="D65" s="391"/>
      <c r="E65" s="389"/>
      <c r="F65" s="389"/>
      <c r="G65" s="389"/>
      <c r="H65" s="389"/>
      <c r="I65" s="389"/>
      <c r="J65" s="392"/>
      <c r="K65" s="380"/>
      <c r="L65" s="1087"/>
    </row>
    <row r="66" spans="1:12" ht="15">
      <c r="A66" s="378"/>
      <c r="B66" s="1546"/>
      <c r="C66" s="389" t="s">
        <v>2563</v>
      </c>
      <c r="D66" s="391"/>
      <c r="E66" s="389"/>
      <c r="F66" s="389"/>
      <c r="G66" s="389"/>
      <c r="H66" s="389"/>
      <c r="I66" s="389"/>
      <c r="J66" s="392"/>
      <c r="K66" s="380"/>
      <c r="L66" s="1087"/>
    </row>
    <row r="67" spans="1:12" ht="15">
      <c r="A67" s="378"/>
      <c r="B67" s="1546"/>
      <c r="C67" s="389" t="s">
        <v>2564</v>
      </c>
      <c r="D67" s="391"/>
      <c r="E67" s="389"/>
      <c r="F67" s="389"/>
      <c r="G67" s="389"/>
      <c r="H67" s="389"/>
      <c r="I67" s="389"/>
      <c r="J67" s="392"/>
      <c r="K67" s="380"/>
      <c r="L67" s="1087"/>
    </row>
    <row r="68" spans="1:12" ht="15">
      <c r="A68" s="378"/>
      <c r="B68" s="1546"/>
      <c r="C68" s="410" t="s">
        <v>2565</v>
      </c>
      <c r="D68" s="411"/>
      <c r="E68" s="410"/>
      <c r="F68" s="410"/>
      <c r="G68" s="1552" t="s">
        <v>2566</v>
      </c>
      <c r="H68" s="389"/>
      <c r="I68" s="1553"/>
      <c r="J68" s="396">
        <v>7</v>
      </c>
      <c r="K68" s="380"/>
      <c r="L68" s="1087"/>
    </row>
    <row r="69" spans="1:12" ht="17.25" customHeight="1">
      <c r="A69" s="378"/>
      <c r="B69" s="1546"/>
      <c r="C69" s="389" t="s">
        <v>2567</v>
      </c>
      <c r="D69" s="391"/>
      <c r="E69" s="389"/>
      <c r="F69" s="389"/>
      <c r="G69" s="389"/>
      <c r="H69" s="389"/>
      <c r="I69" s="389"/>
      <c r="J69" s="392"/>
      <c r="K69" s="380"/>
      <c r="L69" s="1087"/>
    </row>
    <row r="70" spans="1:12" ht="15.75" thickBot="1">
      <c r="A70" s="378"/>
      <c r="B70" s="1546"/>
      <c r="C70" s="410" t="s">
        <v>2568</v>
      </c>
      <c r="D70" s="411"/>
      <c r="E70" s="410"/>
      <c r="F70" s="410"/>
      <c r="G70" s="1552" t="s">
        <v>2569</v>
      </c>
      <c r="H70" s="389"/>
      <c r="I70" s="1554"/>
      <c r="J70" s="396">
        <v>8</v>
      </c>
      <c r="K70" s="380"/>
      <c r="L70" s="1087"/>
    </row>
    <row r="71" spans="1:12" ht="15">
      <c r="A71" s="378"/>
      <c r="B71" s="1546"/>
      <c r="C71" s="1452" t="s">
        <v>2570</v>
      </c>
      <c r="D71" s="1455"/>
      <c r="E71" s="1452"/>
      <c r="F71" s="1452"/>
      <c r="G71" s="1454" t="s">
        <v>2575</v>
      </c>
      <c r="H71" s="389"/>
      <c r="I71" s="423">
        <f>MIN(46300,I68+I70)</f>
        <v>0</v>
      </c>
      <c r="J71" s="396">
        <v>9</v>
      </c>
      <c r="K71" s="380"/>
      <c r="L71" s="1087"/>
    </row>
    <row r="72" spans="1:12" ht="15.75" thickBot="1">
      <c r="A72" s="378"/>
      <c r="B72" s="1546"/>
      <c r="C72" s="1452" t="s">
        <v>2571</v>
      </c>
      <c r="D72" s="1455"/>
      <c r="E72" s="1452"/>
      <c r="F72" s="1452"/>
      <c r="G72" s="1452"/>
      <c r="H72" s="389"/>
      <c r="I72" s="1139">
        <v>3500</v>
      </c>
      <c r="J72" s="396">
        <v>10</v>
      </c>
      <c r="K72" s="380"/>
      <c r="L72" s="1087"/>
    </row>
    <row r="73" spans="1:12" ht="15">
      <c r="A73" s="378"/>
      <c r="B73" s="1546"/>
      <c r="C73" s="1452" t="s">
        <v>1727</v>
      </c>
      <c r="D73" s="1455"/>
      <c r="E73" s="1452"/>
      <c r="F73" s="1452"/>
      <c r="G73" s="1454" t="s">
        <v>2576</v>
      </c>
      <c r="H73" s="389"/>
      <c r="I73" s="423">
        <f>MAX(0,I71-I72)</f>
        <v>0</v>
      </c>
      <c r="J73" s="396">
        <v>11</v>
      </c>
      <c r="K73" s="380"/>
      <c r="L73" s="1087"/>
    </row>
    <row r="74" spans="1:12" ht="15">
      <c r="A74" s="378"/>
      <c r="B74" s="1546"/>
      <c r="C74" s="389"/>
      <c r="D74" s="391"/>
      <c r="E74" s="389"/>
      <c r="F74" s="389"/>
      <c r="G74" s="389"/>
      <c r="H74" s="389"/>
      <c r="I74" s="389"/>
      <c r="J74" s="392"/>
      <c r="K74" s="380"/>
      <c r="L74" s="1087"/>
    </row>
    <row r="75" spans="1:12" ht="15">
      <c r="A75" s="378"/>
      <c r="B75" s="1546"/>
      <c r="C75" s="410" t="s">
        <v>784</v>
      </c>
      <c r="D75" s="411"/>
      <c r="E75" s="410"/>
      <c r="F75" s="410"/>
      <c r="G75" s="410"/>
      <c r="H75" s="389"/>
      <c r="I75" s="423">
        <f>MISC!L86</f>
        <v>0</v>
      </c>
      <c r="J75" s="396">
        <v>12</v>
      </c>
      <c r="K75" s="380"/>
      <c r="L75" s="1087"/>
    </row>
    <row r="76" spans="1:12" ht="15">
      <c r="A76" s="378"/>
      <c r="B76" s="1546"/>
      <c r="C76" s="410" t="s">
        <v>2572</v>
      </c>
      <c r="D76" s="411"/>
      <c r="E76" s="410"/>
      <c r="F76" s="410"/>
      <c r="G76" s="1451" t="s">
        <v>281</v>
      </c>
      <c r="H76" s="389"/>
      <c r="I76" s="423">
        <f>0.0495*I73</f>
        <v>0</v>
      </c>
      <c r="J76" s="396">
        <v>13</v>
      </c>
      <c r="K76" s="380"/>
      <c r="L76" s="1087"/>
    </row>
    <row r="77" spans="1:12" ht="15">
      <c r="A77" s="378"/>
      <c r="B77" s="1546"/>
      <c r="C77" s="1452" t="s">
        <v>1077</v>
      </c>
      <c r="D77" s="1455"/>
      <c r="E77" s="1452"/>
      <c r="F77" s="1452"/>
      <c r="G77" s="1552" t="s">
        <v>2577</v>
      </c>
      <c r="H77" s="389"/>
      <c r="I77" s="709">
        <f>IF(I55="Yes",MAX(I75-I76,0),0)</f>
        <v>0</v>
      </c>
      <c r="J77" s="396">
        <v>14</v>
      </c>
      <c r="K77" s="380"/>
      <c r="L77" s="1087"/>
    </row>
    <row r="78" spans="1:12" ht="26.25" customHeight="1">
      <c r="A78" s="378"/>
      <c r="B78" s="1546"/>
      <c r="C78" s="389" t="s">
        <v>2574</v>
      </c>
      <c r="D78" s="391"/>
      <c r="E78" s="389"/>
      <c r="F78" s="389"/>
      <c r="G78" s="389"/>
      <c r="H78" s="389"/>
      <c r="I78" s="389"/>
      <c r="J78" s="392"/>
      <c r="K78" s="380"/>
      <c r="L78" s="1087"/>
    </row>
    <row r="79" spans="1:12" ht="15">
      <c r="A79" s="378"/>
      <c r="B79" s="1546"/>
      <c r="C79" s="389" t="s">
        <v>2573</v>
      </c>
      <c r="D79" s="391"/>
      <c r="E79" s="389"/>
      <c r="F79" s="389"/>
      <c r="G79" s="389"/>
      <c r="H79" s="389"/>
      <c r="I79" s="389"/>
      <c r="J79" s="392"/>
      <c r="K79" s="380"/>
      <c r="L79" s="1087"/>
    </row>
    <row r="80" spans="1:12" ht="15">
      <c r="A80" s="378"/>
      <c r="B80" s="1547"/>
      <c r="C80" s="410"/>
      <c r="D80" s="411"/>
      <c r="E80" s="410"/>
      <c r="F80" s="410"/>
      <c r="G80" s="410"/>
      <c r="H80" s="410"/>
      <c r="I80" s="410"/>
      <c r="J80" s="415"/>
      <c r="K80" s="380"/>
      <c r="L80" s="1087"/>
    </row>
    <row r="81" spans="1:12" ht="26.25" customHeight="1">
      <c r="A81" s="378"/>
      <c r="B81" s="1548" t="s">
        <v>2551</v>
      </c>
      <c r="C81" s="389"/>
      <c r="D81" s="391"/>
      <c r="E81" s="389"/>
      <c r="F81" s="389"/>
      <c r="G81" s="389"/>
      <c r="H81" s="389"/>
      <c r="I81" s="389"/>
      <c r="J81" s="380"/>
      <c r="K81" s="380"/>
      <c r="L81" s="1087"/>
    </row>
    <row r="82" spans="1:12" ht="15">
      <c r="A82" s="378"/>
      <c r="B82" s="1541" t="str">
        <f>"has to be more than $1. Do not complete Part 2 if you were a resident of Quebec on December 31, "&amp;yeartext&amp;", and you have to complete"</f>
        <v>has to be more than $1. Do not complete Part 2 if you were a resident of Quebec on December 31, 2009, and you have to complete</v>
      </c>
      <c r="C82" s="389"/>
      <c r="D82" s="391"/>
      <c r="E82" s="389"/>
      <c r="F82" s="389"/>
      <c r="G82" s="389"/>
      <c r="H82" s="389"/>
      <c r="I82" s="389"/>
      <c r="J82" s="380"/>
      <c r="K82" s="380"/>
      <c r="L82" s="1087"/>
    </row>
    <row r="83" spans="1:12" ht="18.75" customHeight="1">
      <c r="A83" s="378"/>
      <c r="B83" s="1542" t="s">
        <v>2550</v>
      </c>
      <c r="C83" s="384"/>
      <c r="D83" s="383"/>
      <c r="E83" s="380"/>
      <c r="F83" s="380"/>
      <c r="G83" s="380"/>
      <c r="H83" s="380"/>
      <c r="I83" s="380"/>
      <c r="J83" s="380"/>
      <c r="K83" s="380"/>
      <c r="L83" s="1087"/>
    </row>
    <row r="84" spans="1:12" ht="15" customHeight="1">
      <c r="A84" s="378"/>
      <c r="B84" s="1458"/>
      <c r="C84" s="416" t="s">
        <v>2302</v>
      </c>
      <c r="D84" s="386"/>
      <c r="E84" s="387"/>
      <c r="F84" s="387"/>
      <c r="G84" s="387"/>
      <c r="H84" s="387"/>
      <c r="I84" s="387"/>
      <c r="J84" s="388"/>
      <c r="K84" s="380"/>
      <c r="L84" s="1087"/>
    </row>
    <row r="85" spans="1:12" ht="19.5" customHeight="1">
      <c r="A85" s="378"/>
      <c r="B85" s="390"/>
      <c r="C85" s="389" t="s">
        <v>80</v>
      </c>
      <c r="D85" s="391"/>
      <c r="E85" s="389"/>
      <c r="F85" s="389"/>
      <c r="G85" s="389"/>
      <c r="H85" s="389"/>
      <c r="I85" s="389"/>
      <c r="J85" s="392"/>
      <c r="K85" s="389"/>
      <c r="L85" s="1087"/>
    </row>
    <row r="86" spans="1:12" ht="12" customHeight="1">
      <c r="A86" s="378"/>
      <c r="B86" s="390"/>
      <c r="C86" s="410"/>
      <c r="D86" s="411"/>
      <c r="E86" s="410"/>
      <c r="F86" s="410"/>
      <c r="G86" s="1451" t="s">
        <v>2552</v>
      </c>
      <c r="H86" s="389"/>
      <c r="I86" s="423">
        <f>IF(MISC!L87&gt;2000,MIN(42300,MISC!L87),0)</f>
        <v>0</v>
      </c>
      <c r="J86" s="396">
        <v>1</v>
      </c>
      <c r="K86" s="389"/>
      <c r="L86" s="1087"/>
    </row>
    <row r="87" spans="1:12" ht="15">
      <c r="A87" s="378"/>
      <c r="B87" s="390"/>
      <c r="C87" s="1138" t="s">
        <v>1311</v>
      </c>
      <c r="D87" s="397"/>
      <c r="E87" s="397"/>
      <c r="F87" s="397"/>
      <c r="G87" s="397"/>
      <c r="H87" s="1137"/>
      <c r="I87" s="413"/>
      <c r="J87" s="396"/>
      <c r="K87" s="397"/>
      <c r="L87" s="1087"/>
    </row>
    <row r="88" spans="1:12" ht="12" customHeight="1">
      <c r="A88" s="378"/>
      <c r="B88" s="390"/>
      <c r="C88" s="410"/>
      <c r="D88" s="1832" t="s">
        <v>505</v>
      </c>
      <c r="E88" s="1833"/>
      <c r="F88" s="1833"/>
      <c r="G88" s="410"/>
      <c r="H88" s="389"/>
      <c r="I88" s="423">
        <f>MISC!L88</f>
        <v>0</v>
      </c>
      <c r="J88" s="396">
        <v>2</v>
      </c>
      <c r="K88" s="397"/>
      <c r="L88" s="1087"/>
    </row>
    <row r="89" spans="1:12" ht="12" customHeight="1" thickBot="1">
      <c r="A89" s="378"/>
      <c r="B89" s="390"/>
      <c r="C89" s="1452" t="s">
        <v>1571</v>
      </c>
      <c r="D89" s="1455"/>
      <c r="E89" s="1452"/>
      <c r="F89" s="1452"/>
      <c r="G89" s="1452"/>
      <c r="H89" s="389"/>
      <c r="I89" s="710">
        <f>MAX(0,I86-2000)</f>
        <v>0</v>
      </c>
      <c r="J89" s="396">
        <v>3</v>
      </c>
      <c r="K89" s="397"/>
      <c r="L89" s="1087"/>
    </row>
    <row r="90" spans="1:12" ht="12" customHeight="1">
      <c r="A90" s="378"/>
      <c r="B90" s="390"/>
      <c r="C90" s="1452" t="s">
        <v>377</v>
      </c>
      <c r="D90" s="1455"/>
      <c r="E90" s="1452"/>
      <c r="F90" s="1452"/>
      <c r="G90" s="1452"/>
      <c r="H90" s="389"/>
      <c r="I90" s="423">
        <f>MAX(0,I88-I89)</f>
        <v>0</v>
      </c>
      <c r="J90" s="396">
        <v>4</v>
      </c>
      <c r="K90" s="397"/>
      <c r="L90" s="1087"/>
    </row>
    <row r="91" spans="1:12" ht="18.75" customHeight="1">
      <c r="A91" s="378"/>
      <c r="B91" s="390"/>
      <c r="C91" s="389" t="s">
        <v>506</v>
      </c>
      <c r="D91" s="391"/>
      <c r="E91" s="389"/>
      <c r="F91" s="389"/>
      <c r="G91" s="389"/>
      <c r="H91" s="389"/>
      <c r="I91" s="409"/>
      <c r="J91" s="396"/>
      <c r="K91" s="397"/>
      <c r="L91" s="1087"/>
    </row>
    <row r="92" spans="1:12" ht="12" customHeight="1">
      <c r="A92" s="378"/>
      <c r="B92" s="390"/>
      <c r="C92" s="410"/>
      <c r="D92" s="1459" t="s">
        <v>1004</v>
      </c>
      <c r="E92" s="410"/>
      <c r="F92" s="1451"/>
      <c r="G92" s="410"/>
      <c r="H92" s="389"/>
      <c r="I92" s="423">
        <f>MISC!L88</f>
        <v>0</v>
      </c>
      <c r="J92" s="396">
        <v>5</v>
      </c>
      <c r="K92" s="397"/>
      <c r="L92" s="1087"/>
    </row>
    <row r="93" spans="1:12" ht="12" customHeight="1">
      <c r="A93" s="378"/>
      <c r="B93" s="390"/>
      <c r="C93" s="389" t="s">
        <v>2303</v>
      </c>
      <c r="D93" s="391"/>
      <c r="E93" s="389"/>
      <c r="F93" s="389"/>
      <c r="G93" s="395" t="s">
        <v>2553</v>
      </c>
      <c r="H93" s="389"/>
      <c r="I93" s="413"/>
      <c r="J93" s="396"/>
      <c r="K93" s="397"/>
      <c r="L93" s="1087"/>
    </row>
    <row r="94" spans="1:12" ht="12" customHeight="1" thickBot="1">
      <c r="A94" s="378"/>
      <c r="B94" s="390"/>
      <c r="C94" s="410"/>
      <c r="D94" s="1460" t="s">
        <v>2585</v>
      </c>
      <c r="E94" s="410"/>
      <c r="F94" s="410"/>
      <c r="G94" s="1451" t="s">
        <v>2554</v>
      </c>
      <c r="H94" s="389"/>
      <c r="I94" s="1139">
        <f>I86*0.0173</f>
        <v>0</v>
      </c>
      <c r="J94" s="396">
        <v>6</v>
      </c>
      <c r="K94" s="397"/>
      <c r="L94" s="1087"/>
    </row>
    <row r="95" spans="1:12" ht="12" customHeight="1">
      <c r="A95" s="378"/>
      <c r="B95" s="390"/>
      <c r="C95" s="1452" t="s">
        <v>1129</v>
      </c>
      <c r="D95" s="1455"/>
      <c r="E95" s="1452"/>
      <c r="F95" s="1452"/>
      <c r="G95" s="1452"/>
      <c r="H95" s="389"/>
      <c r="I95" s="423">
        <f>MAX(0,I92-I94)</f>
        <v>0</v>
      </c>
      <c r="J95" s="396">
        <v>7</v>
      </c>
      <c r="K95" s="397"/>
      <c r="L95" s="1087"/>
    </row>
    <row r="96" spans="1:12" ht="6" customHeight="1">
      <c r="A96" s="378"/>
      <c r="B96" s="390"/>
      <c r="C96" s="389"/>
      <c r="D96" s="391"/>
      <c r="E96" s="389"/>
      <c r="F96" s="389"/>
      <c r="G96" s="389"/>
      <c r="H96" s="389"/>
      <c r="I96" s="409"/>
      <c r="J96" s="396"/>
      <c r="K96" s="397"/>
      <c r="L96" s="1087"/>
    </row>
    <row r="97" spans="1:12" ht="12" customHeight="1">
      <c r="A97" s="378"/>
      <c r="B97" s="390"/>
      <c r="C97" s="410" t="s">
        <v>10</v>
      </c>
      <c r="D97" s="411"/>
      <c r="E97" s="410"/>
      <c r="F97" s="1461"/>
      <c r="G97" s="1462" t="s">
        <v>802</v>
      </c>
      <c r="H97" s="389"/>
      <c r="I97" s="709">
        <f>MAX(I90,I95)</f>
        <v>0</v>
      </c>
      <c r="J97" s="396">
        <v>8</v>
      </c>
      <c r="K97" s="397"/>
      <c r="L97" s="1087"/>
    </row>
    <row r="98" spans="1:12" ht="12" customHeight="1">
      <c r="A98" s="378"/>
      <c r="B98" s="390"/>
      <c r="C98" s="389" t="s">
        <v>1947</v>
      </c>
      <c r="D98" s="391"/>
      <c r="E98" s="389"/>
      <c r="F98" s="389"/>
      <c r="G98" s="389"/>
      <c r="H98" s="389"/>
      <c r="I98" s="409"/>
      <c r="J98" s="392"/>
      <c r="K98" s="389"/>
      <c r="L98" s="1087"/>
    </row>
    <row r="99" spans="1:12" ht="12" customHeight="1">
      <c r="A99" s="378"/>
      <c r="B99" s="402"/>
      <c r="C99" s="410" t="s">
        <v>1948</v>
      </c>
      <c r="D99" s="411"/>
      <c r="E99" s="410"/>
      <c r="F99" s="410"/>
      <c r="G99" s="410"/>
      <c r="H99" s="410"/>
      <c r="I99" s="414"/>
      <c r="J99" s="415"/>
      <c r="K99" s="389"/>
      <c r="L99" s="1087"/>
    </row>
    <row r="100" spans="1:12" ht="12.75" customHeight="1">
      <c r="A100" s="378"/>
      <c r="B100" s="412"/>
      <c r="C100" s="416"/>
      <c r="D100" s="386"/>
      <c r="E100" s="387"/>
      <c r="F100" s="387"/>
      <c r="G100" s="387"/>
      <c r="H100" s="387"/>
      <c r="I100" s="417"/>
      <c r="J100" s="387"/>
      <c r="K100" s="389"/>
      <c r="L100" s="1087"/>
    </row>
    <row r="101" spans="1:12" ht="12.75" customHeight="1">
      <c r="A101" s="379"/>
      <c r="B101" s="380"/>
      <c r="C101" s="380"/>
      <c r="D101" s="383"/>
      <c r="E101" s="380"/>
      <c r="F101" s="380"/>
      <c r="G101" s="380"/>
      <c r="H101" s="380"/>
      <c r="I101" s="380"/>
      <c r="J101" s="380"/>
      <c r="K101" s="380"/>
      <c r="L101" s="1087"/>
    </row>
    <row r="102" ht="12.75">
      <c r="L102" s="894"/>
    </row>
  </sheetData>
  <sheetProtection password="EC35" sheet="1" objects="1" scenarios="1"/>
  <mergeCells count="16">
    <mergeCell ref="D88:F88"/>
    <mergeCell ref="G50:I50"/>
    <mergeCell ref="G51:I51"/>
    <mergeCell ref="G38:I38"/>
    <mergeCell ref="G46:I46"/>
    <mergeCell ref="G47:I47"/>
    <mergeCell ref="G48:I48"/>
    <mergeCell ref="G43:I43"/>
    <mergeCell ref="G37:I37"/>
    <mergeCell ref="G40:I40"/>
    <mergeCell ref="G49:I49"/>
    <mergeCell ref="G44:I44"/>
    <mergeCell ref="G45:I45"/>
    <mergeCell ref="G41:I41"/>
    <mergeCell ref="G42:I42"/>
    <mergeCell ref="G39:I39"/>
  </mergeCells>
  <dataValidations count="3">
    <dataValidation allowBlank="1" showErrorMessage="1" sqref="I23"/>
    <dataValidation type="whole" allowBlank="1" showInputMessage="1" showErrorMessage="1" promptTitle="Default Formula" prompt="You may have to override if you received a CPP or QPP retirement or disability pension for part of the year.&#10;See instructions above." errorTitle="MONTH ERROR" error="Value must be between 0 and 12" sqref="I24">
      <formula1>0</formula1>
      <formula2>12</formula2>
    </dataValidation>
    <dataValidation type="list" showInputMessage="1" showErrorMessage="1" sqref="I13 I55">
      <formula1>"Yes,No"</formula1>
    </dataValidation>
  </dataValidations>
  <printOptions horizontalCentered="1" verticalCentered="1"/>
  <pageMargins left="0" right="0" top="0" bottom="0" header="0.26" footer="0.5"/>
  <pageSetup fitToHeight="0" fitToWidth="1" horizontalDpi="600" verticalDpi="600" orientation="portrait" scale="97" r:id="rId4"/>
  <headerFooter alignWithMargins="0">
    <oddFooter>&amp;L&amp;9T2204 E  (09)</oddFooter>
  </headerFooter>
  <rowBreaks count="1" manualBreakCount="1">
    <brk id="53" max="10" man="1"/>
  </rowBreaks>
  <drawing r:id="rId3"/>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J121"/>
  <sheetViews>
    <sheetView zoomScalePageLayoutView="0" workbookViewId="0" topLeftCell="A1">
      <selection activeCell="A1" sqref="A1"/>
    </sheetView>
  </sheetViews>
  <sheetFormatPr defaultColWidth="7.10546875" defaultRowHeight="15"/>
  <cols>
    <col min="1" max="1" width="1.77734375" style="480" customWidth="1"/>
    <col min="2" max="2" width="45.3359375" style="480" customWidth="1"/>
    <col min="3" max="3" width="11.4453125" style="480" customWidth="1"/>
    <col min="4" max="4" width="5.21484375" style="480" customWidth="1"/>
    <col min="5" max="5" width="11.4453125" style="480" customWidth="1"/>
    <col min="6" max="6" width="5.21484375" style="480" customWidth="1"/>
    <col min="7" max="7" width="11.4453125" style="480" customWidth="1"/>
    <col min="8" max="8" width="5.21484375" style="480" customWidth="1"/>
    <col min="9" max="9" width="1.77734375" style="480" customWidth="1"/>
    <col min="10" max="10" width="9.4453125" style="480" customWidth="1"/>
    <col min="11" max="16384" width="7.10546875" style="480" customWidth="1"/>
  </cols>
  <sheetData>
    <row r="1" spans="1:10" ht="12.75">
      <c r="A1" s="478"/>
      <c r="B1" s="479"/>
      <c r="C1" s="478"/>
      <c r="D1" s="478"/>
      <c r="E1" s="478"/>
      <c r="F1" s="478"/>
      <c r="G1" s="478"/>
      <c r="H1" s="478"/>
      <c r="I1" s="478"/>
      <c r="J1" s="1566" t="s">
        <v>35</v>
      </c>
    </row>
    <row r="2" spans="1:10" ht="15.75">
      <c r="A2" s="481"/>
      <c r="B2" s="482"/>
      <c r="C2" s="481"/>
      <c r="D2" s="481"/>
      <c r="E2" s="481"/>
      <c r="F2" s="481"/>
      <c r="G2" s="478"/>
      <c r="H2" s="483"/>
      <c r="I2" s="478"/>
      <c r="J2" s="1566"/>
    </row>
    <row r="3" spans="1:10" ht="18">
      <c r="A3" s="481"/>
      <c r="B3" s="484" t="s">
        <v>1479</v>
      </c>
      <c r="C3" s="481"/>
      <c r="D3" s="481"/>
      <c r="E3" s="485"/>
      <c r="F3" s="481"/>
      <c r="G3" s="478"/>
      <c r="H3" s="483"/>
      <c r="I3" s="478"/>
      <c r="J3" s="1566"/>
    </row>
    <row r="4" spans="1:10" ht="18">
      <c r="A4" s="481"/>
      <c r="B4" s="484" t="s">
        <v>2070</v>
      </c>
      <c r="C4" s="481"/>
      <c r="D4" s="481"/>
      <c r="E4" s="485"/>
      <c r="F4" s="481"/>
      <c r="G4" s="518">
        <f>year</f>
        <v>2009</v>
      </c>
      <c r="H4" s="483"/>
      <c r="I4" s="478"/>
      <c r="J4" s="1566"/>
    </row>
    <row r="5" spans="1:10" ht="11.25" customHeight="1">
      <c r="A5" s="481"/>
      <c r="B5" s="481"/>
      <c r="C5" s="481"/>
      <c r="D5" s="481"/>
      <c r="E5" s="485"/>
      <c r="F5" s="481"/>
      <c r="G5" s="486" t="s">
        <v>2071</v>
      </c>
      <c r="H5" s="483"/>
      <c r="I5" s="478"/>
      <c r="J5" s="1566"/>
    </row>
    <row r="6" spans="1:10" ht="13.5" customHeight="1">
      <c r="A6" s="481"/>
      <c r="B6" s="481" t="s">
        <v>1087</v>
      </c>
      <c r="C6" s="481"/>
      <c r="D6" s="481"/>
      <c r="E6" s="485"/>
      <c r="F6" s="481"/>
      <c r="G6" s="481"/>
      <c r="H6" s="483"/>
      <c r="I6" s="478"/>
      <c r="J6" s="1566"/>
    </row>
    <row r="7" spans="1:10" ht="20.25" customHeight="1">
      <c r="A7" s="481"/>
      <c r="B7" s="482" t="s">
        <v>1086</v>
      </c>
      <c r="C7" s="481"/>
      <c r="D7" s="481"/>
      <c r="E7" s="485"/>
      <c r="F7" s="481"/>
      <c r="G7" s="481"/>
      <c r="H7" s="483"/>
      <c r="I7" s="478"/>
      <c r="J7" s="1566"/>
    </row>
    <row r="8" spans="1:10" ht="12" customHeight="1">
      <c r="A8" s="481"/>
      <c r="B8" s="487" t="s">
        <v>1483</v>
      </c>
      <c r="C8" s="488"/>
      <c r="D8" s="488"/>
      <c r="E8" s="489"/>
      <c r="F8" s="487" t="s">
        <v>1484</v>
      </c>
      <c r="G8" s="490"/>
      <c r="H8" s="491"/>
      <c r="I8" s="478"/>
      <c r="J8" s="1566"/>
    </row>
    <row r="9" spans="1:10" ht="27" customHeight="1">
      <c r="A9" s="481"/>
      <c r="B9" s="1836" t="str">
        <f>'T1 GEN-1'!D12&amp;" "&amp;'T1 GEN-1'!D14</f>
        <v> </v>
      </c>
      <c r="C9" s="1837"/>
      <c r="D9" s="1837"/>
      <c r="E9" s="1838"/>
      <c r="F9" s="492"/>
      <c r="G9" s="514">
        <f>'T1 GEN-1'!T12</f>
        <v>1</v>
      </c>
      <c r="H9" s="493"/>
      <c r="I9" s="478"/>
      <c r="J9" s="1566"/>
    </row>
    <row r="10" spans="1:10" ht="11.25" customHeight="1">
      <c r="A10" s="481"/>
      <c r="B10" s="494" t="s">
        <v>1599</v>
      </c>
      <c r="C10" s="495"/>
      <c r="D10" s="495"/>
      <c r="E10" s="496"/>
      <c r="F10" s="487" t="s">
        <v>1484</v>
      </c>
      <c r="G10" s="495"/>
      <c r="H10" s="491"/>
      <c r="I10" s="478"/>
      <c r="J10" s="1566"/>
    </row>
    <row r="11" spans="1:10" ht="27" customHeight="1">
      <c r="A11" s="481"/>
      <c r="B11" s="1839">
        <f>'T1 GEN-1'!S28</f>
        <v>0</v>
      </c>
      <c r="C11" s="1840"/>
      <c r="D11" s="1840"/>
      <c r="E11" s="1841"/>
      <c r="F11" s="516"/>
      <c r="G11" s="514">
        <f>'T1 GEN-1'!T26</f>
        <v>0</v>
      </c>
      <c r="H11" s="517"/>
      <c r="I11" s="478"/>
      <c r="J11" s="1566"/>
    </row>
    <row r="12" spans="1:10" ht="27.75" customHeight="1">
      <c r="A12" s="481"/>
      <c r="B12" s="484" t="s">
        <v>1600</v>
      </c>
      <c r="C12" s="481"/>
      <c r="D12" s="481"/>
      <c r="E12" s="485"/>
      <c r="F12" s="481"/>
      <c r="G12" s="481"/>
      <c r="H12" s="483"/>
      <c r="I12" s="478"/>
      <c r="J12" s="1566"/>
    </row>
    <row r="13" spans="1:10" ht="26.25" customHeight="1">
      <c r="A13" s="481"/>
      <c r="B13" s="495" t="s">
        <v>2304</v>
      </c>
      <c r="C13" s="495"/>
      <c r="D13" s="495"/>
      <c r="E13" s="496"/>
      <c r="F13" s="495"/>
      <c r="G13" s="495"/>
      <c r="H13" s="497"/>
      <c r="I13" s="478"/>
      <c r="J13" s="1566"/>
    </row>
    <row r="14" spans="1:10" ht="15.75">
      <c r="A14" s="498"/>
      <c r="B14" s="499" t="s">
        <v>2305</v>
      </c>
      <c r="C14" s="495"/>
      <c r="D14" s="495"/>
      <c r="E14" s="502">
        <f>IF(year=G4,'T4RSP'!J73,0)</f>
        <v>0</v>
      </c>
      <c r="F14" s="896">
        <v>1</v>
      </c>
      <c r="G14" s="495"/>
      <c r="H14" s="497"/>
      <c r="I14" s="478"/>
      <c r="J14" s="1566"/>
    </row>
    <row r="15" spans="1:10" ht="18">
      <c r="A15" s="498"/>
      <c r="B15" s="501" t="s">
        <v>2306</v>
      </c>
      <c r="C15" s="495"/>
      <c r="D15" s="495"/>
      <c r="E15" s="496"/>
      <c r="F15" s="896"/>
      <c r="G15" s="495"/>
      <c r="H15" s="497"/>
      <c r="I15" s="478"/>
      <c r="J15" s="1566"/>
    </row>
    <row r="16" spans="1:10" ht="15.75">
      <c r="A16" s="498"/>
      <c r="B16" s="501" t="s">
        <v>2307</v>
      </c>
      <c r="C16" s="495"/>
      <c r="D16" s="495"/>
      <c r="E16" s="502"/>
      <c r="F16" s="896">
        <v>2</v>
      </c>
      <c r="G16" s="495"/>
      <c r="H16" s="497"/>
      <c r="I16" s="478"/>
      <c r="J16" s="1566"/>
    </row>
    <row r="17" spans="1:10" ht="15.75">
      <c r="A17" s="498"/>
      <c r="B17" s="501" t="s">
        <v>2118</v>
      </c>
      <c r="C17" s="495"/>
      <c r="D17" s="495"/>
      <c r="E17" s="500">
        <f>E14-E16</f>
        <v>0</v>
      </c>
      <c r="F17" s="503" t="s">
        <v>1177</v>
      </c>
      <c r="G17" s="500">
        <f>E17</f>
        <v>0</v>
      </c>
      <c r="H17" s="896">
        <v>3</v>
      </c>
      <c r="I17" s="478"/>
      <c r="J17" s="1566"/>
    </row>
    <row r="18" spans="1:10" ht="18">
      <c r="A18" s="498"/>
      <c r="B18" s="501" t="s">
        <v>1627</v>
      </c>
      <c r="C18" s="495"/>
      <c r="D18" s="495"/>
      <c r="E18" s="496"/>
      <c r="F18" s="495"/>
      <c r="G18" s="495"/>
      <c r="H18" s="497"/>
      <c r="I18" s="478"/>
      <c r="J18" s="1566"/>
    </row>
    <row r="19" spans="1:10" ht="15.75">
      <c r="A19" s="498"/>
      <c r="B19" s="501" t="s">
        <v>2308</v>
      </c>
      <c r="C19" s="495"/>
      <c r="D19" s="495"/>
      <c r="E19" s="502"/>
      <c r="F19" s="896">
        <v>4</v>
      </c>
      <c r="G19" s="495"/>
      <c r="H19" s="497"/>
      <c r="I19" s="478"/>
      <c r="J19" s="1566"/>
    </row>
    <row r="20" spans="1:10" ht="15.75">
      <c r="A20" s="498"/>
      <c r="B20" s="501" t="s">
        <v>1628</v>
      </c>
      <c r="C20" s="495"/>
      <c r="D20" s="495"/>
      <c r="E20" s="504"/>
      <c r="F20" s="896"/>
      <c r="G20" s="495"/>
      <c r="H20" s="497"/>
      <c r="I20" s="478"/>
      <c r="J20" s="1566"/>
    </row>
    <row r="21" spans="1:10" ht="15">
      <c r="A21" s="481"/>
      <c r="B21" s="501" t="s">
        <v>1515</v>
      </c>
      <c r="C21" s="495"/>
      <c r="D21" s="495"/>
      <c r="E21" s="502"/>
      <c r="F21" s="896">
        <v>5</v>
      </c>
      <c r="G21" s="505"/>
      <c r="H21" s="506"/>
      <c r="I21" s="478"/>
      <c r="J21" s="1566"/>
    </row>
    <row r="22" spans="1:10" ht="15.75">
      <c r="A22" s="481"/>
      <c r="B22" s="495" t="s">
        <v>2119</v>
      </c>
      <c r="C22" s="495"/>
      <c r="D22" s="495"/>
      <c r="E22" s="500">
        <f>E19-E21</f>
        <v>0</v>
      </c>
      <c r="F22" s="503" t="s">
        <v>1177</v>
      </c>
      <c r="G22" s="500">
        <f>E22</f>
        <v>0</v>
      </c>
      <c r="H22" s="896">
        <v>6</v>
      </c>
      <c r="I22" s="478"/>
      <c r="J22" s="1566"/>
    </row>
    <row r="23" spans="1:10" ht="15">
      <c r="A23" s="481"/>
      <c r="B23" s="495" t="s">
        <v>1516</v>
      </c>
      <c r="C23" s="495"/>
      <c r="D23" s="495"/>
      <c r="E23" s="495"/>
      <c r="F23" s="495"/>
      <c r="G23" s="500">
        <f>E14</f>
        <v>0</v>
      </c>
      <c r="H23" s="896">
        <v>7</v>
      </c>
      <c r="I23" s="478"/>
      <c r="J23" s="1566"/>
    </row>
    <row r="24" spans="1:10" ht="12.75">
      <c r="A24" s="481"/>
      <c r="B24" s="495" t="s">
        <v>2309</v>
      </c>
      <c r="C24" s="495"/>
      <c r="D24" s="495"/>
      <c r="E24" s="495"/>
      <c r="F24" s="495"/>
      <c r="G24" s="505"/>
      <c r="H24" s="501"/>
      <c r="I24" s="478"/>
      <c r="J24" s="1566"/>
    </row>
    <row r="25" spans="1:10" ht="15.75" thickBot="1">
      <c r="A25" s="481"/>
      <c r="B25" s="495" t="s">
        <v>2310</v>
      </c>
      <c r="C25" s="495"/>
      <c r="D25" s="495"/>
      <c r="E25" s="495"/>
      <c r="F25" s="495"/>
      <c r="G25" s="714">
        <f>MIN(G17,G22)</f>
        <v>0</v>
      </c>
      <c r="H25" s="896">
        <v>8</v>
      </c>
      <c r="I25" s="478"/>
      <c r="J25" s="1566"/>
    </row>
    <row r="26" spans="1:10" ht="15.75" thickBot="1">
      <c r="A26" s="481"/>
      <c r="B26" s="495" t="s">
        <v>2311</v>
      </c>
      <c r="C26" s="495"/>
      <c r="D26" s="495"/>
      <c r="E26" s="495"/>
      <c r="F26" s="495"/>
      <c r="G26" s="715">
        <f>G23-G25</f>
        <v>0</v>
      </c>
      <c r="H26" s="896">
        <v>9</v>
      </c>
      <c r="I26" s="478"/>
      <c r="J26" s="1566"/>
    </row>
    <row r="27" spans="1:10" ht="17.25" customHeight="1" thickTop="1">
      <c r="A27" s="481"/>
      <c r="B27" s="495"/>
      <c r="C27" s="495"/>
      <c r="D27" s="495"/>
      <c r="E27" s="495"/>
      <c r="F27" s="481"/>
      <c r="G27" s="505"/>
      <c r="H27" s="507"/>
      <c r="I27" s="478"/>
      <c r="J27" s="1566"/>
    </row>
    <row r="28" spans="1:10" ht="15.75">
      <c r="A28" s="481"/>
      <c r="B28" s="484" t="s">
        <v>908</v>
      </c>
      <c r="C28" s="481"/>
      <c r="D28" s="481"/>
      <c r="E28" s="481"/>
      <c r="F28" s="481"/>
      <c r="G28" s="481"/>
      <c r="H28" s="508"/>
      <c r="I28" s="478"/>
      <c r="J28" s="1566"/>
    </row>
    <row r="29" spans="1:10" ht="28.5" customHeight="1">
      <c r="A29" s="481"/>
      <c r="B29" s="495" t="s">
        <v>1088</v>
      </c>
      <c r="C29" s="495"/>
      <c r="D29" s="495"/>
      <c r="E29" s="505"/>
      <c r="F29" s="495"/>
      <c r="G29" s="495"/>
      <c r="H29" s="509"/>
      <c r="I29" s="478"/>
      <c r="J29" s="1566"/>
    </row>
    <row r="30" spans="1:10" ht="15.75" customHeight="1">
      <c r="A30" s="481"/>
      <c r="B30" s="495" t="s">
        <v>2312</v>
      </c>
      <c r="C30" s="495"/>
      <c r="D30" s="495"/>
      <c r="E30" s="502">
        <f>IF(year=G4,'T4RIF'!J59,0)</f>
        <v>0</v>
      </c>
      <c r="F30" s="896">
        <v>10</v>
      </c>
      <c r="G30" s="515"/>
      <c r="H30" s="509"/>
      <c r="I30" s="478"/>
      <c r="J30" s="1566"/>
    </row>
    <row r="31" spans="1:10" ht="21" customHeight="1">
      <c r="A31" s="481"/>
      <c r="B31" s="495" t="s">
        <v>2313</v>
      </c>
      <c r="C31" s="495"/>
      <c r="D31" s="495"/>
      <c r="E31" s="505"/>
      <c r="F31" s="896"/>
      <c r="G31" s="515"/>
      <c r="H31" s="509"/>
      <c r="I31" s="478"/>
      <c r="J31" s="1566"/>
    </row>
    <row r="32" spans="1:10" ht="11.25" customHeight="1">
      <c r="A32" s="481"/>
      <c r="B32" s="495" t="s">
        <v>2314</v>
      </c>
      <c r="C32" s="495"/>
      <c r="D32" s="495"/>
      <c r="E32" s="510"/>
      <c r="F32" s="896"/>
      <c r="G32" s="501"/>
      <c r="H32" s="509"/>
      <c r="I32" s="478"/>
      <c r="J32" s="1566"/>
    </row>
    <row r="33" spans="1:10" ht="15.75">
      <c r="A33" s="481"/>
      <c r="B33" s="495" t="s">
        <v>2315</v>
      </c>
      <c r="C33" s="502">
        <f>IF(year=G4,'T4RIF'!J60,0)</f>
        <v>0</v>
      </c>
      <c r="D33" s="896">
        <v>11</v>
      </c>
      <c r="E33" s="515"/>
      <c r="F33" s="896"/>
      <c r="G33" s="495"/>
      <c r="H33" s="509"/>
      <c r="I33" s="478"/>
      <c r="J33" s="1566"/>
    </row>
    <row r="34" spans="1:10" ht="20.25" customHeight="1">
      <c r="A34" s="481"/>
      <c r="B34" s="495" t="s">
        <v>1176</v>
      </c>
      <c r="C34" s="495"/>
      <c r="D34" s="896"/>
      <c r="E34" s="510"/>
      <c r="F34" s="896"/>
      <c r="G34" s="495"/>
      <c r="H34" s="509"/>
      <c r="I34" s="478"/>
      <c r="J34" s="1566"/>
    </row>
    <row r="35" spans="1:10" ht="14.25">
      <c r="A35" s="481"/>
      <c r="B35" s="495" t="s">
        <v>2316</v>
      </c>
      <c r="C35" s="495"/>
      <c r="D35" s="896"/>
      <c r="E35" s="510"/>
      <c r="F35" s="896"/>
      <c r="G35" s="495"/>
      <c r="H35" s="509"/>
      <c r="I35" s="478"/>
      <c r="J35" s="1566"/>
    </row>
    <row r="36" spans="1:10" ht="15.75" thickBot="1">
      <c r="A36" s="481"/>
      <c r="B36" s="495" t="s">
        <v>2317</v>
      </c>
      <c r="C36" s="713"/>
      <c r="D36" s="896">
        <v>12</v>
      </c>
      <c r="E36" s="510"/>
      <c r="F36" s="896"/>
      <c r="G36" s="495"/>
      <c r="H36" s="509"/>
      <c r="I36" s="478"/>
      <c r="J36" s="1566"/>
    </row>
    <row r="37" spans="1:10" ht="16.5" thickBot="1">
      <c r="A37" s="481"/>
      <c r="B37" s="495" t="s">
        <v>2085</v>
      </c>
      <c r="C37" s="500">
        <f>C33-C36</f>
        <v>0</v>
      </c>
      <c r="D37" s="503" t="s">
        <v>1177</v>
      </c>
      <c r="E37" s="714">
        <f>C37</f>
        <v>0</v>
      </c>
      <c r="F37" s="896">
        <v>13</v>
      </c>
      <c r="G37" s="495"/>
      <c r="H37" s="509"/>
      <c r="I37" s="478"/>
      <c r="J37" s="1566"/>
    </row>
    <row r="38" spans="1:10" ht="15.75">
      <c r="A38" s="481"/>
      <c r="B38" s="495" t="s">
        <v>2086</v>
      </c>
      <c r="C38" s="495"/>
      <c r="D38" s="495"/>
      <c r="E38" s="500">
        <f>E30+E37</f>
        <v>0</v>
      </c>
      <c r="F38" s="503" t="s">
        <v>1177</v>
      </c>
      <c r="G38" s="500">
        <f>E38</f>
        <v>0</v>
      </c>
      <c r="H38" s="896">
        <v>14</v>
      </c>
      <c r="I38" s="478"/>
      <c r="J38" s="1566"/>
    </row>
    <row r="39" spans="1:10" ht="18" customHeight="1">
      <c r="A39" s="481"/>
      <c r="B39" s="495" t="s">
        <v>2318</v>
      </c>
      <c r="C39" s="495"/>
      <c r="D39" s="495"/>
      <c r="E39" s="510"/>
      <c r="F39" s="495"/>
      <c r="G39" s="495"/>
      <c r="H39" s="897"/>
      <c r="I39" s="478"/>
      <c r="J39" s="1566"/>
    </row>
    <row r="40" spans="1:10" ht="15">
      <c r="A40" s="481"/>
      <c r="B40" s="495" t="s">
        <v>2319</v>
      </c>
      <c r="C40" s="495"/>
      <c r="D40" s="495"/>
      <c r="E40" s="510"/>
      <c r="F40" s="495"/>
      <c r="G40" s="495"/>
      <c r="H40" s="897"/>
      <c r="I40" s="478"/>
      <c r="J40" s="1566"/>
    </row>
    <row r="41" spans="1:10" ht="15">
      <c r="A41" s="481"/>
      <c r="B41" s="495" t="s">
        <v>2320</v>
      </c>
      <c r="C41" s="495"/>
      <c r="D41" s="495"/>
      <c r="E41" s="502">
        <f>E19</f>
        <v>0</v>
      </c>
      <c r="F41" s="896">
        <v>15</v>
      </c>
      <c r="G41" s="495"/>
      <c r="H41" s="897"/>
      <c r="I41" s="478"/>
      <c r="J41" s="1566"/>
    </row>
    <row r="42" spans="1:10" ht="18" customHeight="1">
      <c r="A42" s="481"/>
      <c r="B42" s="495" t="s">
        <v>2321</v>
      </c>
      <c r="C42" s="495"/>
      <c r="D42" s="495"/>
      <c r="E42" s="510"/>
      <c r="F42" s="896"/>
      <c r="G42" s="511"/>
      <c r="H42" s="897"/>
      <c r="I42" s="478"/>
      <c r="J42" s="1566"/>
    </row>
    <row r="43" spans="1:10" ht="14.25">
      <c r="A43" s="481"/>
      <c r="B43" s="495" t="s">
        <v>2322</v>
      </c>
      <c r="C43" s="495"/>
      <c r="D43" s="495"/>
      <c r="E43" s="510"/>
      <c r="F43" s="896"/>
      <c r="G43" s="511"/>
      <c r="H43" s="896"/>
      <c r="I43" s="478"/>
      <c r="J43" s="1566"/>
    </row>
    <row r="44" spans="1:10" ht="15">
      <c r="A44" s="481"/>
      <c r="B44" s="495" t="s">
        <v>2323</v>
      </c>
      <c r="C44" s="495"/>
      <c r="D44" s="495"/>
      <c r="E44" s="502">
        <f>E21+G25</f>
        <v>0</v>
      </c>
      <c r="F44" s="896">
        <v>16</v>
      </c>
      <c r="G44" s="511"/>
      <c r="H44" s="897"/>
      <c r="I44" s="478"/>
      <c r="J44" s="1566"/>
    </row>
    <row r="45" spans="1:10" ht="15.75">
      <c r="A45" s="481"/>
      <c r="B45" s="495" t="s">
        <v>2087</v>
      </c>
      <c r="C45" s="495"/>
      <c r="D45" s="495"/>
      <c r="E45" s="500">
        <f>E41-E44</f>
        <v>0</v>
      </c>
      <c r="F45" s="503" t="s">
        <v>1177</v>
      </c>
      <c r="G45" s="500">
        <f>E45</f>
        <v>0</v>
      </c>
      <c r="H45" s="896">
        <v>17</v>
      </c>
      <c r="I45" s="478"/>
      <c r="J45" s="1566"/>
    </row>
    <row r="46" spans="1:10" ht="15">
      <c r="A46" s="481"/>
      <c r="B46" s="495" t="s">
        <v>520</v>
      </c>
      <c r="C46" s="495"/>
      <c r="D46" s="495"/>
      <c r="E46" s="510"/>
      <c r="F46" s="495"/>
      <c r="G46" s="495"/>
      <c r="H46" s="897"/>
      <c r="I46" s="478"/>
      <c r="J46" s="1566"/>
    </row>
    <row r="47" spans="1:10" ht="15.75">
      <c r="A47" s="481"/>
      <c r="B47" s="495" t="s">
        <v>2324</v>
      </c>
      <c r="C47" s="495"/>
      <c r="D47" s="495"/>
      <c r="E47" s="510"/>
      <c r="F47" s="495"/>
      <c r="G47" s="502">
        <f>IF(year=G4,'T4RIF'!J58+'T4RIF'!J59,0)</f>
        <v>0</v>
      </c>
      <c r="H47" s="896">
        <v>18</v>
      </c>
      <c r="I47" s="515"/>
      <c r="J47" s="1566"/>
    </row>
    <row r="48" spans="1:10" ht="16.5" customHeight="1">
      <c r="A48" s="481"/>
      <c r="B48" s="495" t="s">
        <v>2325</v>
      </c>
      <c r="C48" s="495"/>
      <c r="D48" s="495"/>
      <c r="E48" s="510"/>
      <c r="F48" s="495"/>
      <c r="G48" s="495"/>
      <c r="H48" s="897"/>
      <c r="I48" s="478"/>
      <c r="J48" s="1566"/>
    </row>
    <row r="49" spans="1:10" ht="11.25" customHeight="1">
      <c r="A49" s="481"/>
      <c r="B49" s="495" t="s">
        <v>2326</v>
      </c>
      <c r="C49" s="495"/>
      <c r="D49" s="495"/>
      <c r="E49" s="510"/>
      <c r="F49" s="495"/>
      <c r="G49" s="495"/>
      <c r="H49" s="897"/>
      <c r="I49" s="478"/>
      <c r="J49" s="1566"/>
    </row>
    <row r="50" spans="1:10" ht="15.75" thickBot="1">
      <c r="A50" s="481"/>
      <c r="B50" s="495" t="s">
        <v>2327</v>
      </c>
      <c r="C50" s="495"/>
      <c r="D50" s="495"/>
      <c r="E50" s="510"/>
      <c r="F50" s="495"/>
      <c r="G50" s="714">
        <f>MIN(G38,G45)</f>
        <v>0</v>
      </c>
      <c r="H50" s="896">
        <v>19</v>
      </c>
      <c r="I50" s="478"/>
      <c r="J50" s="1566"/>
    </row>
    <row r="51" spans="1:10" ht="15.75" thickBot="1">
      <c r="A51" s="481"/>
      <c r="B51" s="495" t="s">
        <v>2328</v>
      </c>
      <c r="C51" s="495"/>
      <c r="D51" s="495"/>
      <c r="E51" s="510"/>
      <c r="F51" s="495"/>
      <c r="G51" s="715">
        <f>G47-G50</f>
        <v>0</v>
      </c>
      <c r="H51" s="896">
        <v>20</v>
      </c>
      <c r="I51" s="478"/>
      <c r="J51" s="1566"/>
    </row>
    <row r="52" spans="1:10" ht="11.25" customHeight="1" thickTop="1">
      <c r="A52" s="481"/>
      <c r="B52" s="495" t="s">
        <v>2329</v>
      </c>
      <c r="C52" s="495"/>
      <c r="D52" s="495"/>
      <c r="E52" s="510"/>
      <c r="F52" s="495"/>
      <c r="G52" s="495"/>
      <c r="H52" s="509"/>
      <c r="I52" s="478"/>
      <c r="J52" s="1566"/>
    </row>
    <row r="53" spans="1:10" ht="19.5" customHeight="1">
      <c r="A53" s="481"/>
      <c r="B53" s="512" t="s">
        <v>2330</v>
      </c>
      <c r="C53" s="495"/>
      <c r="D53" s="495"/>
      <c r="E53" s="510"/>
      <c r="F53" s="481"/>
      <c r="G53" s="481"/>
      <c r="H53" s="508"/>
      <c r="I53" s="478"/>
      <c r="J53" s="1566"/>
    </row>
    <row r="54" spans="1:10" ht="11.25" customHeight="1">
      <c r="A54" s="481"/>
      <c r="B54" s="513"/>
      <c r="C54" s="495"/>
      <c r="D54" s="495"/>
      <c r="E54" s="510"/>
      <c r="F54" s="481"/>
      <c r="G54" s="481"/>
      <c r="H54" s="508"/>
      <c r="I54" s="478"/>
      <c r="J54" s="1566"/>
    </row>
    <row r="55" spans="1:10" ht="11.25" customHeight="1">
      <c r="A55" s="481"/>
      <c r="B55" s="495"/>
      <c r="C55" s="495"/>
      <c r="D55" s="495"/>
      <c r="E55" s="510"/>
      <c r="F55" s="481"/>
      <c r="G55" s="481"/>
      <c r="H55" s="508"/>
      <c r="I55" s="478"/>
      <c r="J55" s="1566"/>
    </row>
    <row r="56" ht="12.75" customHeight="1"/>
    <row r="57" ht="12" customHeight="1">
      <c r="B57" s="898" t="s">
        <v>1855</v>
      </c>
    </row>
    <row r="58" ht="12" customHeight="1">
      <c r="B58" s="898" t="s">
        <v>959</v>
      </c>
    </row>
    <row r="59" ht="12" customHeight="1">
      <c r="B59" s="898" t="s">
        <v>1089</v>
      </c>
    </row>
    <row r="60" ht="12" customHeight="1">
      <c r="B60" s="898" t="s">
        <v>1090</v>
      </c>
    </row>
    <row r="61" ht="12" customHeight="1">
      <c r="B61" s="898" t="s">
        <v>1091</v>
      </c>
    </row>
    <row r="62" ht="12" customHeight="1">
      <c r="B62" s="898" t="s">
        <v>960</v>
      </c>
    </row>
    <row r="63" ht="12" customHeight="1">
      <c r="B63" s="898" t="s">
        <v>961</v>
      </c>
    </row>
    <row r="64" ht="12" customHeight="1">
      <c r="B64" s="898" t="s">
        <v>962</v>
      </c>
    </row>
    <row r="65" ht="12" customHeight="1">
      <c r="B65" s="898" t="s">
        <v>963</v>
      </c>
    </row>
    <row r="66" ht="12" customHeight="1">
      <c r="B66" s="898" t="s">
        <v>964</v>
      </c>
    </row>
    <row r="67" ht="20.25" customHeight="1">
      <c r="B67" s="898" t="s">
        <v>965</v>
      </c>
    </row>
    <row r="68" ht="12" customHeight="1">
      <c r="B68" s="898" t="s">
        <v>966</v>
      </c>
    </row>
    <row r="69" ht="20.25" customHeight="1">
      <c r="B69" s="898" t="s">
        <v>967</v>
      </c>
    </row>
    <row r="70" ht="12" customHeight="1">
      <c r="B70" s="898" t="s">
        <v>1092</v>
      </c>
    </row>
    <row r="71" ht="12" customHeight="1">
      <c r="B71" s="898" t="s">
        <v>1093</v>
      </c>
    </row>
    <row r="72" ht="12" customHeight="1">
      <c r="B72" s="898" t="s">
        <v>1094</v>
      </c>
    </row>
    <row r="73" ht="27" customHeight="1">
      <c r="B73" s="898" t="s">
        <v>1903</v>
      </c>
    </row>
    <row r="74" ht="12" customHeight="1">
      <c r="B74" s="898" t="s">
        <v>1904</v>
      </c>
    </row>
    <row r="75" ht="12" customHeight="1">
      <c r="B75" s="898" t="s">
        <v>1095</v>
      </c>
    </row>
    <row r="76" ht="12" customHeight="1">
      <c r="B76" s="898" t="s">
        <v>1096</v>
      </c>
    </row>
    <row r="77" ht="12" customHeight="1">
      <c r="B77" s="898" t="s">
        <v>968</v>
      </c>
    </row>
    <row r="78" ht="25.5" customHeight="1">
      <c r="B78" s="1319" t="s">
        <v>969</v>
      </c>
    </row>
    <row r="79" ht="21.75" customHeight="1">
      <c r="B79" s="898" t="s">
        <v>970</v>
      </c>
    </row>
    <row r="80" ht="12" customHeight="1">
      <c r="B80" s="898" t="s">
        <v>1097</v>
      </c>
    </row>
    <row r="81" ht="12" customHeight="1">
      <c r="B81" s="898" t="s">
        <v>1098</v>
      </c>
    </row>
    <row r="82" ht="12" customHeight="1">
      <c r="B82" s="898" t="s">
        <v>971</v>
      </c>
    </row>
    <row r="83" ht="12" customHeight="1">
      <c r="B83" s="898" t="s">
        <v>1099</v>
      </c>
    </row>
    <row r="84" ht="12" customHeight="1">
      <c r="B84" s="898" t="s">
        <v>2610</v>
      </c>
    </row>
    <row r="85" ht="12" customHeight="1">
      <c r="B85" s="898" t="s">
        <v>972</v>
      </c>
    </row>
    <row r="86" ht="27" customHeight="1">
      <c r="B86" s="1319" t="s">
        <v>973</v>
      </c>
    </row>
    <row r="87" ht="24.75" customHeight="1">
      <c r="B87" s="898" t="s">
        <v>93</v>
      </c>
    </row>
    <row r="88" ht="15">
      <c r="B88" s="898" t="s">
        <v>94</v>
      </c>
    </row>
    <row r="89" ht="22.5" customHeight="1">
      <c r="B89" s="898" t="s">
        <v>95</v>
      </c>
    </row>
    <row r="90" ht="12" customHeight="1">
      <c r="B90" s="898" t="s">
        <v>2331</v>
      </c>
    </row>
    <row r="91" ht="12" customHeight="1">
      <c r="B91" s="898" t="s">
        <v>2332</v>
      </c>
    </row>
    <row r="92" ht="12" customHeight="1">
      <c r="B92" s="898" t="s">
        <v>1100</v>
      </c>
    </row>
    <row r="93" ht="12" customHeight="1">
      <c r="B93" s="898" t="s">
        <v>2333</v>
      </c>
    </row>
    <row r="94" ht="14.25" customHeight="1">
      <c r="B94" s="898" t="s">
        <v>96</v>
      </c>
    </row>
    <row r="95" ht="12" customHeight="1">
      <c r="B95" s="898" t="s">
        <v>2334</v>
      </c>
    </row>
    <row r="96" ht="12" customHeight="1">
      <c r="B96" s="898" t="s">
        <v>2335</v>
      </c>
    </row>
    <row r="97" ht="12" customHeight="1">
      <c r="B97" s="898" t="s">
        <v>2336</v>
      </c>
    </row>
    <row r="98" ht="12" customHeight="1">
      <c r="B98" s="898" t="s">
        <v>2337</v>
      </c>
    </row>
    <row r="99" ht="12" customHeight="1">
      <c r="B99" s="898" t="s">
        <v>2338</v>
      </c>
    </row>
    <row r="100" ht="12" customHeight="1">
      <c r="B100" s="898" t="s">
        <v>2339</v>
      </c>
    </row>
    <row r="101" ht="27" customHeight="1">
      <c r="B101" s="1319" t="s">
        <v>97</v>
      </c>
    </row>
    <row r="102" ht="21" customHeight="1">
      <c r="B102" s="898" t="s">
        <v>98</v>
      </c>
    </row>
    <row r="103" ht="12" customHeight="1">
      <c r="B103" s="898" t="s">
        <v>99</v>
      </c>
    </row>
    <row r="104" ht="12" customHeight="1">
      <c r="B104" s="898" t="s">
        <v>100</v>
      </c>
    </row>
    <row r="105" ht="12" customHeight="1">
      <c r="B105" s="898" t="s">
        <v>2611</v>
      </c>
    </row>
    <row r="106" ht="27" customHeight="1">
      <c r="B106" s="1319" t="s">
        <v>543</v>
      </c>
    </row>
    <row r="107" ht="24.75" customHeight="1">
      <c r="B107" s="898" t="s">
        <v>544</v>
      </c>
    </row>
    <row r="108" ht="12" customHeight="1">
      <c r="B108" s="898" t="s">
        <v>545</v>
      </c>
    </row>
    <row r="109" ht="12" customHeight="1">
      <c r="B109" s="898" t="s">
        <v>546</v>
      </c>
    </row>
    <row r="110" ht="12" customHeight="1">
      <c r="B110" s="898" t="s">
        <v>546</v>
      </c>
    </row>
    <row r="111" ht="12.75">
      <c r="B111" s="1320" t="s">
        <v>547</v>
      </c>
    </row>
    <row r="112" ht="15">
      <c r="B112" s="898"/>
    </row>
    <row r="113" ht="15">
      <c r="B113" s="898"/>
    </row>
    <row r="114" ht="15">
      <c r="B114" s="898"/>
    </row>
    <row r="115" ht="15">
      <c r="B115" s="898"/>
    </row>
    <row r="116" ht="15">
      <c r="B116" s="898"/>
    </row>
    <row r="117" ht="15">
      <c r="B117" s="898"/>
    </row>
    <row r="118" ht="15">
      <c r="B118" s="898"/>
    </row>
    <row r="119" ht="15">
      <c r="B119" s="898"/>
    </row>
    <row r="120" ht="15">
      <c r="B120" s="898"/>
    </row>
    <row r="121" ht="15">
      <c r="B121" s="898"/>
    </row>
  </sheetData>
  <sheetProtection password="EC35" sheet="1" objects="1" scenarios="1"/>
  <mergeCells count="3">
    <mergeCell ref="B9:E9"/>
    <mergeCell ref="B11:E11"/>
    <mergeCell ref="J1:J55"/>
  </mergeCells>
  <dataValidations count="8">
    <dataValidation allowBlank="1" showInputMessage="1" showErrorMessage="1" promptTitle="DEFAULT FORMULA" prompt="From line 4 of Part 1 above.  If you didn't complete part 1 above, enter the value as per the instructions for this line" sqref="E41"/>
    <dataValidation allowBlank="1" showInputMessage="1" showErrorMessage="1" promptTitle="DEFAULT FORMULA" prompt="Line 5 plus line 8 from Part 1 above.  If you didn't complete Part 1, enter the value as per the instructions for this line" sqref="E44"/>
    <dataValidation allowBlank="1" showInputMessage="1" showErrorMessage="1" promptTitle="DEFAULT FORMULA" prompt="This formula is for the year of this income tax return.  If you are working out another year, then put in the proper value for that year." sqref="E14"/>
    <dataValidation allowBlank="1" showInputMessage="1" showErrorMessage="1" promptTitle="DEFAULT FORMULA" prompt="This formula is for the tax year of this income tax return.  If you are calculating for another year, then put in the proper data for that year." sqref="G47"/>
    <dataValidation allowBlank="1" showInputMessage="1" showErrorMessage="1" promptTitle="DEFAULT FORMULA" prompt="This formula is for the year of this income tax return.  If you are caculating another year, then put in the proper data for that year." sqref="C33"/>
    <dataValidation allowBlank="1" showInputMessage="1" showErrorMessage="1" promptTitle="DEFAULT FORMULA" prompt="This formula is for the tax year of this income tax return.  If you are calculating another year, then put in the proper data for that year." sqref="E30"/>
    <dataValidation allowBlank="1" showInputMessage="1" showErrorMessage="1" promptTitle="DEFAULT FORMULA" prompt="If doing this calculation for a year other than the tax year of this form, then please enter the four digits of the year" sqref="G4"/>
    <dataValidation allowBlank="1" showInputMessage="1" showErrorMessage="1" promptTitle="DEFAULT FORMULA" prompt="If you wish, you can override this which comes from T1 GEN-1 spouse or common law partner information." sqref="B11:E11"/>
  </dataValidations>
  <printOptions horizontalCentered="1"/>
  <pageMargins left="0.4" right="0.45" top="0.5" bottom="0.25" header="0.24" footer="0.5"/>
  <pageSetup fitToHeight="0" fitToWidth="1" horizontalDpi="600" verticalDpi="600" orientation="portrait" scale="82" r:id="rId4"/>
  <drawing r:id="rId3"/>
  <legacyDrawing r:id="rId2"/>
</worksheet>
</file>

<file path=xl/worksheets/sheet38.xml><?xml version="1.0" encoding="utf-8"?>
<worksheet xmlns="http://schemas.openxmlformats.org/spreadsheetml/2006/main" xmlns:r="http://schemas.openxmlformats.org/officeDocument/2006/relationships">
  <sheetPr>
    <pageSetUpPr fitToPage="1"/>
  </sheetPr>
  <dimension ref="B1:M91"/>
  <sheetViews>
    <sheetView zoomScalePageLayoutView="0" workbookViewId="0" topLeftCell="A1">
      <selection activeCell="A1" sqref="A1"/>
    </sheetView>
  </sheetViews>
  <sheetFormatPr defaultColWidth="8.88671875" defaultRowHeight="15"/>
  <cols>
    <col min="1" max="1" width="1.77734375" style="630" customWidth="1"/>
    <col min="2" max="2" width="8.3359375" style="630" customWidth="1"/>
    <col min="3" max="3" width="37.5546875" style="630" customWidth="1"/>
    <col min="4" max="4" width="7.99609375" style="630" customWidth="1"/>
    <col min="5" max="10" width="12.21484375" style="630" customWidth="1"/>
    <col min="11" max="11" width="1.88671875" style="630" customWidth="1"/>
    <col min="12" max="16384" width="8.88671875" style="630" customWidth="1"/>
  </cols>
  <sheetData>
    <row r="1" spans="2:11" ht="18">
      <c r="B1" s="35"/>
      <c r="C1" s="33" t="str">
        <f>"T3-"&amp;yeartext&amp;" SLIPS DATA ENTRY FORM"</f>
        <v>T3-2009 SLIPS DATA ENTRY FORM</v>
      </c>
      <c r="D1" s="33"/>
      <c r="E1" s="322"/>
      <c r="F1" s="35"/>
      <c r="G1" s="33" t="s">
        <v>1987</v>
      </c>
      <c r="H1" s="36"/>
      <c r="I1" s="35"/>
      <c r="J1" s="36" t="str">
        <f>yeartext</f>
        <v>2009</v>
      </c>
      <c r="K1" s="629"/>
    </row>
    <row r="2" spans="2:11" ht="15.75">
      <c r="B2" s="35"/>
      <c r="C2" s="35"/>
      <c r="D2" s="37"/>
      <c r="E2" s="629"/>
      <c r="F2" s="35"/>
      <c r="G2" s="35"/>
      <c r="H2" s="35"/>
      <c r="I2" s="35"/>
      <c r="J2" s="35"/>
      <c r="K2" s="629"/>
    </row>
    <row r="3" spans="2:11" ht="18">
      <c r="B3" s="38"/>
      <c r="C3" s="38" t="s">
        <v>1845</v>
      </c>
      <c r="D3" s="35"/>
      <c r="E3" s="37"/>
      <c r="F3" s="35"/>
      <c r="G3" s="35"/>
      <c r="H3" s="35"/>
      <c r="I3" s="35"/>
      <c r="J3" s="35"/>
      <c r="K3" s="629"/>
    </row>
    <row r="4" spans="2:11" ht="18">
      <c r="B4" s="38"/>
      <c r="C4" s="38" t="s">
        <v>1662</v>
      </c>
      <c r="D4" s="35"/>
      <c r="E4" s="37"/>
      <c r="F4" s="35"/>
      <c r="G4" s="35"/>
      <c r="H4" s="35"/>
      <c r="I4" s="35"/>
      <c r="J4" s="35"/>
      <c r="K4" s="629"/>
    </row>
    <row r="5" spans="2:11" ht="18">
      <c r="B5" s="38"/>
      <c r="C5" s="38" t="s">
        <v>455</v>
      </c>
      <c r="D5" s="35"/>
      <c r="E5" s="37"/>
      <c r="F5" s="35"/>
      <c r="G5" s="35"/>
      <c r="H5" s="35"/>
      <c r="I5" s="35"/>
      <c r="J5" s="35"/>
      <c r="K5" s="629"/>
    </row>
    <row r="6" spans="2:11" ht="18">
      <c r="B6" s="38"/>
      <c r="C6" s="38" t="s">
        <v>456</v>
      </c>
      <c r="D6" s="35"/>
      <c r="E6" s="37"/>
      <c r="F6" s="35"/>
      <c r="G6" s="35"/>
      <c r="H6" s="35"/>
      <c r="I6" s="35"/>
      <c r="J6" s="35"/>
      <c r="K6" s="629"/>
    </row>
    <row r="7" spans="2:11" ht="18">
      <c r="B7" s="38"/>
      <c r="C7" s="38" t="s">
        <v>19</v>
      </c>
      <c r="D7" s="35"/>
      <c r="E7" s="37"/>
      <c r="F7" s="35"/>
      <c r="G7" s="35"/>
      <c r="H7" s="35"/>
      <c r="I7" s="35"/>
      <c r="J7" s="35"/>
      <c r="K7" s="629"/>
    </row>
    <row r="8" spans="2:11" ht="18">
      <c r="B8" s="38"/>
      <c r="C8" s="38" t="s">
        <v>592</v>
      </c>
      <c r="D8" s="35"/>
      <c r="E8" s="37"/>
      <c r="F8" s="35"/>
      <c r="G8" s="35"/>
      <c r="H8" s="35"/>
      <c r="I8" s="35"/>
      <c r="J8" s="35"/>
      <c r="K8" s="629"/>
    </row>
    <row r="9" spans="2:11" ht="18">
      <c r="B9" s="38"/>
      <c r="C9" s="38" t="s">
        <v>593</v>
      </c>
      <c r="D9" s="35"/>
      <c r="E9" s="37"/>
      <c r="F9" s="35"/>
      <c r="G9" s="35"/>
      <c r="H9" s="35"/>
      <c r="I9" s="35"/>
      <c r="J9" s="35"/>
      <c r="K9" s="629"/>
    </row>
    <row r="10" spans="2:11" ht="18">
      <c r="B10" s="38"/>
      <c r="C10" s="38" t="s">
        <v>852</v>
      </c>
      <c r="D10" s="35"/>
      <c r="E10" s="37"/>
      <c r="F10" s="35"/>
      <c r="G10" s="35"/>
      <c r="H10" s="35"/>
      <c r="I10" s="35"/>
      <c r="J10" s="35"/>
      <c r="K10" s="629"/>
    </row>
    <row r="11" spans="2:11" ht="18">
      <c r="B11" s="38"/>
      <c r="C11" s="38" t="s">
        <v>660</v>
      </c>
      <c r="D11" s="35"/>
      <c r="E11" s="37"/>
      <c r="F11" s="35"/>
      <c r="G11" s="35"/>
      <c r="H11" s="35"/>
      <c r="I11" s="35"/>
      <c r="J11" s="35"/>
      <c r="K11" s="629"/>
    </row>
    <row r="12" spans="2:11" ht="18">
      <c r="B12" s="38"/>
      <c r="C12" s="38"/>
      <c r="D12" s="35"/>
      <c r="E12" s="37"/>
      <c r="F12" s="35"/>
      <c r="G12" s="35"/>
      <c r="H12" s="35"/>
      <c r="I12" s="35"/>
      <c r="J12" s="35"/>
      <c r="K12" s="629"/>
    </row>
    <row r="13" spans="2:11" ht="23.25">
      <c r="B13" s="372" t="s">
        <v>1701</v>
      </c>
      <c r="C13" s="38"/>
      <c r="D13" s="35"/>
      <c r="E13" s="369"/>
      <c r="F13" s="35"/>
      <c r="G13" s="35"/>
      <c r="H13" s="35"/>
      <c r="I13" s="35"/>
      <c r="J13" s="35"/>
      <c r="K13" s="629"/>
    </row>
    <row r="14" spans="2:13" ht="36">
      <c r="B14" s="41" t="s">
        <v>855</v>
      </c>
      <c r="C14" s="41" t="s">
        <v>1068</v>
      </c>
      <c r="D14" s="41" t="s">
        <v>1467</v>
      </c>
      <c r="E14" s="42" t="s">
        <v>1424</v>
      </c>
      <c r="F14" s="42" t="s">
        <v>1425</v>
      </c>
      <c r="G14" s="42" t="s">
        <v>1426</v>
      </c>
      <c r="H14" s="42" t="s">
        <v>1675</v>
      </c>
      <c r="I14" s="42" t="s">
        <v>2402</v>
      </c>
      <c r="J14" s="42" t="s">
        <v>1217</v>
      </c>
      <c r="K14" s="629"/>
      <c r="M14" s="910"/>
    </row>
    <row r="15" spans="2:11" ht="18">
      <c r="B15" s="38"/>
      <c r="C15" s="38"/>
      <c r="D15" s="35"/>
      <c r="E15" s="37"/>
      <c r="F15" s="35"/>
      <c r="G15" s="35"/>
      <c r="H15" s="35"/>
      <c r="I15" s="35"/>
      <c r="J15" s="35"/>
      <c r="K15" s="629"/>
    </row>
    <row r="16" spans="2:11" ht="18">
      <c r="B16" s="46" t="s">
        <v>915</v>
      </c>
      <c r="C16" s="327" t="s">
        <v>1722</v>
      </c>
      <c r="D16" s="911" t="s">
        <v>127</v>
      </c>
      <c r="E16" s="370"/>
      <c r="F16" s="370"/>
      <c r="G16" s="370"/>
      <c r="H16" s="370"/>
      <c r="I16" s="370"/>
      <c r="J16" s="631">
        <f>SUM(E16:I16)</f>
        <v>0</v>
      </c>
      <c r="K16" s="629"/>
    </row>
    <row r="17" spans="2:11" ht="18">
      <c r="B17" s="35" t="s">
        <v>916</v>
      </c>
      <c r="C17" s="38"/>
      <c r="D17" s="911"/>
      <c r="E17" s="37"/>
      <c r="F17" s="35"/>
      <c r="G17" s="35"/>
      <c r="H17" s="37"/>
      <c r="I17" s="35"/>
      <c r="J17" s="35"/>
      <c r="K17" s="629"/>
    </row>
    <row r="18" spans="2:11" ht="18">
      <c r="B18" s="46" t="s">
        <v>1756</v>
      </c>
      <c r="C18" s="327" t="s">
        <v>1723</v>
      </c>
      <c r="D18" s="911" t="s">
        <v>1229</v>
      </c>
      <c r="E18" s="370"/>
      <c r="F18" s="370"/>
      <c r="G18" s="370"/>
      <c r="H18" s="370"/>
      <c r="I18" s="370"/>
      <c r="J18" s="631">
        <f>SUM(E18:I18)</f>
        <v>0</v>
      </c>
      <c r="K18" s="629"/>
    </row>
    <row r="19" spans="2:11" ht="18">
      <c r="B19" s="33"/>
      <c r="C19" s="322"/>
      <c r="D19" s="911"/>
      <c r="E19" s="33"/>
      <c r="F19" s="33"/>
      <c r="G19" s="33"/>
      <c r="H19" s="33"/>
      <c r="I19" s="33"/>
      <c r="J19" s="33"/>
      <c r="K19" s="629"/>
    </row>
    <row r="20" spans="2:11" ht="18">
      <c r="B20" s="46" t="s">
        <v>1689</v>
      </c>
      <c r="C20" s="327" t="s">
        <v>214</v>
      </c>
      <c r="D20" s="911" t="s">
        <v>956</v>
      </c>
      <c r="E20" s="370"/>
      <c r="F20" s="370"/>
      <c r="G20" s="370"/>
      <c r="H20" s="370"/>
      <c r="I20" s="370"/>
      <c r="J20" s="631">
        <f>SUM(E20:I20)</f>
        <v>0</v>
      </c>
      <c r="K20" s="629"/>
    </row>
    <row r="21" spans="2:11" ht="18">
      <c r="B21" s="341" t="s">
        <v>1064</v>
      </c>
      <c r="C21" s="38"/>
      <c r="D21" s="911"/>
      <c r="E21" s="33"/>
      <c r="F21" s="35"/>
      <c r="G21" s="35"/>
      <c r="H21" s="35"/>
      <c r="I21" s="35"/>
      <c r="J21" s="35"/>
      <c r="K21" s="629"/>
    </row>
    <row r="22" spans="2:11" ht="18">
      <c r="B22" s="56" t="s">
        <v>917</v>
      </c>
      <c r="C22" s="327" t="s">
        <v>215</v>
      </c>
      <c r="D22" s="911" t="s">
        <v>1712</v>
      </c>
      <c r="E22" s="370"/>
      <c r="F22" s="370"/>
      <c r="G22" s="370"/>
      <c r="H22" s="370"/>
      <c r="I22" s="370"/>
      <c r="J22" s="631">
        <f>SUM(E22:I22)</f>
        <v>0</v>
      </c>
      <c r="K22" s="629"/>
    </row>
    <row r="23" spans="2:11" ht="18">
      <c r="B23" s="341" t="s">
        <v>918</v>
      </c>
      <c r="C23" s="38"/>
      <c r="D23" s="911"/>
      <c r="E23" s="33"/>
      <c r="F23" s="35"/>
      <c r="G23" s="35"/>
      <c r="H23" s="35"/>
      <c r="I23" s="35"/>
      <c r="J23" s="35"/>
      <c r="K23" s="629"/>
    </row>
    <row r="24" spans="2:11" ht="18">
      <c r="B24" s="46" t="s">
        <v>919</v>
      </c>
      <c r="C24" s="327" t="s">
        <v>1915</v>
      </c>
      <c r="D24" s="911" t="s">
        <v>958</v>
      </c>
      <c r="E24" s="370"/>
      <c r="F24" s="370"/>
      <c r="G24" s="370"/>
      <c r="H24" s="370"/>
      <c r="I24" s="370"/>
      <c r="J24" s="631">
        <f>SUM(E24:I24)</f>
        <v>0</v>
      </c>
      <c r="K24" s="629"/>
    </row>
    <row r="25" spans="2:11" ht="18">
      <c r="B25" s="35" t="s">
        <v>920</v>
      </c>
      <c r="C25" s="327"/>
      <c r="D25" s="912"/>
      <c r="E25" s="37"/>
      <c r="F25" s="35"/>
      <c r="G25" s="35"/>
      <c r="H25" s="35"/>
      <c r="I25" s="35"/>
      <c r="J25" s="35"/>
      <c r="K25" s="629"/>
    </row>
    <row r="26" spans="2:11" ht="18">
      <c r="B26" s="43" t="s">
        <v>921</v>
      </c>
      <c r="C26" s="327" t="s">
        <v>216</v>
      </c>
      <c r="D26" s="911" t="s">
        <v>716</v>
      </c>
      <c r="E26" s="370"/>
      <c r="F26" s="370"/>
      <c r="G26" s="370"/>
      <c r="H26" s="370"/>
      <c r="I26" s="370"/>
      <c r="J26" s="631">
        <f>SUM(E26:I26)</f>
        <v>0</v>
      </c>
      <c r="K26" s="629"/>
    </row>
    <row r="27" spans="2:11" ht="18">
      <c r="B27" s="35" t="s">
        <v>922</v>
      </c>
      <c r="C27" s="327"/>
      <c r="D27" s="911"/>
      <c r="E27" s="37"/>
      <c r="F27" s="35"/>
      <c r="G27" s="35"/>
      <c r="H27" s="37"/>
      <c r="I27" s="35"/>
      <c r="J27" s="35"/>
      <c r="K27" s="629"/>
    </row>
    <row r="28" spans="2:11" ht="18">
      <c r="B28" s="56" t="s">
        <v>914</v>
      </c>
      <c r="C28" s="327" t="s">
        <v>217</v>
      </c>
      <c r="D28" s="911" t="s">
        <v>717</v>
      </c>
      <c r="E28" s="370"/>
      <c r="F28" s="370"/>
      <c r="G28" s="370"/>
      <c r="H28" s="370"/>
      <c r="I28" s="370"/>
      <c r="J28" s="631">
        <f>SUM(E28:I28)</f>
        <v>0</v>
      </c>
      <c r="K28" s="629"/>
    </row>
    <row r="29" spans="2:11" ht="18">
      <c r="B29" s="33"/>
      <c r="C29" s="322"/>
      <c r="D29" s="911"/>
      <c r="E29" s="33"/>
      <c r="F29" s="33"/>
      <c r="G29" s="33"/>
      <c r="H29" s="33"/>
      <c r="I29" s="33"/>
      <c r="J29" s="33"/>
      <c r="K29" s="629"/>
    </row>
    <row r="30" spans="2:11" ht="18">
      <c r="B30" s="56" t="s">
        <v>1894</v>
      </c>
      <c r="C30" s="327" t="s">
        <v>823</v>
      </c>
      <c r="D30" s="911" t="s">
        <v>718</v>
      </c>
      <c r="E30" s="370"/>
      <c r="F30" s="370"/>
      <c r="G30" s="370"/>
      <c r="H30" s="370"/>
      <c r="I30" s="370"/>
      <c r="J30" s="631">
        <f>SUM(E30:I30)</f>
        <v>0</v>
      </c>
      <c r="K30" s="629"/>
    </row>
    <row r="31" spans="2:11" ht="18">
      <c r="B31" s="35"/>
      <c r="C31" s="38"/>
      <c r="D31" s="911"/>
      <c r="E31" s="33"/>
      <c r="F31" s="35"/>
      <c r="G31" s="35"/>
      <c r="H31" s="35"/>
      <c r="I31" s="35"/>
      <c r="J31" s="35"/>
      <c r="K31" s="629"/>
    </row>
    <row r="32" spans="2:11" ht="18">
      <c r="B32" s="46" t="s">
        <v>1064</v>
      </c>
      <c r="C32" s="327" t="s">
        <v>218</v>
      </c>
      <c r="D32" s="911" t="s">
        <v>2010</v>
      </c>
      <c r="E32" s="370"/>
      <c r="F32" s="370"/>
      <c r="G32" s="370"/>
      <c r="H32" s="370"/>
      <c r="I32" s="370"/>
      <c r="J32" s="631">
        <f>SUM(E32:I32)</f>
        <v>0</v>
      </c>
      <c r="K32" s="629"/>
    </row>
    <row r="33" spans="2:11" ht="18">
      <c r="B33" s="35"/>
      <c r="C33" s="38"/>
      <c r="D33" s="911"/>
      <c r="E33" s="37"/>
      <c r="F33" s="35"/>
      <c r="G33" s="35"/>
      <c r="H33" s="37"/>
      <c r="I33" s="35"/>
      <c r="J33" s="35"/>
      <c r="K33" s="629"/>
    </row>
    <row r="34" spans="2:11" ht="18">
      <c r="B34" s="43" t="s">
        <v>925</v>
      </c>
      <c r="C34" s="327" t="s">
        <v>924</v>
      </c>
      <c r="D34" s="911" t="s">
        <v>2011</v>
      </c>
      <c r="E34" s="370"/>
      <c r="F34" s="370"/>
      <c r="G34" s="370"/>
      <c r="H34" s="370"/>
      <c r="I34" s="370"/>
      <c r="J34" s="631">
        <f>SUM(E34:I34)</f>
        <v>0</v>
      </c>
      <c r="K34" s="629"/>
    </row>
    <row r="35" spans="2:11" ht="18">
      <c r="B35" s="33"/>
      <c r="C35" s="322" t="s">
        <v>923</v>
      </c>
      <c r="D35" s="911"/>
      <c r="E35" s="33"/>
      <c r="F35" s="33"/>
      <c r="G35" s="33"/>
      <c r="H35" s="33"/>
      <c r="I35" s="33"/>
      <c r="J35" s="33"/>
      <c r="K35" s="629"/>
    </row>
    <row r="36" spans="2:11" ht="18">
      <c r="B36" s="46" t="s">
        <v>1756</v>
      </c>
      <c r="C36" s="327" t="s">
        <v>931</v>
      </c>
      <c r="D36" s="911" t="s">
        <v>711</v>
      </c>
      <c r="E36" s="370"/>
      <c r="F36" s="370"/>
      <c r="G36" s="370"/>
      <c r="H36" s="370"/>
      <c r="I36" s="370"/>
      <c r="J36" s="631">
        <f>SUM(E36:I36)</f>
        <v>0</v>
      </c>
      <c r="K36" s="629"/>
    </row>
    <row r="37" spans="2:11" ht="18">
      <c r="B37" s="35"/>
      <c r="C37" s="38"/>
      <c r="D37" s="911"/>
      <c r="E37" s="33"/>
      <c r="F37" s="35"/>
      <c r="G37" s="35"/>
      <c r="H37" s="35"/>
      <c r="I37" s="35"/>
      <c r="J37" s="35"/>
      <c r="K37" s="629"/>
    </row>
    <row r="38" spans="2:11" ht="18">
      <c r="B38" s="56" t="s">
        <v>927</v>
      </c>
      <c r="C38" s="327" t="s">
        <v>926</v>
      </c>
      <c r="D38" s="911" t="s">
        <v>715</v>
      </c>
      <c r="E38" s="370"/>
      <c r="F38" s="370"/>
      <c r="G38" s="370"/>
      <c r="H38" s="370"/>
      <c r="I38" s="370"/>
      <c r="J38" s="631">
        <f>SUM(E38:I38)</f>
        <v>0</v>
      </c>
      <c r="K38" s="629"/>
    </row>
    <row r="39" spans="2:11" ht="18">
      <c r="B39" s="341" t="s">
        <v>928</v>
      </c>
      <c r="C39" s="38"/>
      <c r="D39" s="911"/>
      <c r="E39" s="33"/>
      <c r="F39" s="35"/>
      <c r="G39" s="35"/>
      <c r="H39" s="35"/>
      <c r="I39" s="35"/>
      <c r="J39" s="35"/>
      <c r="K39" s="629"/>
    </row>
    <row r="40" spans="2:11" ht="18">
      <c r="B40" s="43" t="s">
        <v>929</v>
      </c>
      <c r="C40" s="327" t="s">
        <v>219</v>
      </c>
      <c r="D40" s="911" t="s">
        <v>1231</v>
      </c>
      <c r="E40" s="370"/>
      <c r="F40" s="370"/>
      <c r="G40" s="370"/>
      <c r="H40" s="370"/>
      <c r="I40" s="370"/>
      <c r="J40" s="631">
        <f>SUM(E40:I40)</f>
        <v>0</v>
      </c>
      <c r="K40" s="629"/>
    </row>
    <row r="41" spans="2:11" ht="18">
      <c r="B41" s="35"/>
      <c r="C41" s="327" t="s">
        <v>220</v>
      </c>
      <c r="D41" s="912"/>
      <c r="E41" s="37"/>
      <c r="F41" s="35"/>
      <c r="G41" s="35"/>
      <c r="H41" s="35"/>
      <c r="I41" s="35"/>
      <c r="J41" s="35"/>
      <c r="K41" s="629"/>
    </row>
    <row r="42" spans="2:11" ht="18">
      <c r="B42" s="46" t="s">
        <v>2382</v>
      </c>
      <c r="C42" s="327" t="s">
        <v>221</v>
      </c>
      <c r="D42" s="911" t="s">
        <v>1697</v>
      </c>
      <c r="E42" s="370"/>
      <c r="F42" s="370"/>
      <c r="G42" s="370"/>
      <c r="H42" s="370"/>
      <c r="I42" s="370"/>
      <c r="J42" s="631">
        <f>SUM(E42:I42)</f>
        <v>0</v>
      </c>
      <c r="K42" s="629"/>
    </row>
    <row r="43" spans="2:11" ht="18">
      <c r="B43" s="35"/>
      <c r="C43" s="327"/>
      <c r="D43" s="911"/>
      <c r="E43" s="37"/>
      <c r="F43" s="35"/>
      <c r="G43" s="35"/>
      <c r="H43" s="37"/>
      <c r="I43" s="35"/>
      <c r="J43" s="35"/>
      <c r="K43" s="629"/>
    </row>
    <row r="44" spans="2:11" ht="18">
      <c r="B44" s="56" t="s">
        <v>930</v>
      </c>
      <c r="C44" s="327" t="s">
        <v>824</v>
      </c>
      <c r="D44" s="911" t="s">
        <v>666</v>
      </c>
      <c r="E44" s="370"/>
      <c r="F44" s="370"/>
      <c r="G44" s="370"/>
      <c r="H44" s="370"/>
      <c r="I44" s="370"/>
      <c r="J44" s="631">
        <f>SUM(E44:I44)</f>
        <v>0</v>
      </c>
      <c r="K44" s="629"/>
    </row>
    <row r="45" spans="2:11" ht="18">
      <c r="B45" s="33"/>
      <c r="C45" s="322"/>
      <c r="D45" s="911"/>
      <c r="E45" s="33"/>
      <c r="F45" s="33"/>
      <c r="G45" s="33"/>
      <c r="H45" s="33"/>
      <c r="I45" s="33"/>
      <c r="J45" s="33"/>
      <c r="K45" s="629"/>
    </row>
    <row r="46" spans="2:11" ht="18">
      <c r="B46" s="56" t="s">
        <v>805</v>
      </c>
      <c r="C46" s="327" t="s">
        <v>222</v>
      </c>
      <c r="D46" s="911" t="s">
        <v>1698</v>
      </c>
      <c r="E46" s="370"/>
      <c r="F46" s="370"/>
      <c r="G46" s="370"/>
      <c r="H46" s="370"/>
      <c r="I46" s="370"/>
      <c r="J46" s="631">
        <f>SUM(E46:I46)</f>
        <v>0</v>
      </c>
      <c r="K46" s="629"/>
    </row>
    <row r="47" spans="2:11" ht="18">
      <c r="B47" s="46"/>
      <c r="C47" s="38" t="s">
        <v>223</v>
      </c>
      <c r="D47" s="35"/>
      <c r="E47" s="33"/>
      <c r="F47" s="35"/>
      <c r="G47" s="35"/>
      <c r="H47" s="35"/>
      <c r="I47" s="35"/>
      <c r="J47" s="35"/>
      <c r="K47" s="629"/>
    </row>
    <row r="48" spans="2:11" ht="18">
      <c r="B48" s="56" t="s">
        <v>805</v>
      </c>
      <c r="C48" s="327" t="s">
        <v>222</v>
      </c>
      <c r="D48" s="313" t="s">
        <v>668</v>
      </c>
      <c r="E48" s="370"/>
      <c r="F48" s="370"/>
      <c r="G48" s="370"/>
      <c r="H48" s="370"/>
      <c r="I48" s="370"/>
      <c r="J48" s="631">
        <f>SUM(E48:I48)</f>
        <v>0</v>
      </c>
      <c r="K48" s="629"/>
    </row>
    <row r="49" spans="2:11" ht="18">
      <c r="B49" s="33"/>
      <c r="C49" s="344" t="s">
        <v>2082</v>
      </c>
      <c r="D49" s="313"/>
      <c r="E49" s="33"/>
      <c r="F49" s="33"/>
      <c r="G49" s="33"/>
      <c r="H49" s="33"/>
      <c r="I49" s="33"/>
      <c r="J49" s="33"/>
      <c r="K49" s="629"/>
    </row>
    <row r="50" spans="2:11" ht="18">
      <c r="B50" s="56" t="s">
        <v>60</v>
      </c>
      <c r="C50" s="327" t="s">
        <v>912</v>
      </c>
      <c r="D50" s="313" t="s">
        <v>795</v>
      </c>
      <c r="E50" s="370"/>
      <c r="F50" s="370"/>
      <c r="G50" s="370"/>
      <c r="H50" s="370"/>
      <c r="I50" s="370"/>
      <c r="J50" s="631">
        <f>SUM(E50:I50)</f>
        <v>0</v>
      </c>
      <c r="K50" s="629"/>
    </row>
    <row r="51" spans="2:11" ht="18">
      <c r="B51" s="38"/>
      <c r="C51" s="38"/>
      <c r="D51" s="35"/>
      <c r="E51" s="37"/>
      <c r="F51" s="35"/>
      <c r="G51" s="35"/>
      <c r="H51" s="35"/>
      <c r="I51" s="35"/>
      <c r="J51" s="35"/>
      <c r="K51" s="629"/>
    </row>
    <row r="52" spans="2:11" ht="18">
      <c r="B52" s="46"/>
      <c r="C52" s="327" t="s">
        <v>913</v>
      </c>
      <c r="D52" s="56"/>
      <c r="E52" s="370"/>
      <c r="F52" s="370"/>
      <c r="G52" s="370"/>
      <c r="H52" s="370"/>
      <c r="I52" s="370"/>
      <c r="J52" s="35"/>
      <c r="K52" s="629"/>
    </row>
    <row r="53" spans="2:11" ht="18.75" thickBot="1">
      <c r="B53" s="298"/>
      <c r="C53" s="299"/>
      <c r="D53" s="298"/>
      <c r="E53" s="300"/>
      <c r="F53" s="301"/>
      <c r="G53" s="301"/>
      <c r="H53" s="632"/>
      <c r="I53" s="301"/>
      <c r="J53" s="633"/>
      <c r="K53" s="634"/>
    </row>
    <row r="54" spans="2:11" ht="18">
      <c r="B54" s="46"/>
      <c r="C54" s="33" t="str">
        <f>"T3-"&amp;yeartext&amp;" GENERAL DATA SUMMARY"</f>
        <v>T3-2009 GENERAL DATA SUMMARY</v>
      </c>
      <c r="D54" s="33"/>
      <c r="E54" s="34" t="s">
        <v>1844</v>
      </c>
      <c r="F54" s="35"/>
      <c r="G54" s="35"/>
      <c r="H54" s="36"/>
      <c r="I54" s="35"/>
      <c r="J54" s="36" t="str">
        <f>yeartext</f>
        <v>2009</v>
      </c>
      <c r="K54" s="629"/>
    </row>
    <row r="55" spans="2:11" ht="18">
      <c r="B55" s="46"/>
      <c r="C55" s="49"/>
      <c r="D55" s="46"/>
      <c r="E55" s="51"/>
      <c r="F55" s="48"/>
      <c r="G55" s="48"/>
      <c r="H55" s="635"/>
      <c r="I55" s="48"/>
      <c r="J55" s="636"/>
      <c r="K55" s="629"/>
    </row>
    <row r="56" spans="2:11" ht="18">
      <c r="B56" s="46"/>
      <c r="C56" s="41" t="s">
        <v>114</v>
      </c>
      <c r="D56" s="41" t="s">
        <v>855</v>
      </c>
      <c r="E56" s="41" t="s">
        <v>115</v>
      </c>
      <c r="F56" s="329"/>
      <c r="G56" s="329"/>
      <c r="H56" s="329"/>
      <c r="I56" s="329"/>
      <c r="J56" s="329"/>
      <c r="K56" s="629"/>
    </row>
    <row r="57" spans="2:11" ht="18">
      <c r="B57" s="46"/>
      <c r="C57" s="296" t="s">
        <v>113</v>
      </c>
      <c r="D57" s="297" t="s">
        <v>1958</v>
      </c>
      <c r="E57" s="334"/>
      <c r="F57" s="330"/>
      <c r="G57" s="330"/>
      <c r="H57" s="330"/>
      <c r="I57" s="330"/>
      <c r="J57" s="330"/>
      <c r="K57" s="629"/>
    </row>
    <row r="58" spans="2:11" ht="18">
      <c r="B58" s="46"/>
      <c r="C58" s="296" t="s">
        <v>113</v>
      </c>
      <c r="D58" s="297" t="s">
        <v>1894</v>
      </c>
      <c r="E58" s="334">
        <f>J30</f>
        <v>0</v>
      </c>
      <c r="F58" s="330"/>
      <c r="G58" s="330"/>
      <c r="H58" s="330"/>
      <c r="I58" s="330"/>
      <c r="J58" s="330"/>
      <c r="K58" s="629"/>
    </row>
    <row r="59" spans="2:11" ht="18">
      <c r="B59" s="46"/>
      <c r="C59" s="296" t="s">
        <v>113</v>
      </c>
      <c r="D59" s="297" t="s">
        <v>1756</v>
      </c>
      <c r="E59" s="334"/>
      <c r="F59" s="330"/>
      <c r="G59" s="330"/>
      <c r="H59" s="330"/>
      <c r="I59" s="330"/>
      <c r="J59" s="330"/>
      <c r="K59" s="629"/>
    </row>
    <row r="60" spans="2:11" ht="18">
      <c r="B60" s="46"/>
      <c r="C60" s="296" t="s">
        <v>113</v>
      </c>
      <c r="D60" s="297" t="s">
        <v>1689</v>
      </c>
      <c r="E60" s="334"/>
      <c r="F60" s="330"/>
      <c r="G60" s="330"/>
      <c r="H60" s="330"/>
      <c r="I60" s="330"/>
      <c r="J60" s="330"/>
      <c r="K60" s="629"/>
    </row>
    <row r="61" spans="2:11" ht="18">
      <c r="B61" s="46"/>
      <c r="C61" s="296" t="s">
        <v>804</v>
      </c>
      <c r="D61" s="297" t="s">
        <v>118</v>
      </c>
      <c r="E61" s="334"/>
      <c r="F61" s="340"/>
      <c r="G61" s="340" t="s">
        <v>1533</v>
      </c>
      <c r="H61" s="340"/>
      <c r="I61" s="340"/>
      <c r="J61" s="330"/>
      <c r="K61" s="629"/>
    </row>
    <row r="62" spans="2:11" ht="18">
      <c r="B62" s="46"/>
      <c r="C62" s="296" t="s">
        <v>1890</v>
      </c>
      <c r="D62" s="297" t="s">
        <v>2379</v>
      </c>
      <c r="E62" s="334">
        <f>J44</f>
        <v>0</v>
      </c>
      <c r="F62" s="340"/>
      <c r="G62" s="340" t="s">
        <v>1534</v>
      </c>
      <c r="H62" s="340"/>
      <c r="I62" s="340"/>
      <c r="J62" s="330"/>
      <c r="K62" s="629"/>
    </row>
    <row r="63" spans="2:11" ht="18">
      <c r="B63" s="46"/>
      <c r="C63" s="296" t="s">
        <v>1890</v>
      </c>
      <c r="D63" s="297" t="s">
        <v>2380</v>
      </c>
      <c r="E63" s="334"/>
      <c r="F63" s="340"/>
      <c r="G63" s="340"/>
      <c r="H63" s="340"/>
      <c r="I63" s="340"/>
      <c r="J63" s="330"/>
      <c r="K63" s="629"/>
    </row>
    <row r="64" spans="2:11" ht="18">
      <c r="B64" s="46"/>
      <c r="C64" s="296" t="s">
        <v>1890</v>
      </c>
      <c r="D64" s="297" t="s">
        <v>2381</v>
      </c>
      <c r="E64" s="334"/>
      <c r="F64" s="340"/>
      <c r="G64" s="330" t="s">
        <v>670</v>
      </c>
      <c r="H64" s="340"/>
      <c r="I64" s="340"/>
      <c r="J64" s="330"/>
      <c r="K64" s="629"/>
    </row>
    <row r="65" spans="2:11" ht="18">
      <c r="B65" s="46"/>
      <c r="C65" s="296" t="s">
        <v>2067</v>
      </c>
      <c r="D65" s="297" t="s">
        <v>2382</v>
      </c>
      <c r="E65" s="334">
        <f>J42</f>
        <v>0</v>
      </c>
      <c r="F65" s="330"/>
      <c r="G65" s="330" t="s">
        <v>671</v>
      </c>
      <c r="H65" s="330"/>
      <c r="I65" s="330"/>
      <c r="J65" s="330"/>
      <c r="K65" s="629"/>
    </row>
    <row r="66" spans="2:11" ht="18">
      <c r="B66" s="46"/>
      <c r="C66" s="296" t="s">
        <v>2378</v>
      </c>
      <c r="D66" s="297" t="s">
        <v>2383</v>
      </c>
      <c r="E66" s="334"/>
      <c r="F66" s="330"/>
      <c r="G66" s="330"/>
      <c r="H66" s="330"/>
      <c r="I66" s="330"/>
      <c r="J66" s="330"/>
      <c r="K66" s="629"/>
    </row>
    <row r="67" spans="2:11" ht="18">
      <c r="B67" s="46"/>
      <c r="C67" s="296" t="s">
        <v>2378</v>
      </c>
      <c r="D67" s="297" t="s">
        <v>53</v>
      </c>
      <c r="E67" s="334"/>
      <c r="F67" s="330"/>
      <c r="G67" s="330" t="s">
        <v>2363</v>
      </c>
      <c r="H67" s="330"/>
      <c r="I67" s="330"/>
      <c r="J67" s="330"/>
      <c r="K67" s="629"/>
    </row>
    <row r="68" spans="2:11" ht="18">
      <c r="B68" s="46"/>
      <c r="C68" s="296" t="s">
        <v>2378</v>
      </c>
      <c r="D68" s="297" t="s">
        <v>1691</v>
      </c>
      <c r="E68" s="334"/>
      <c r="F68" s="330"/>
      <c r="G68" s="330" t="s">
        <v>1532</v>
      </c>
      <c r="H68" s="330"/>
      <c r="I68" s="330"/>
      <c r="J68" s="330"/>
      <c r="K68" s="629"/>
    </row>
    <row r="69" spans="2:11" ht="18">
      <c r="B69" s="46"/>
      <c r="C69" s="296" t="s">
        <v>2378</v>
      </c>
      <c r="D69" s="297" t="s">
        <v>54</v>
      </c>
      <c r="E69" s="334">
        <f>J40</f>
        <v>0</v>
      </c>
      <c r="F69" s="330"/>
      <c r="G69" s="330"/>
      <c r="H69" s="330"/>
      <c r="I69" s="330"/>
      <c r="J69" s="330"/>
      <c r="K69" s="629"/>
    </row>
    <row r="70" spans="2:11" ht="18">
      <c r="B70" s="46"/>
      <c r="C70" s="296" t="s">
        <v>2378</v>
      </c>
      <c r="D70" s="297" t="s">
        <v>1692</v>
      </c>
      <c r="E70" s="334"/>
      <c r="F70" s="330" t="s">
        <v>1986</v>
      </c>
      <c r="G70" s="330"/>
      <c r="H70" s="330"/>
      <c r="I70" s="330"/>
      <c r="J70" s="330"/>
      <c r="K70" s="629"/>
    </row>
    <row r="71" spans="2:11" ht="18">
      <c r="B71" s="46"/>
      <c r="C71" s="296" t="s">
        <v>55</v>
      </c>
      <c r="D71" s="297" t="s">
        <v>803</v>
      </c>
      <c r="E71" s="334"/>
      <c r="F71" s="330"/>
      <c r="G71" s="330"/>
      <c r="H71" s="330"/>
      <c r="I71" s="330"/>
      <c r="J71" s="330"/>
      <c r="K71" s="629"/>
    </row>
    <row r="72" spans="2:11" ht="18">
      <c r="B72" s="46"/>
      <c r="C72" s="296" t="s">
        <v>2068</v>
      </c>
      <c r="D72" s="297" t="s">
        <v>57</v>
      </c>
      <c r="E72" s="334"/>
      <c r="F72" s="330"/>
      <c r="G72" s="330"/>
      <c r="H72" s="330"/>
      <c r="I72" s="330"/>
      <c r="J72" s="330"/>
      <c r="K72" s="629"/>
    </row>
    <row r="73" spans="2:11" ht="18">
      <c r="B73" s="46"/>
      <c r="C73" s="296" t="s">
        <v>2068</v>
      </c>
      <c r="D73" s="297" t="s">
        <v>58</v>
      </c>
      <c r="E73" s="334"/>
      <c r="F73" s="330"/>
      <c r="G73" s="330"/>
      <c r="H73" s="330"/>
      <c r="I73" s="330"/>
      <c r="J73" s="330"/>
      <c r="K73" s="629"/>
    </row>
    <row r="74" spans="2:11" ht="18">
      <c r="B74" s="46"/>
      <c r="C74" s="296" t="s">
        <v>2068</v>
      </c>
      <c r="D74" s="297" t="s">
        <v>59</v>
      </c>
      <c r="E74" s="334"/>
      <c r="F74" s="330"/>
      <c r="G74" s="330"/>
      <c r="H74" s="330"/>
      <c r="I74" s="330"/>
      <c r="J74" s="330"/>
      <c r="K74" s="629"/>
    </row>
    <row r="75" spans="2:11" ht="18">
      <c r="B75" s="46"/>
      <c r="C75" s="296" t="s">
        <v>60</v>
      </c>
      <c r="D75" s="297"/>
      <c r="E75" s="334"/>
      <c r="F75" s="330"/>
      <c r="G75" s="330"/>
      <c r="H75" s="330"/>
      <c r="I75" s="330"/>
      <c r="J75" s="330"/>
      <c r="K75" s="629"/>
    </row>
    <row r="76" spans="2:11" ht="18">
      <c r="B76" s="46"/>
      <c r="C76" s="296" t="s">
        <v>805</v>
      </c>
      <c r="D76" s="297"/>
      <c r="E76" s="334"/>
      <c r="F76" s="330"/>
      <c r="G76" s="330"/>
      <c r="H76" s="330"/>
      <c r="I76" s="330"/>
      <c r="J76" s="330"/>
      <c r="K76" s="629"/>
    </row>
    <row r="77" spans="2:11" ht="18">
      <c r="B77" s="46"/>
      <c r="C77" s="296" t="s">
        <v>1064</v>
      </c>
      <c r="D77" s="297"/>
      <c r="E77" s="334"/>
      <c r="F77" s="330"/>
      <c r="G77" s="330"/>
      <c r="H77" s="330"/>
      <c r="I77" s="330"/>
      <c r="J77" s="330"/>
      <c r="K77" s="629"/>
    </row>
    <row r="78" spans="2:11" ht="18">
      <c r="B78" s="46"/>
      <c r="C78" s="311"/>
      <c r="D78" s="312"/>
      <c r="E78" s="326"/>
      <c r="F78" s="330"/>
      <c r="G78" s="330"/>
      <c r="H78" s="330"/>
      <c r="I78" s="330"/>
      <c r="J78" s="330"/>
      <c r="K78" s="629"/>
    </row>
    <row r="79" spans="2:11" ht="18">
      <c r="B79" s="46"/>
      <c r="C79" s="313"/>
      <c r="D79" s="46"/>
      <c r="E79" s="330"/>
      <c r="F79" s="330"/>
      <c r="G79" s="330"/>
      <c r="H79" s="330"/>
      <c r="I79" s="330"/>
      <c r="J79" s="330"/>
      <c r="K79" s="629"/>
    </row>
    <row r="80" spans="2:4" ht="15">
      <c r="B80" s="637"/>
      <c r="D80" s="55"/>
    </row>
    <row r="81" spans="2:4" ht="15">
      <c r="B81" s="637"/>
      <c r="D81" s="55"/>
    </row>
    <row r="82" spans="2:4" ht="15">
      <c r="B82" s="637"/>
      <c r="D82" s="55"/>
    </row>
    <row r="83" spans="2:4" ht="15">
      <c r="B83" s="637"/>
      <c r="D83" s="55"/>
    </row>
    <row r="84" spans="2:4" ht="15">
      <c r="B84" s="637"/>
      <c r="D84" s="55"/>
    </row>
    <row r="85" spans="2:4" ht="15">
      <c r="B85" s="637"/>
      <c r="D85" s="55"/>
    </row>
    <row r="86" spans="2:4" ht="15">
      <c r="B86" s="637"/>
      <c r="D86" s="55"/>
    </row>
    <row r="87" spans="2:4" ht="15">
      <c r="B87" s="637"/>
      <c r="D87" s="55"/>
    </row>
    <row r="88" spans="2:4" ht="15">
      <c r="B88" s="637"/>
      <c r="D88" s="55"/>
    </row>
    <row r="89" spans="2:4" ht="15">
      <c r="B89" s="637"/>
      <c r="D89" s="55"/>
    </row>
    <row r="90" spans="2:4" ht="15">
      <c r="B90" s="637"/>
      <c r="D90" s="55"/>
    </row>
    <row r="91" spans="2:4" ht="15">
      <c r="B91" s="637"/>
      <c r="D91" s="55"/>
    </row>
  </sheetData>
  <sheetProtection password="EC35" sheet="1" objects="1" scenarios="1"/>
  <printOptions horizontalCentered="1"/>
  <pageMargins left="0" right="0" top="0" bottom="0" header="0.5" footer="0.5"/>
  <pageSetup fitToHeight="0" fitToWidth="1" horizontalDpi="600" verticalDpi="600" orientation="portrait" scale="61" r:id="rId1"/>
</worksheet>
</file>

<file path=xl/worksheets/sheet39.xml><?xml version="1.0" encoding="utf-8"?>
<worksheet xmlns="http://schemas.openxmlformats.org/spreadsheetml/2006/main" xmlns:r="http://schemas.openxmlformats.org/officeDocument/2006/relationships">
  <sheetPr>
    <pageSetUpPr fitToPage="1"/>
  </sheetPr>
  <dimension ref="A1:IV70"/>
  <sheetViews>
    <sheetView zoomScalePageLayoutView="0" workbookViewId="0" topLeftCell="A1">
      <selection activeCell="A1" sqref="A1"/>
    </sheetView>
  </sheetViews>
  <sheetFormatPr defaultColWidth="8.88671875" defaultRowHeight="15"/>
  <cols>
    <col min="1" max="1" width="1.77734375" style="630" customWidth="1"/>
    <col min="2" max="2" width="8.3359375" style="630" customWidth="1"/>
    <col min="3" max="3" width="34.77734375" style="630" customWidth="1"/>
    <col min="4" max="4" width="7.99609375" style="630" customWidth="1"/>
    <col min="5" max="10" width="12.21484375" style="630" customWidth="1"/>
    <col min="11" max="11" width="1.88671875" style="630" customWidth="1"/>
    <col min="12" max="16384" width="8.88671875" style="630" customWidth="1"/>
  </cols>
  <sheetData>
    <row r="1" spans="2:11" ht="18">
      <c r="B1" s="35"/>
      <c r="C1" s="33" t="str">
        <f>"T5-"&amp;yeartext&amp;" SLIPS DATA ENTRY FOR"</f>
        <v>T5-2009 SLIPS DATA ENTRY FOR</v>
      </c>
      <c r="D1" s="33"/>
      <c r="E1" s="322" t="s">
        <v>1402</v>
      </c>
      <c r="F1" s="35"/>
      <c r="G1" s="35"/>
      <c r="H1" s="36"/>
      <c r="I1" s="35"/>
      <c r="J1" s="36" t="str">
        <f>yeartext</f>
        <v>2009</v>
      </c>
      <c r="K1" s="629"/>
    </row>
    <row r="2" spans="2:11" ht="15.75">
      <c r="B2" s="35"/>
      <c r="C2" s="35"/>
      <c r="D2" s="37"/>
      <c r="E2" s="629"/>
      <c r="F2" s="35"/>
      <c r="G2" s="35"/>
      <c r="H2" s="35"/>
      <c r="I2" s="35"/>
      <c r="J2" s="35"/>
      <c r="K2" s="629"/>
    </row>
    <row r="3" spans="2:11" ht="18">
      <c r="B3" s="38"/>
      <c r="C3" s="38" t="s">
        <v>1335</v>
      </c>
      <c r="D3" s="35"/>
      <c r="E3" s="37"/>
      <c r="F3" s="35"/>
      <c r="G3" s="35"/>
      <c r="H3" s="35"/>
      <c r="I3" s="35"/>
      <c r="J3" s="35"/>
      <c r="K3" s="629"/>
    </row>
    <row r="4" spans="2:11" ht="18">
      <c r="B4" s="38"/>
      <c r="C4" s="38" t="s">
        <v>1336</v>
      </c>
      <c r="D4" s="35"/>
      <c r="E4" s="37"/>
      <c r="F4" s="35"/>
      <c r="G4" s="35"/>
      <c r="H4" s="35"/>
      <c r="I4" s="35"/>
      <c r="J4" s="35"/>
      <c r="K4" s="629"/>
    </row>
    <row r="5" spans="2:11" ht="18">
      <c r="B5" s="38"/>
      <c r="C5" s="38" t="s">
        <v>1912</v>
      </c>
      <c r="D5" s="35"/>
      <c r="E5" s="37"/>
      <c r="F5" s="35"/>
      <c r="G5" s="35"/>
      <c r="H5" s="35"/>
      <c r="I5" s="35"/>
      <c r="J5" s="35"/>
      <c r="K5" s="629"/>
    </row>
    <row r="6" spans="2:11" ht="18">
      <c r="B6" s="38"/>
      <c r="C6" s="38" t="s">
        <v>2003</v>
      </c>
      <c r="D6" s="35"/>
      <c r="E6" s="37"/>
      <c r="F6" s="35"/>
      <c r="G6" s="35"/>
      <c r="H6" s="35"/>
      <c r="I6" s="35"/>
      <c r="J6" s="35"/>
      <c r="K6" s="629"/>
    </row>
    <row r="7" spans="2:11" ht="18">
      <c r="B7" s="38"/>
      <c r="C7" s="38" t="s">
        <v>1752</v>
      </c>
      <c r="D7" s="35"/>
      <c r="E7" s="37"/>
      <c r="F7" s="35"/>
      <c r="G7" s="35"/>
      <c r="H7" s="35"/>
      <c r="I7" s="35"/>
      <c r="J7" s="35"/>
      <c r="K7" s="629"/>
    </row>
    <row r="8" spans="2:11" ht="18">
      <c r="B8" s="38"/>
      <c r="C8" s="38" t="s">
        <v>1665</v>
      </c>
      <c r="D8" s="35"/>
      <c r="E8" s="37"/>
      <c r="F8" s="35"/>
      <c r="G8" s="35"/>
      <c r="H8" s="35"/>
      <c r="I8" s="35"/>
      <c r="J8" s="35"/>
      <c r="K8" s="629"/>
    </row>
    <row r="9" spans="2:11" ht="18">
      <c r="B9" s="38"/>
      <c r="C9" s="38" t="s">
        <v>481</v>
      </c>
      <c r="D9" s="35"/>
      <c r="E9" s="37"/>
      <c r="F9" s="35"/>
      <c r="G9" s="35"/>
      <c r="H9" s="35"/>
      <c r="I9" s="35"/>
      <c r="J9" s="35"/>
      <c r="K9" s="629"/>
    </row>
    <row r="10" spans="2:11" ht="18">
      <c r="B10" s="38"/>
      <c r="C10" s="38" t="s">
        <v>482</v>
      </c>
      <c r="D10" s="35"/>
      <c r="E10" s="37"/>
      <c r="F10" s="35"/>
      <c r="G10" s="35"/>
      <c r="H10" s="35"/>
      <c r="I10" s="35"/>
      <c r="J10" s="35"/>
      <c r="K10" s="629"/>
    </row>
    <row r="11" spans="2:11" ht="18">
      <c r="B11" s="38"/>
      <c r="C11" s="38" t="s">
        <v>852</v>
      </c>
      <c r="D11" s="35"/>
      <c r="E11" s="37"/>
      <c r="F11" s="35"/>
      <c r="G11" s="35"/>
      <c r="H11" s="35"/>
      <c r="I11" s="35"/>
      <c r="J11" s="35"/>
      <c r="K11" s="629"/>
    </row>
    <row r="12" spans="2:11" ht="18">
      <c r="B12" s="38"/>
      <c r="C12" s="38" t="s">
        <v>660</v>
      </c>
      <c r="D12" s="35"/>
      <c r="E12" s="37"/>
      <c r="F12" s="35"/>
      <c r="G12" s="35"/>
      <c r="H12" s="35"/>
      <c r="I12" s="35"/>
      <c r="J12" s="35"/>
      <c r="K12" s="629"/>
    </row>
    <row r="13" spans="2:11" ht="18">
      <c r="B13" s="38"/>
      <c r="C13" s="38"/>
      <c r="D13" s="35"/>
      <c r="E13" s="37"/>
      <c r="F13" s="35"/>
      <c r="G13" s="35"/>
      <c r="H13" s="35"/>
      <c r="I13" s="35"/>
      <c r="J13" s="35"/>
      <c r="K13" s="629"/>
    </row>
    <row r="14" spans="2:11" ht="23.25">
      <c r="B14" s="372" t="s">
        <v>1702</v>
      </c>
      <c r="C14" s="38"/>
      <c r="D14" s="35"/>
      <c r="E14" s="37"/>
      <c r="F14" s="35"/>
      <c r="G14" s="35"/>
      <c r="H14" s="35"/>
      <c r="I14" s="35"/>
      <c r="J14" s="35"/>
      <c r="K14" s="629"/>
    </row>
    <row r="15" spans="2:11" ht="36">
      <c r="B15" s="41" t="s">
        <v>1467</v>
      </c>
      <c r="C15" s="41" t="s">
        <v>1068</v>
      </c>
      <c r="D15" s="41" t="s">
        <v>855</v>
      </c>
      <c r="E15" s="41" t="s">
        <v>1666</v>
      </c>
      <c r="F15" s="41" t="s">
        <v>1145</v>
      </c>
      <c r="G15" s="41" t="s">
        <v>1146</v>
      </c>
      <c r="H15" s="41" t="s">
        <v>1147</v>
      </c>
      <c r="I15" s="41" t="s">
        <v>1799</v>
      </c>
      <c r="J15" s="42" t="s">
        <v>1217</v>
      </c>
      <c r="K15" s="629"/>
    </row>
    <row r="16" spans="2:11" ht="18">
      <c r="B16" s="38"/>
      <c r="C16" s="38"/>
      <c r="D16" s="35"/>
      <c r="E16" s="37"/>
      <c r="F16" s="35"/>
      <c r="G16" s="35"/>
      <c r="H16" s="35"/>
      <c r="I16" s="35"/>
      <c r="J16" s="35"/>
      <c r="K16" s="629"/>
    </row>
    <row r="17" spans="2:11" ht="18">
      <c r="B17" s="46" t="s">
        <v>1218</v>
      </c>
      <c r="C17" s="327" t="s">
        <v>822</v>
      </c>
      <c r="D17" s="46"/>
      <c r="E17" s="370"/>
      <c r="F17" s="370"/>
      <c r="G17" s="370"/>
      <c r="H17" s="370"/>
      <c r="I17" s="370"/>
      <c r="J17" s="631">
        <f>SUM(E17:I17)</f>
        <v>0</v>
      </c>
      <c r="K17" s="629"/>
    </row>
    <row r="18" spans="2:11" ht="18">
      <c r="B18" s="46"/>
      <c r="C18" s="38"/>
      <c r="D18" s="35"/>
      <c r="E18" s="37"/>
      <c r="F18" s="35"/>
      <c r="G18" s="35"/>
      <c r="H18" s="37"/>
      <c r="I18" s="35"/>
      <c r="J18" s="35"/>
      <c r="K18" s="629"/>
    </row>
    <row r="19" spans="2:11" ht="18">
      <c r="B19" s="46" t="s">
        <v>1055</v>
      </c>
      <c r="C19" s="327" t="s">
        <v>823</v>
      </c>
      <c r="D19" s="46" t="s">
        <v>1894</v>
      </c>
      <c r="E19" s="370"/>
      <c r="F19" s="370"/>
      <c r="G19" s="370"/>
      <c r="H19" s="370"/>
      <c r="I19" s="370"/>
      <c r="J19" s="631">
        <f>SUM(E19:I19)</f>
        <v>0</v>
      </c>
      <c r="K19" s="629"/>
    </row>
    <row r="20" spans="1:256" s="653" customFormat="1" ht="18">
      <c r="A20" s="371"/>
      <c r="B20" s="46"/>
      <c r="C20" s="322"/>
      <c r="D20" s="33"/>
      <c r="E20" s="37"/>
      <c r="F20" s="35"/>
      <c r="G20" s="35"/>
      <c r="H20" s="37"/>
      <c r="I20" s="35"/>
      <c r="J20" s="35"/>
      <c r="K20" s="629"/>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DQ20" s="371"/>
      <c r="DR20" s="371"/>
      <c r="DS20" s="371"/>
      <c r="DT20" s="371"/>
      <c r="DU20" s="371"/>
      <c r="DV20" s="371"/>
      <c r="DW20" s="371"/>
      <c r="DX20" s="371"/>
      <c r="DY20" s="371"/>
      <c r="DZ20" s="371"/>
      <c r="EA20" s="371"/>
      <c r="EB20" s="371"/>
      <c r="EC20" s="371"/>
      <c r="ED20" s="371"/>
      <c r="EE20" s="371"/>
      <c r="EF20" s="371"/>
      <c r="EG20" s="371"/>
      <c r="EH20" s="371"/>
      <c r="EI20" s="371"/>
      <c r="EJ20" s="371"/>
      <c r="EK20" s="371"/>
      <c r="EL20" s="371"/>
      <c r="EM20" s="371"/>
      <c r="EN20" s="371"/>
      <c r="EO20" s="371"/>
      <c r="EP20" s="371"/>
      <c r="EQ20" s="371"/>
      <c r="ER20" s="371"/>
      <c r="ES20" s="371"/>
      <c r="ET20" s="371"/>
      <c r="EU20" s="371"/>
      <c r="EV20" s="371"/>
      <c r="EW20" s="371"/>
      <c r="EX20" s="371"/>
      <c r="EY20" s="371"/>
      <c r="EZ20" s="371"/>
      <c r="FA20" s="371"/>
      <c r="FB20" s="371"/>
      <c r="FC20" s="371"/>
      <c r="FD20" s="371"/>
      <c r="FE20" s="371"/>
      <c r="FF20" s="371"/>
      <c r="FG20" s="371"/>
      <c r="FH20" s="371"/>
      <c r="FI20" s="371"/>
      <c r="FJ20" s="371"/>
      <c r="FK20" s="371"/>
      <c r="FL20" s="371"/>
      <c r="FM20" s="371"/>
      <c r="FN20" s="371"/>
      <c r="FO20" s="371"/>
      <c r="FP20" s="371"/>
      <c r="FQ20" s="371"/>
      <c r="FR20" s="371"/>
      <c r="FS20" s="371"/>
      <c r="FT20" s="371"/>
      <c r="FU20" s="371"/>
      <c r="FV20" s="371"/>
      <c r="FW20" s="371"/>
      <c r="FX20" s="371"/>
      <c r="FY20" s="371"/>
      <c r="FZ20" s="371"/>
      <c r="GA20" s="371"/>
      <c r="GB20" s="371"/>
      <c r="GC20" s="371"/>
      <c r="GD20" s="371"/>
      <c r="GE20" s="371"/>
      <c r="GF20" s="371"/>
      <c r="GG20" s="371"/>
      <c r="GH20" s="371"/>
      <c r="GI20" s="371"/>
      <c r="GJ20" s="371"/>
      <c r="GK20" s="371"/>
      <c r="GL20" s="371"/>
      <c r="GM20" s="371"/>
      <c r="GN20" s="371"/>
      <c r="GO20" s="371"/>
      <c r="GP20" s="371"/>
      <c r="GQ20" s="371"/>
      <c r="GR20" s="371"/>
      <c r="GS20" s="371"/>
      <c r="GT20" s="371"/>
      <c r="GU20" s="371"/>
      <c r="GV20" s="371"/>
      <c r="GW20" s="371"/>
      <c r="GX20" s="371"/>
      <c r="GY20" s="371"/>
      <c r="GZ20" s="371"/>
      <c r="HA20" s="371"/>
      <c r="HB20" s="371"/>
      <c r="HC20" s="371"/>
      <c r="HD20" s="371"/>
      <c r="HE20" s="371"/>
      <c r="HF20" s="371"/>
      <c r="HG20" s="371"/>
      <c r="HH20" s="371"/>
      <c r="HI20" s="371"/>
      <c r="HJ20" s="371"/>
      <c r="HK20" s="371"/>
      <c r="HL20" s="371"/>
      <c r="HM20" s="371"/>
      <c r="HN20" s="371"/>
      <c r="HO20" s="371"/>
      <c r="HP20" s="371"/>
      <c r="HQ20" s="371"/>
      <c r="HR20" s="371"/>
      <c r="HS20" s="371"/>
      <c r="HT20" s="371"/>
      <c r="HU20" s="371"/>
      <c r="HV20" s="371"/>
      <c r="HW20" s="371"/>
      <c r="HX20" s="371"/>
      <c r="HY20" s="371"/>
      <c r="HZ20" s="371"/>
      <c r="IA20" s="371"/>
      <c r="IB20" s="371"/>
      <c r="IC20" s="371"/>
      <c r="ID20" s="371"/>
      <c r="IE20" s="371"/>
      <c r="IF20" s="371"/>
      <c r="IG20" s="371"/>
      <c r="IH20" s="371"/>
      <c r="II20" s="371"/>
      <c r="IJ20" s="371"/>
      <c r="IK20" s="371"/>
      <c r="IL20" s="371"/>
      <c r="IM20" s="371"/>
      <c r="IN20" s="371"/>
      <c r="IO20" s="371"/>
      <c r="IP20" s="371"/>
      <c r="IQ20" s="371"/>
      <c r="IR20" s="371"/>
      <c r="IS20" s="371"/>
      <c r="IT20" s="371"/>
      <c r="IU20" s="371"/>
      <c r="IV20" s="371"/>
    </row>
    <row r="21" spans="2:11" ht="18">
      <c r="B21" s="46" t="s">
        <v>1057</v>
      </c>
      <c r="C21" s="327" t="s">
        <v>824</v>
      </c>
      <c r="D21" s="46" t="s">
        <v>2379</v>
      </c>
      <c r="E21" s="370"/>
      <c r="F21" s="370"/>
      <c r="G21" s="370"/>
      <c r="H21" s="370"/>
      <c r="I21" s="370"/>
      <c r="J21" s="631">
        <f>SUM(E21:I21)</f>
        <v>0</v>
      </c>
      <c r="K21" s="629"/>
    </row>
    <row r="22" spans="2:11" ht="18">
      <c r="B22" s="46"/>
      <c r="C22" s="38"/>
      <c r="D22" s="35"/>
      <c r="E22" s="33"/>
      <c r="F22" s="35"/>
      <c r="G22" s="35"/>
      <c r="H22" s="35"/>
      <c r="I22" s="35"/>
      <c r="J22" s="35"/>
      <c r="K22" s="629"/>
    </row>
    <row r="23" spans="2:11" ht="18">
      <c r="B23" s="46" t="s">
        <v>1059</v>
      </c>
      <c r="C23" s="327" t="s">
        <v>2013</v>
      </c>
      <c r="D23" s="56" t="s">
        <v>1895</v>
      </c>
      <c r="E23" s="370"/>
      <c r="F23" s="370"/>
      <c r="G23" s="370"/>
      <c r="H23" s="370"/>
      <c r="I23" s="370"/>
      <c r="J23" s="631">
        <f>SUM(E23:I23)</f>
        <v>0</v>
      </c>
      <c r="K23" s="629"/>
    </row>
    <row r="24" spans="2:11" ht="18">
      <c r="B24" s="46"/>
      <c r="C24" s="38"/>
      <c r="D24" s="341"/>
      <c r="E24" s="33"/>
      <c r="F24" s="35"/>
      <c r="G24" s="35"/>
      <c r="H24" s="35"/>
      <c r="I24" s="35"/>
      <c r="J24" s="35"/>
      <c r="K24" s="629"/>
    </row>
    <row r="25" spans="2:11" ht="18">
      <c r="B25" s="46" t="s">
        <v>1220</v>
      </c>
      <c r="C25" s="327" t="s">
        <v>1808</v>
      </c>
      <c r="D25" s="46" t="s">
        <v>1895</v>
      </c>
      <c r="E25" s="370"/>
      <c r="F25" s="370"/>
      <c r="G25" s="370"/>
      <c r="H25" s="370"/>
      <c r="I25" s="370"/>
      <c r="J25" s="631">
        <f>SUM(E25:I25)</f>
        <v>0</v>
      </c>
      <c r="K25" s="629"/>
    </row>
    <row r="26" spans="2:11" ht="18">
      <c r="B26" s="38"/>
      <c r="C26" s="327" t="s">
        <v>2056</v>
      </c>
      <c r="D26" s="35"/>
      <c r="E26" s="37"/>
      <c r="F26" s="35"/>
      <c r="G26" s="35"/>
      <c r="H26" s="35"/>
      <c r="I26" s="35"/>
      <c r="J26" s="35"/>
      <c r="K26" s="629"/>
    </row>
    <row r="27" spans="2:11" ht="18">
      <c r="B27" s="46" t="s">
        <v>126</v>
      </c>
      <c r="C27" s="327" t="s">
        <v>2014</v>
      </c>
      <c r="D27" s="46" t="s">
        <v>1895</v>
      </c>
      <c r="E27" s="370"/>
      <c r="F27" s="370"/>
      <c r="G27" s="370"/>
      <c r="H27" s="370"/>
      <c r="I27" s="370"/>
      <c r="J27" s="631">
        <f>SUM(E27:I27)</f>
        <v>0</v>
      </c>
      <c r="K27" s="629"/>
    </row>
    <row r="28" spans="2:11" ht="18">
      <c r="B28" s="46"/>
      <c r="C28" s="327"/>
      <c r="D28" s="35"/>
      <c r="E28" s="37"/>
      <c r="F28" s="35"/>
      <c r="G28" s="35"/>
      <c r="H28" s="37"/>
      <c r="I28" s="35"/>
      <c r="J28" s="35"/>
      <c r="K28" s="629"/>
    </row>
    <row r="29" spans="2:11" ht="18">
      <c r="B29" s="46" t="s">
        <v>1222</v>
      </c>
      <c r="C29" s="327" t="s">
        <v>2015</v>
      </c>
      <c r="D29" s="56" t="s">
        <v>2057</v>
      </c>
      <c r="E29" s="370"/>
      <c r="F29" s="370"/>
      <c r="G29" s="370"/>
      <c r="H29" s="370"/>
      <c r="I29" s="370"/>
      <c r="J29" s="631">
        <f>SUM(E29:I29)</f>
        <v>0</v>
      </c>
      <c r="K29" s="629"/>
    </row>
    <row r="30" spans="2:11" ht="18">
      <c r="B30" s="46"/>
      <c r="C30" s="322"/>
      <c r="D30" s="33"/>
      <c r="E30" s="33"/>
      <c r="F30" s="33"/>
      <c r="G30" s="33"/>
      <c r="H30" s="33"/>
      <c r="I30" s="33"/>
      <c r="J30" s="33"/>
      <c r="K30" s="629"/>
    </row>
    <row r="31" spans="2:11" ht="18">
      <c r="B31" s="46" t="s">
        <v>1224</v>
      </c>
      <c r="C31" s="327" t="s">
        <v>1951</v>
      </c>
      <c r="D31" s="56" t="s">
        <v>116</v>
      </c>
      <c r="E31" s="370"/>
      <c r="F31" s="370"/>
      <c r="G31" s="370"/>
      <c r="H31" s="370"/>
      <c r="I31" s="370"/>
      <c r="J31" s="631">
        <f>SUM(E31:I31)</f>
        <v>0</v>
      </c>
      <c r="K31" s="629"/>
    </row>
    <row r="32" spans="2:11" ht="18">
      <c r="B32" s="46"/>
      <c r="C32" s="38" t="s">
        <v>1346</v>
      </c>
      <c r="D32" s="35"/>
      <c r="E32" s="33"/>
      <c r="F32" s="35"/>
      <c r="G32" s="35"/>
      <c r="H32" s="35"/>
      <c r="I32" s="35"/>
      <c r="J32" s="35"/>
      <c r="K32" s="629"/>
    </row>
    <row r="33" spans="2:11" ht="18">
      <c r="B33" s="46"/>
      <c r="C33" s="38"/>
      <c r="D33" s="35"/>
      <c r="E33" s="33"/>
      <c r="F33" s="35"/>
      <c r="G33" s="35"/>
      <c r="H33" s="35"/>
      <c r="I33" s="35"/>
      <c r="J33" s="35"/>
      <c r="K33" s="629"/>
    </row>
    <row r="34" spans="2:11" ht="18">
      <c r="B34" s="46" t="s">
        <v>1225</v>
      </c>
      <c r="C34" s="327" t="s">
        <v>1952</v>
      </c>
      <c r="D34" s="46" t="s">
        <v>54</v>
      </c>
      <c r="E34" s="370"/>
      <c r="F34" s="370"/>
      <c r="G34" s="370"/>
      <c r="H34" s="370"/>
      <c r="I34" s="370"/>
      <c r="J34" s="631">
        <f>SUM(E34:I34)</f>
        <v>0</v>
      </c>
      <c r="K34" s="629"/>
    </row>
    <row r="35" spans="2:11" ht="18">
      <c r="B35" s="38"/>
      <c r="C35" s="38"/>
      <c r="D35" s="341" t="s">
        <v>2378</v>
      </c>
      <c r="E35" s="373"/>
      <c r="F35" s="33"/>
      <c r="G35" s="35"/>
      <c r="H35" s="35"/>
      <c r="I35" s="35"/>
      <c r="J35" s="35"/>
      <c r="K35" s="629"/>
    </row>
    <row r="36" spans="2:11" ht="18">
      <c r="B36" s="46">
        <v>19</v>
      </c>
      <c r="C36" s="327" t="s">
        <v>1953</v>
      </c>
      <c r="D36" s="46" t="s">
        <v>2058</v>
      </c>
      <c r="E36" s="370"/>
      <c r="F36" s="370"/>
      <c r="G36" s="370"/>
      <c r="H36" s="370"/>
      <c r="I36" s="370"/>
      <c r="J36" s="631">
        <f>SUM(E36:I36)</f>
        <v>0</v>
      </c>
      <c r="K36" s="629"/>
    </row>
    <row r="37" spans="2:11" ht="18">
      <c r="B37" s="46"/>
      <c r="C37" s="327"/>
      <c r="D37" s="35"/>
      <c r="E37" s="37"/>
      <c r="F37" s="35"/>
      <c r="G37" s="35"/>
      <c r="H37" s="37"/>
      <c r="I37" s="35"/>
      <c r="J37" s="35"/>
      <c r="K37" s="629"/>
    </row>
    <row r="38" spans="2:11" ht="18">
      <c r="B38" s="46">
        <v>20</v>
      </c>
      <c r="C38" s="327" t="s">
        <v>1874</v>
      </c>
      <c r="D38" s="56" t="s">
        <v>535</v>
      </c>
      <c r="E38" s="370"/>
      <c r="F38" s="370"/>
      <c r="G38" s="370"/>
      <c r="H38" s="370"/>
      <c r="I38" s="370"/>
      <c r="J38" s="631">
        <f>SUM(E38:I38)</f>
        <v>0</v>
      </c>
      <c r="K38" s="629"/>
    </row>
    <row r="39" spans="2:11" ht="18">
      <c r="B39" s="46"/>
      <c r="C39" s="322" t="s">
        <v>1875</v>
      </c>
      <c r="D39" s="33"/>
      <c r="E39" s="33"/>
      <c r="F39" s="33"/>
      <c r="G39" s="33"/>
      <c r="H39" s="33"/>
      <c r="I39" s="33"/>
      <c r="J39" s="33"/>
      <c r="K39" s="629"/>
    </row>
    <row r="40" spans="2:11" ht="18">
      <c r="B40" s="46">
        <v>40</v>
      </c>
      <c r="C40" s="327" t="s">
        <v>1876</v>
      </c>
      <c r="D40" s="46" t="s">
        <v>54</v>
      </c>
      <c r="E40" s="370"/>
      <c r="F40" s="370"/>
      <c r="G40" s="370"/>
      <c r="H40" s="370"/>
      <c r="I40" s="370"/>
      <c r="J40" s="631">
        <f>SUM(E40:I40)</f>
        <v>0</v>
      </c>
      <c r="K40" s="629"/>
    </row>
    <row r="41" spans="2:11" ht="18">
      <c r="B41" s="46"/>
      <c r="C41" s="38"/>
      <c r="D41" s="341" t="s">
        <v>2378</v>
      </c>
      <c r="E41" s="33"/>
      <c r="F41" s="35"/>
      <c r="G41" s="35"/>
      <c r="H41" s="35"/>
      <c r="I41" s="35"/>
      <c r="J41" s="35"/>
      <c r="K41" s="629"/>
    </row>
    <row r="42" spans="2:11" ht="18">
      <c r="B42" s="46">
        <v>41</v>
      </c>
      <c r="C42" s="327" t="s">
        <v>1877</v>
      </c>
      <c r="D42" s="46" t="s">
        <v>54</v>
      </c>
      <c r="E42" s="370"/>
      <c r="F42" s="370"/>
      <c r="G42" s="370"/>
      <c r="H42" s="370"/>
      <c r="I42" s="370"/>
      <c r="J42" s="631">
        <f>SUM(E42:I42)</f>
        <v>0</v>
      </c>
      <c r="K42" s="629"/>
    </row>
    <row r="43" spans="2:11" ht="18">
      <c r="B43" s="38"/>
      <c r="C43" s="38"/>
      <c r="D43" s="341" t="s">
        <v>2378</v>
      </c>
      <c r="E43" s="37"/>
      <c r="F43" s="35"/>
      <c r="G43" s="35"/>
      <c r="H43" s="35"/>
      <c r="I43" s="35"/>
      <c r="J43" s="35"/>
      <c r="K43" s="629"/>
    </row>
    <row r="44" spans="2:11" ht="18.75" thickBot="1">
      <c r="B44" s="298"/>
      <c r="C44" s="299"/>
      <c r="D44" s="298"/>
      <c r="E44" s="300"/>
      <c r="F44" s="301"/>
      <c r="G44" s="301"/>
      <c r="H44" s="632"/>
      <c r="I44" s="301"/>
      <c r="J44" s="633"/>
      <c r="K44" s="634"/>
    </row>
    <row r="45" spans="2:11" ht="18">
      <c r="B45" s="46"/>
      <c r="C45" s="33" t="str">
        <f>"T5-"&amp;yeartext&amp;" GENERAL DATA SUMMARY"</f>
        <v>T5-2009 GENERAL DATA SUMMARY</v>
      </c>
      <c r="D45" s="33"/>
      <c r="E45" s="322" t="s">
        <v>1402</v>
      </c>
      <c r="F45" s="35"/>
      <c r="G45" s="35"/>
      <c r="H45" s="36"/>
      <c r="I45" s="35"/>
      <c r="J45" s="36" t="str">
        <f>yeartext</f>
        <v>2009</v>
      </c>
      <c r="K45" s="629"/>
    </row>
    <row r="46" spans="2:11" ht="18">
      <c r="B46" s="46"/>
      <c r="C46" s="49"/>
      <c r="D46" s="46"/>
      <c r="E46" s="51"/>
      <c r="F46" s="48"/>
      <c r="G46" s="48"/>
      <c r="H46" s="635"/>
      <c r="I46" s="48"/>
      <c r="J46" s="636"/>
      <c r="K46" s="629"/>
    </row>
    <row r="47" spans="2:11" ht="18">
      <c r="B47" s="46"/>
      <c r="C47" s="41" t="s">
        <v>114</v>
      </c>
      <c r="D47" s="41" t="s">
        <v>855</v>
      </c>
      <c r="E47" s="41" t="s">
        <v>115</v>
      </c>
      <c r="F47" s="329"/>
      <c r="G47" s="329"/>
      <c r="H47" s="329"/>
      <c r="I47" s="329"/>
      <c r="J47" s="329"/>
      <c r="K47" s="629"/>
    </row>
    <row r="48" spans="2:11" ht="18">
      <c r="B48" s="46"/>
      <c r="C48" s="302" t="s">
        <v>113</v>
      </c>
      <c r="D48" s="303" t="s">
        <v>116</v>
      </c>
      <c r="E48" s="334">
        <f>J31</f>
        <v>0</v>
      </c>
      <c r="F48" s="330"/>
      <c r="G48" s="330"/>
      <c r="H48" s="330"/>
      <c r="I48" s="330"/>
      <c r="J48" s="330"/>
      <c r="K48" s="629"/>
    </row>
    <row r="49" spans="2:11" ht="18">
      <c r="B49" s="46"/>
      <c r="C49" s="296" t="s">
        <v>113</v>
      </c>
      <c r="D49" s="297" t="s">
        <v>1958</v>
      </c>
      <c r="E49" s="334"/>
      <c r="F49" s="330" t="s">
        <v>51</v>
      </c>
      <c r="G49" s="340" t="s">
        <v>1533</v>
      </c>
      <c r="H49" s="330"/>
      <c r="I49" s="330"/>
      <c r="J49" s="330"/>
      <c r="K49" s="629"/>
    </row>
    <row r="50" spans="2:11" ht="18">
      <c r="B50" s="46"/>
      <c r="C50" s="296" t="s">
        <v>113</v>
      </c>
      <c r="D50" s="297" t="s">
        <v>1894</v>
      </c>
      <c r="E50" s="334">
        <f>J19</f>
        <v>0</v>
      </c>
      <c r="F50" s="330"/>
      <c r="G50" s="340" t="s">
        <v>1534</v>
      </c>
      <c r="H50" s="330"/>
      <c r="I50" s="330"/>
      <c r="J50" s="330"/>
      <c r="K50" s="629"/>
    </row>
    <row r="51" spans="2:11" ht="18">
      <c r="B51" s="46"/>
      <c r="C51" s="296" t="s">
        <v>113</v>
      </c>
      <c r="D51" s="297" t="s">
        <v>1895</v>
      </c>
      <c r="E51" s="334">
        <f>J23+J25+J27</f>
        <v>0</v>
      </c>
      <c r="F51" s="330" t="s">
        <v>50</v>
      </c>
      <c r="G51" s="340"/>
      <c r="H51" s="330"/>
      <c r="I51" s="330"/>
      <c r="J51" s="330"/>
      <c r="K51" s="629"/>
    </row>
    <row r="52" spans="2:11" ht="18">
      <c r="B52" s="46"/>
      <c r="C52" s="296" t="s">
        <v>117</v>
      </c>
      <c r="D52" s="297" t="s">
        <v>535</v>
      </c>
      <c r="E52" s="334">
        <f>0.25*J38</f>
        <v>0</v>
      </c>
      <c r="F52" s="330"/>
      <c r="G52" s="330" t="s">
        <v>670</v>
      </c>
      <c r="H52" s="330"/>
      <c r="I52" s="330"/>
      <c r="J52" s="330"/>
      <c r="K52" s="629"/>
    </row>
    <row r="53" spans="2:11" ht="18">
      <c r="B53" s="46"/>
      <c r="C53" s="296" t="s">
        <v>1890</v>
      </c>
      <c r="D53" s="297" t="s">
        <v>2379</v>
      </c>
      <c r="E53" s="334">
        <f>J21</f>
        <v>0</v>
      </c>
      <c r="F53" s="340"/>
      <c r="G53" s="330" t="s">
        <v>671</v>
      </c>
      <c r="H53" s="340"/>
      <c r="I53" s="340"/>
      <c r="J53" s="330"/>
      <c r="K53" s="629"/>
    </row>
    <row r="54" spans="2:11" ht="18">
      <c r="B54" s="46"/>
      <c r="C54" s="296" t="s">
        <v>1890</v>
      </c>
      <c r="D54" s="297" t="s">
        <v>2380</v>
      </c>
      <c r="E54" s="334"/>
      <c r="F54" s="340" t="s">
        <v>1573</v>
      </c>
      <c r="G54" s="330"/>
      <c r="H54" s="340"/>
      <c r="I54" s="340"/>
      <c r="J54" s="330"/>
      <c r="K54" s="629"/>
    </row>
    <row r="55" spans="2:11" ht="18">
      <c r="B55" s="46"/>
      <c r="C55" s="296" t="s">
        <v>1890</v>
      </c>
      <c r="D55" s="297" t="s">
        <v>2381</v>
      </c>
      <c r="E55" s="334"/>
      <c r="F55" s="340" t="s">
        <v>1573</v>
      </c>
      <c r="G55" s="330" t="s">
        <v>2363</v>
      </c>
      <c r="H55" s="340"/>
      <c r="I55" s="340"/>
      <c r="J55" s="330"/>
      <c r="K55" s="629"/>
    </row>
    <row r="56" spans="2:11" ht="18">
      <c r="B56" s="46"/>
      <c r="C56" s="296" t="s">
        <v>2378</v>
      </c>
      <c r="D56" s="297" t="s">
        <v>54</v>
      </c>
      <c r="E56" s="334">
        <f>J34+J40+J42</f>
        <v>0</v>
      </c>
      <c r="F56" s="330"/>
      <c r="G56" s="330" t="s">
        <v>1532</v>
      </c>
      <c r="H56" s="330"/>
      <c r="I56" s="330"/>
      <c r="J56" s="330"/>
      <c r="K56" s="629"/>
    </row>
    <row r="57" spans="2:11" ht="18">
      <c r="B57" s="46"/>
      <c r="C57" s="296" t="s">
        <v>1064</v>
      </c>
      <c r="D57" s="297"/>
      <c r="E57" s="334"/>
      <c r="F57" s="48" t="s">
        <v>1574</v>
      </c>
      <c r="G57" s="48"/>
      <c r="H57" s="635"/>
      <c r="I57" s="48"/>
      <c r="J57" s="636"/>
      <c r="K57" s="629"/>
    </row>
    <row r="58" spans="2:11" ht="18">
      <c r="B58" s="46"/>
      <c r="C58" s="49"/>
      <c r="D58" s="46"/>
      <c r="E58" s="51"/>
      <c r="F58" s="48"/>
      <c r="G58" s="48"/>
      <c r="H58" s="635"/>
      <c r="I58" s="48"/>
      <c r="J58" s="636"/>
      <c r="K58" s="629"/>
    </row>
    <row r="59" spans="2:4" ht="15">
      <c r="B59" s="637"/>
      <c r="D59" s="55"/>
    </row>
    <row r="60" spans="2:4" ht="15">
      <c r="B60" s="637"/>
      <c r="D60" s="55"/>
    </row>
    <row r="61" spans="2:4" ht="15">
      <c r="B61" s="637"/>
      <c r="D61" s="55"/>
    </row>
    <row r="62" spans="2:4" ht="15">
      <c r="B62" s="637"/>
      <c r="D62" s="55"/>
    </row>
    <row r="63" spans="2:4" ht="15">
      <c r="B63" s="637"/>
      <c r="D63" s="55"/>
    </row>
    <row r="64" spans="2:4" ht="15">
      <c r="B64" s="637"/>
      <c r="D64" s="55"/>
    </row>
    <row r="65" spans="2:4" ht="15">
      <c r="B65" s="637"/>
      <c r="D65" s="55"/>
    </row>
    <row r="66" spans="2:4" ht="15">
      <c r="B66" s="637"/>
      <c r="D66" s="55"/>
    </row>
    <row r="67" spans="2:4" ht="15">
      <c r="B67" s="637"/>
      <c r="D67" s="55"/>
    </row>
    <row r="68" spans="2:4" ht="15">
      <c r="B68" s="637"/>
      <c r="D68" s="55"/>
    </row>
    <row r="69" spans="2:4" ht="15">
      <c r="B69" s="637"/>
      <c r="D69" s="55"/>
    </row>
    <row r="70" spans="2:4" ht="15">
      <c r="B70" s="637"/>
      <c r="D70" s="55"/>
    </row>
  </sheetData>
  <sheetProtection password="EC35" sheet="1" objects="1" scenarios="1"/>
  <printOptions horizontalCentered="1"/>
  <pageMargins left="0" right="0" top="0" bottom="0" header="0.5" footer="0.5"/>
  <pageSetup fitToHeight="0" fitToWidth="1" horizontalDpi="600" verticalDpi="600" orientation="portrait" scale="62" r:id="rId1"/>
</worksheet>
</file>

<file path=xl/worksheets/sheet4.xml><?xml version="1.0" encoding="utf-8"?>
<worksheet xmlns="http://schemas.openxmlformats.org/spreadsheetml/2006/main" xmlns:r="http://schemas.openxmlformats.org/officeDocument/2006/relationships">
  <sheetPr>
    <pageSetUpPr fitToPage="1"/>
  </sheetPr>
  <dimension ref="B1:R65"/>
  <sheetViews>
    <sheetView zoomScale="85" zoomScaleNormal="85" zoomScalePageLayoutView="0" workbookViewId="0" topLeftCell="A1">
      <selection activeCell="B1" sqref="B1"/>
    </sheetView>
  </sheetViews>
  <sheetFormatPr defaultColWidth="8.88671875" defaultRowHeight="15"/>
  <cols>
    <col min="1" max="1" width="1.4375" style="0" customWidth="1"/>
    <col min="2" max="2" width="12.77734375" style="0" customWidth="1"/>
    <col min="3" max="3" width="6.77734375" style="0" customWidth="1"/>
    <col min="4" max="4" width="5.77734375" style="0" customWidth="1"/>
    <col min="5" max="5" width="6.77734375" style="0" customWidth="1"/>
    <col min="6" max="6" width="2.77734375" style="0" customWidth="1"/>
    <col min="7" max="7" width="10.77734375" style="0" customWidth="1"/>
    <col min="8" max="8" width="6.77734375" style="0" customWidth="1"/>
    <col min="9" max="9" width="5.77734375" style="0" customWidth="1"/>
    <col min="10" max="10" width="6.77734375" style="0" customWidth="1"/>
    <col min="11" max="11" width="2.77734375" style="0" customWidth="1"/>
    <col min="12" max="12" width="10.77734375" style="0" customWidth="1"/>
    <col min="13" max="13" width="6.77734375" style="0" customWidth="1"/>
    <col min="14" max="14" width="6.6640625" style="0" customWidth="1"/>
    <col min="15" max="15" width="6.77734375" style="0" customWidth="1"/>
  </cols>
  <sheetData>
    <row r="1" spans="2:16" ht="25.5" customHeight="1">
      <c r="B1" s="112"/>
      <c r="C1" s="112"/>
      <c r="D1" s="357"/>
      <c r="E1" s="357"/>
      <c r="F1" s="377"/>
      <c r="G1" s="112"/>
      <c r="H1" s="895" t="s">
        <v>1998</v>
      </c>
      <c r="I1" s="112"/>
      <c r="J1" s="112"/>
      <c r="K1" s="112"/>
      <c r="L1" s="112"/>
      <c r="M1" s="112"/>
      <c r="N1" s="112"/>
      <c r="O1" s="112"/>
      <c r="P1" s="1566" t="s">
        <v>35</v>
      </c>
    </row>
    <row r="2" spans="2:16" ht="15" customHeight="1">
      <c r="B2" s="112"/>
      <c r="C2" s="112"/>
      <c r="D2" s="357"/>
      <c r="E2" s="357"/>
      <c r="F2" s="377"/>
      <c r="G2" s="112"/>
      <c r="H2" s="891" t="s">
        <v>1657</v>
      </c>
      <c r="I2" s="112"/>
      <c r="J2" s="112"/>
      <c r="K2" s="112"/>
      <c r="L2" s="112"/>
      <c r="M2" s="112"/>
      <c r="N2" s="112"/>
      <c r="O2" s="112"/>
      <c r="P2" s="1566"/>
    </row>
    <row r="3" spans="2:16" ht="15" customHeight="1">
      <c r="B3" s="112"/>
      <c r="C3" s="112"/>
      <c r="D3" s="357"/>
      <c r="E3" s="357"/>
      <c r="F3" s="377"/>
      <c r="G3" s="112"/>
      <c r="H3" s="890" t="s">
        <v>36</v>
      </c>
      <c r="I3" s="112"/>
      <c r="J3" s="112"/>
      <c r="K3" s="112"/>
      <c r="L3" s="112"/>
      <c r="M3" s="112"/>
      <c r="N3" s="112"/>
      <c r="O3" s="112"/>
      <c r="P3" s="1566"/>
    </row>
    <row r="4" spans="2:16" ht="15" customHeight="1">
      <c r="B4" s="112"/>
      <c r="C4" s="112"/>
      <c r="D4" s="357"/>
      <c r="E4" s="357"/>
      <c r="F4" s="377"/>
      <c r="G4" s="112"/>
      <c r="H4" s="891" t="s">
        <v>37</v>
      </c>
      <c r="I4" s="112"/>
      <c r="J4" s="112"/>
      <c r="K4" s="112"/>
      <c r="L4" s="112"/>
      <c r="M4" s="112"/>
      <c r="N4" s="112"/>
      <c r="O4" s="112"/>
      <c r="P4" s="1566"/>
    </row>
    <row r="5" spans="2:16" ht="15" customHeight="1">
      <c r="B5" s="112"/>
      <c r="C5" s="112"/>
      <c r="D5" s="112"/>
      <c r="E5" s="112"/>
      <c r="F5" s="112"/>
      <c r="G5" s="112"/>
      <c r="H5" s="891" t="s">
        <v>620</v>
      </c>
      <c r="I5" s="112"/>
      <c r="J5" s="112"/>
      <c r="K5" s="112"/>
      <c r="L5" s="112"/>
      <c r="M5" s="112"/>
      <c r="N5" s="112"/>
      <c r="O5" s="112"/>
      <c r="P5" s="1566"/>
    </row>
    <row r="6" spans="2:16" ht="31.5" customHeight="1">
      <c r="B6" s="376" t="s">
        <v>1656</v>
      </c>
      <c r="C6" s="361"/>
      <c r="D6" s="355" t="s">
        <v>2079</v>
      </c>
      <c r="E6" s="356"/>
      <c r="F6" s="362"/>
      <c r="G6" s="376" t="s">
        <v>1656</v>
      </c>
      <c r="H6" s="361"/>
      <c r="I6" s="355" t="s">
        <v>2079</v>
      </c>
      <c r="J6" s="356"/>
      <c r="K6" s="358"/>
      <c r="L6" s="376" t="s">
        <v>1656</v>
      </c>
      <c r="M6" s="1584" t="s">
        <v>939</v>
      </c>
      <c r="N6" s="1585"/>
      <c r="O6" s="1586"/>
      <c r="P6" s="1566"/>
    </row>
    <row r="7" spans="2:16" ht="16.5" customHeight="1">
      <c r="B7" s="888" t="s">
        <v>2080</v>
      </c>
      <c r="C7" s="125"/>
      <c r="D7" s="359" t="str">
        <f>IF('T1 GEN-1'!D14="","No","Yes")</f>
        <v>No</v>
      </c>
      <c r="E7" s="129"/>
      <c r="F7" s="358"/>
      <c r="G7" s="892" t="s">
        <v>1061</v>
      </c>
      <c r="H7" s="126"/>
      <c r="I7" s="359" t="str">
        <f>IF(SUM('T4'!J18:J54)=0,"No","Yes")</f>
        <v>No</v>
      </c>
      <c r="J7" s="127"/>
      <c r="K7" s="358"/>
      <c r="L7" s="126" t="s">
        <v>818</v>
      </c>
      <c r="M7" s="1223" t="s">
        <v>935</v>
      </c>
      <c r="N7" s="1582"/>
      <c r="O7" s="1583"/>
      <c r="P7" s="1566"/>
    </row>
    <row r="8" spans="2:16" ht="16.5" customHeight="1">
      <c r="B8" s="889" t="s">
        <v>2081</v>
      </c>
      <c r="C8" s="126"/>
      <c r="D8" s="359" t="str">
        <f>IF('T1 GEN-2-3-4'!K104+'T1 GEN-2-3-4'!I44+ABS('T1 GEN-2-3-4'!K133)=0,"No","Yes")</f>
        <v>No</v>
      </c>
      <c r="E8" s="127"/>
      <c r="F8" s="358"/>
      <c r="G8" s="892" t="s">
        <v>1062</v>
      </c>
      <c r="H8" s="126"/>
      <c r="I8" s="359" t="str">
        <f>IF(SUM('T4A'!J15:J43)=0,"No","Yes")</f>
        <v>No</v>
      </c>
      <c r="J8" s="127"/>
      <c r="K8" s="358"/>
      <c r="L8" s="126" t="s">
        <v>936</v>
      </c>
      <c r="M8" s="1223" t="s">
        <v>935</v>
      </c>
      <c r="N8" s="1587"/>
      <c r="O8" s="1588"/>
      <c r="P8" s="1566"/>
    </row>
    <row r="9" spans="2:16" ht="16.5" customHeight="1">
      <c r="B9" s="889" t="s">
        <v>804</v>
      </c>
      <c r="C9" s="126"/>
      <c r="D9" s="359" t="str">
        <f>D8</f>
        <v>No</v>
      </c>
      <c r="E9" s="127"/>
      <c r="F9" s="358"/>
      <c r="G9" s="892" t="s">
        <v>1131</v>
      </c>
      <c r="H9" s="126"/>
      <c r="I9" s="359" t="str">
        <f>IF(SUM('T4A(OAS)'!J17:J27)=0,"No","Yes")</f>
        <v>No</v>
      </c>
      <c r="J9" s="127"/>
      <c r="K9" s="358"/>
      <c r="L9" s="126" t="s">
        <v>2097</v>
      </c>
      <c r="M9" s="1223" t="s">
        <v>935</v>
      </c>
      <c r="N9" s="1582"/>
      <c r="O9" s="1583"/>
      <c r="P9" s="1566"/>
    </row>
    <row r="10" spans="2:16" ht="16.5" customHeight="1">
      <c r="B10" s="889" t="s">
        <v>1890</v>
      </c>
      <c r="C10" s="126"/>
      <c r="D10" s="360" t="str">
        <f>IF(Sch1!I51=0,"No","Yes")</f>
        <v>No</v>
      </c>
      <c r="E10" s="127"/>
      <c r="F10" s="358"/>
      <c r="G10" s="892" t="s">
        <v>1938</v>
      </c>
      <c r="H10" s="126"/>
      <c r="I10" s="359" t="str">
        <f>IF(SUM('T4A(P)'!E27:E29)=0,"No","Yes")</f>
        <v>No</v>
      </c>
      <c r="J10" s="127"/>
      <c r="K10" s="358"/>
      <c r="L10" s="126" t="s">
        <v>1060</v>
      </c>
      <c r="M10" s="125" t="s">
        <v>938</v>
      </c>
      <c r="N10" s="1013"/>
      <c r="O10" s="129"/>
      <c r="P10" s="1566"/>
    </row>
    <row r="11" spans="2:16" ht="16.5" customHeight="1">
      <c r="B11" s="889" t="s">
        <v>1994</v>
      </c>
      <c r="C11" s="126"/>
      <c r="D11" s="359" t="str">
        <f>IF(Sch2!J22=0,"No","Yes")</f>
        <v>No</v>
      </c>
      <c r="E11" s="127"/>
      <c r="F11" s="358"/>
      <c r="G11" s="892" t="s">
        <v>807</v>
      </c>
      <c r="H11" s="126"/>
      <c r="I11" s="359" t="str">
        <f>IF(SUM('T4E'!J19:J41)=0,"No","Yes")</f>
        <v>No</v>
      </c>
      <c r="J11" s="127"/>
      <c r="K11" s="358"/>
      <c r="L11" s="126" t="s">
        <v>869</v>
      </c>
      <c r="M11" s="1016" t="s">
        <v>938</v>
      </c>
      <c r="N11" s="1015"/>
      <c r="O11" s="129"/>
      <c r="P11" s="1566"/>
    </row>
    <row r="12" spans="2:16" ht="16.5" customHeight="1">
      <c r="B12" s="889" t="s">
        <v>2378</v>
      </c>
      <c r="C12" s="126"/>
      <c r="D12" s="359" t="str">
        <f>IF(Sch3!L58=0,"No","Yes")</f>
        <v>No</v>
      </c>
      <c r="E12" s="127"/>
      <c r="F12" s="358"/>
      <c r="G12" s="126"/>
      <c r="H12" s="126"/>
      <c r="I12" s="359"/>
      <c r="J12" s="127"/>
      <c r="K12" s="358"/>
      <c r="L12" s="126" t="s">
        <v>2451</v>
      </c>
      <c r="M12" s="1223" t="s">
        <v>935</v>
      </c>
      <c r="N12" s="1225"/>
      <c r="O12" s="1226"/>
      <c r="P12" s="1566"/>
    </row>
    <row r="13" spans="2:16" ht="16.5" customHeight="1">
      <c r="B13" s="889" t="s">
        <v>55</v>
      </c>
      <c r="C13" s="126"/>
      <c r="D13" s="359" t="str">
        <f>IF(Sch4!E14+Sch4!E17+Sch4!E22+Sch4!E28=0,"No","Yes")</f>
        <v>No</v>
      </c>
      <c r="E13" s="127"/>
      <c r="F13" s="358"/>
      <c r="G13" s="892" t="s">
        <v>808</v>
      </c>
      <c r="H13" s="126"/>
      <c r="I13" s="359" t="str">
        <f>IF(SUM('T4PS'!J28:J45)=0,"No","Yes")</f>
        <v>No</v>
      </c>
      <c r="J13" s="127"/>
      <c r="K13" s="358"/>
      <c r="L13" s="126" t="s">
        <v>2452</v>
      </c>
      <c r="M13" s="1223" t="s">
        <v>935</v>
      </c>
      <c r="N13" s="1580"/>
      <c r="O13" s="1581"/>
      <c r="P13" s="1566"/>
    </row>
    <row r="14" spans="2:16" ht="16.5" customHeight="1">
      <c r="B14" s="889" t="s">
        <v>1996</v>
      </c>
      <c r="C14" s="126"/>
      <c r="D14" s="360" t="str">
        <f>D13</f>
        <v>No</v>
      </c>
      <c r="E14" s="127"/>
      <c r="F14" s="358"/>
      <c r="G14" s="892" t="s">
        <v>868</v>
      </c>
      <c r="H14" s="126"/>
      <c r="I14" s="359" t="str">
        <f>IF(SUM('T4RIF'!J15:J35)&gt;0,"Yes","No")</f>
        <v>No</v>
      </c>
      <c r="J14" s="127"/>
      <c r="K14" s="358"/>
      <c r="L14" s="126" t="s">
        <v>1345</v>
      </c>
      <c r="M14" s="1223" t="s">
        <v>935</v>
      </c>
      <c r="N14" s="1580"/>
      <c r="O14" s="1581"/>
      <c r="P14" s="1566"/>
    </row>
    <row r="15" spans="2:16" ht="16.5" customHeight="1">
      <c r="B15" s="889" t="s">
        <v>1995</v>
      </c>
      <c r="C15" s="126"/>
      <c r="D15" s="359" t="str">
        <f>IF(Sch5!H16+Sch5!H24+Sch5!H31=0,"No","Yes")</f>
        <v>No</v>
      </c>
      <c r="E15" s="127"/>
      <c r="F15" s="358"/>
      <c r="G15" s="892" t="s">
        <v>809</v>
      </c>
      <c r="H15" s="126"/>
      <c r="I15" s="359" t="str">
        <f>IF(SUM('T4RSP'!J16:J44)&gt;0,"Yes","No")</f>
        <v>No</v>
      </c>
      <c r="J15" s="127"/>
      <c r="K15" s="358"/>
      <c r="L15" s="126" t="s">
        <v>2453</v>
      </c>
      <c r="M15" s="1223" t="s">
        <v>935</v>
      </c>
      <c r="N15" s="1580"/>
      <c r="O15" s="1581"/>
      <c r="P15" s="1566"/>
    </row>
    <row r="16" spans="2:16" ht="16.5" customHeight="1">
      <c r="B16" s="889" t="s">
        <v>22</v>
      </c>
      <c r="C16" s="126"/>
      <c r="D16" s="359" t="str">
        <f>IF(Sch6!M105=0,"No","Yes")</f>
        <v>No</v>
      </c>
      <c r="E16" s="127"/>
      <c r="F16" s="358"/>
      <c r="G16" s="892" t="s">
        <v>1993</v>
      </c>
      <c r="H16" s="126"/>
      <c r="I16" s="359" t="str">
        <f>IF('T778'!E35=0,"No","Yes")</f>
        <v>No</v>
      </c>
      <c r="J16" s="127"/>
      <c r="K16" s="358"/>
      <c r="L16" s="126" t="s">
        <v>2454</v>
      </c>
      <c r="M16" s="1223" t="s">
        <v>935</v>
      </c>
      <c r="N16" s="1580"/>
      <c r="O16" s="1581"/>
      <c r="P16" s="1566"/>
    </row>
    <row r="17" spans="2:16" ht="16.5" customHeight="1">
      <c r="B17" s="889" t="s">
        <v>56</v>
      </c>
      <c r="C17" s="126"/>
      <c r="D17" s="359" t="str">
        <f>IF(Sch7!I43=0,"No","Yes")</f>
        <v>No</v>
      </c>
      <c r="E17" s="127"/>
      <c r="F17" s="358"/>
      <c r="G17" s="892" t="s">
        <v>1208</v>
      </c>
      <c r="H17" s="126"/>
      <c r="I17" s="359" t="str">
        <f>IF('T1032E'!N57&gt;0,"Yes","No")</f>
        <v>No</v>
      </c>
      <c r="J17" s="127"/>
      <c r="K17" s="358"/>
      <c r="L17" s="126" t="s">
        <v>806</v>
      </c>
      <c r="M17" s="1223" t="s">
        <v>935</v>
      </c>
      <c r="N17" s="1580"/>
      <c r="O17" s="1581"/>
      <c r="P17" s="1566"/>
    </row>
    <row r="18" spans="2:16" ht="16.5" customHeight="1">
      <c r="B18" s="889" t="s">
        <v>1891</v>
      </c>
      <c r="C18" s="126"/>
      <c r="D18" s="359" t="str">
        <f>IF(Sch8!I14=0,"No","Yes")</f>
        <v>No</v>
      </c>
      <c r="E18" s="127"/>
      <c r="F18" s="358"/>
      <c r="G18" s="892" t="s">
        <v>820</v>
      </c>
      <c r="H18" s="126"/>
      <c r="I18" s="359" t="str">
        <f>IF('T2204'!N31+'T2204'!I97=0,"No","Yes")</f>
        <v>No</v>
      </c>
      <c r="J18" s="127"/>
      <c r="K18" s="358"/>
      <c r="L18" s="126" t="s">
        <v>26</v>
      </c>
      <c r="M18" s="1223" t="s">
        <v>935</v>
      </c>
      <c r="N18" s="1580"/>
      <c r="O18" s="1581"/>
      <c r="P18" s="1566"/>
    </row>
    <row r="19" spans="2:16" ht="16.5" customHeight="1">
      <c r="B19" s="889" t="s">
        <v>2068</v>
      </c>
      <c r="C19" s="126"/>
      <c r="D19" s="359" t="str">
        <f>IF(Sch9!I28=0,"No","Yes")</f>
        <v>No</v>
      </c>
      <c r="E19" s="127"/>
      <c r="F19" s="358"/>
      <c r="G19" s="892" t="s">
        <v>1546</v>
      </c>
      <c r="H19" s="126"/>
      <c r="I19" s="359" t="str">
        <f>IF('T2205'!E14&gt;0,"Yes","No")</f>
        <v>No</v>
      </c>
      <c r="J19" s="127"/>
      <c r="K19" s="358"/>
      <c r="L19" s="126" t="s">
        <v>1450</v>
      </c>
      <c r="M19" s="1223" t="s">
        <v>935</v>
      </c>
      <c r="N19" s="1227"/>
      <c r="O19" s="1228"/>
      <c r="P19" s="1566"/>
    </row>
    <row r="20" spans="2:16" ht="16.5" customHeight="1">
      <c r="B20" s="889" t="s">
        <v>1997</v>
      </c>
      <c r="C20" s="126"/>
      <c r="D20" s="1520" t="str">
        <f>IF(Sch11!K29=0,"No","Yes")</f>
        <v>No</v>
      </c>
      <c r="E20" s="127"/>
      <c r="F20" s="358"/>
      <c r="G20" s="892" t="s">
        <v>1064</v>
      </c>
      <c r="H20" s="126"/>
      <c r="I20" s="359" t="str">
        <f>IF('T2209'!I36&gt;0,"Yes","No")</f>
        <v>No</v>
      </c>
      <c r="J20" s="127"/>
      <c r="K20" s="358"/>
      <c r="L20" s="126"/>
      <c r="M20" s="1223"/>
      <c r="N20" s="1227"/>
      <c r="O20" s="1228"/>
      <c r="P20" s="1566"/>
    </row>
    <row r="21" spans="2:16" ht="16.5" customHeight="1">
      <c r="B21" s="889" t="s">
        <v>342</v>
      </c>
      <c r="C21" s="126"/>
      <c r="D21" s="1520" t="str">
        <f>IF(Sch12!H38=0,"No","Yes")</f>
        <v>No</v>
      </c>
      <c r="E21" s="127"/>
      <c r="F21" s="358"/>
      <c r="G21" s="892" t="s">
        <v>863</v>
      </c>
      <c r="H21" s="126"/>
      <c r="I21" s="359" t="str">
        <f>IF(SUM('T5007'!J17:J19)=0,"No","Yes")</f>
        <v>No</v>
      </c>
      <c r="J21" s="127"/>
      <c r="K21" s="358"/>
      <c r="L21" s="126"/>
      <c r="M21" s="1223"/>
      <c r="N21" s="1580"/>
      <c r="O21" s="1581"/>
      <c r="P21" s="1566"/>
    </row>
    <row r="22" spans="2:16" ht="16.5" customHeight="1">
      <c r="B22" s="358"/>
      <c r="C22" s="126"/>
      <c r="D22" s="360"/>
      <c r="E22" s="127"/>
      <c r="F22" s="358"/>
      <c r="G22" s="892" t="s">
        <v>1417</v>
      </c>
      <c r="H22" s="126"/>
      <c r="I22" s="359" t="str">
        <f>IF(SUM(MISC!L21:L92)=0,"No","Yes")</f>
        <v>No</v>
      </c>
      <c r="J22" s="127"/>
      <c r="K22" s="358"/>
      <c r="L22" s="126" t="s">
        <v>2060</v>
      </c>
      <c r="M22" s="1223" t="s">
        <v>935</v>
      </c>
      <c r="N22" s="1580"/>
      <c r="O22" s="1581"/>
      <c r="P22" s="1566"/>
    </row>
    <row r="23" spans="2:16" ht="16.5" customHeight="1">
      <c r="B23" s="358"/>
      <c r="C23" s="126"/>
      <c r="D23" s="360"/>
      <c r="E23" s="127"/>
      <c r="F23" s="358"/>
      <c r="G23" s="892" t="s">
        <v>841</v>
      </c>
      <c r="H23" s="126"/>
      <c r="I23" s="360" t="s">
        <v>996</v>
      </c>
      <c r="J23" s="127"/>
      <c r="K23" s="358"/>
      <c r="L23" s="126" t="s">
        <v>805</v>
      </c>
      <c r="M23" s="1223" t="s">
        <v>935</v>
      </c>
      <c r="N23" s="1580"/>
      <c r="O23" s="1581"/>
      <c r="P23" s="1566"/>
    </row>
    <row r="24" spans="2:16" ht="16.5" customHeight="1">
      <c r="B24" s="358"/>
      <c r="C24" s="126"/>
      <c r="D24" s="360"/>
      <c r="E24" s="127"/>
      <c r="F24" s="358"/>
      <c r="G24" s="892" t="s">
        <v>1700</v>
      </c>
      <c r="H24" s="126"/>
      <c r="I24" s="360" t="s">
        <v>996</v>
      </c>
      <c r="J24" s="127"/>
      <c r="K24" s="358"/>
      <c r="L24" s="126" t="s">
        <v>2232</v>
      </c>
      <c r="M24" s="1223" t="s">
        <v>935</v>
      </c>
      <c r="N24" s="1580"/>
      <c r="O24" s="1581"/>
      <c r="P24" s="1566"/>
    </row>
    <row r="25" spans="2:16" ht="16.5" customHeight="1">
      <c r="B25" s="358"/>
      <c r="C25" s="126"/>
      <c r="D25" s="360"/>
      <c r="E25" s="127"/>
      <c r="F25" s="358"/>
      <c r="G25" s="892" t="s">
        <v>1449</v>
      </c>
      <c r="H25" s="126"/>
      <c r="I25" s="360" t="s">
        <v>996</v>
      </c>
      <c r="J25" s="127"/>
      <c r="K25" s="358"/>
      <c r="L25" s="126"/>
      <c r="M25" s="1223"/>
      <c r="N25" s="1580"/>
      <c r="O25" s="1581"/>
      <c r="P25" s="1566"/>
    </row>
    <row r="26" spans="2:16" ht="16.5" customHeight="1">
      <c r="B26" s="358"/>
      <c r="C26" s="126"/>
      <c r="D26" s="360"/>
      <c r="E26" s="127"/>
      <c r="F26" s="358"/>
      <c r="G26" s="892" t="s">
        <v>1999</v>
      </c>
      <c r="H26" s="126"/>
      <c r="I26" s="360" t="s">
        <v>996</v>
      </c>
      <c r="J26" s="127"/>
      <c r="K26" s="358"/>
      <c r="L26" s="126" t="s">
        <v>1448</v>
      </c>
      <c r="M26" s="1229" t="s">
        <v>935</v>
      </c>
      <c r="N26" s="1227"/>
      <c r="O26" s="1228"/>
      <c r="P26" s="1566"/>
    </row>
    <row r="27" spans="2:16" ht="16.5" customHeight="1">
      <c r="B27" s="358"/>
      <c r="C27" s="126"/>
      <c r="D27" s="360"/>
      <c r="E27" s="127"/>
      <c r="F27" s="358"/>
      <c r="G27" s="892" t="s">
        <v>1864</v>
      </c>
      <c r="H27" s="126"/>
      <c r="I27" s="360" t="s">
        <v>996</v>
      </c>
      <c r="J27" s="127"/>
      <c r="K27" s="358"/>
      <c r="L27" s="126" t="s">
        <v>1418</v>
      </c>
      <c r="M27" s="1016" t="s">
        <v>938</v>
      </c>
      <c r="N27" s="1015"/>
      <c r="O27" s="1017"/>
      <c r="P27" s="1566"/>
    </row>
    <row r="28" spans="2:16" ht="16.5" customHeight="1">
      <c r="B28" s="358"/>
      <c r="C28" s="126"/>
      <c r="D28" s="360"/>
      <c r="E28" s="127"/>
      <c r="F28" s="358"/>
      <c r="G28" s="126"/>
      <c r="H28" s="126"/>
      <c r="I28" s="126"/>
      <c r="J28" s="127"/>
      <c r="K28" s="358"/>
      <c r="L28" s="1014" t="s">
        <v>934</v>
      </c>
      <c r="M28" s="1224" t="s">
        <v>935</v>
      </c>
      <c r="N28" s="1013"/>
      <c r="O28" s="127"/>
      <c r="P28" s="1566"/>
    </row>
    <row r="29" spans="2:18" ht="15">
      <c r="B29" s="956"/>
      <c r="C29" s="124"/>
      <c r="D29" s="718"/>
      <c r="E29" s="124"/>
      <c r="F29" s="124"/>
      <c r="G29" s="124"/>
      <c r="H29" s="124"/>
      <c r="I29" s="718"/>
      <c r="J29" s="124"/>
      <c r="K29" s="124"/>
      <c r="L29" s="720"/>
      <c r="M29" s="124"/>
      <c r="N29" s="719"/>
      <c r="O29" s="719"/>
      <c r="P29" s="719"/>
      <c r="Q29" s="719"/>
      <c r="R29" s="719"/>
    </row>
    <row r="30" spans="2:18" ht="15" hidden="1">
      <c r="B30" s="889" t="s">
        <v>1990</v>
      </c>
      <c r="C30" s="126"/>
      <c r="D30" s="567" t="e">
        <f>IF(VLOOKUP("WRK",'T1 GEN-2-3-4'!$D$50:$H$53,2,FALSE)&gt;0,"Yes","No")</f>
        <v>#REF!</v>
      </c>
      <c r="E30" s="127"/>
      <c r="F30" s="124"/>
      <c r="G30" s="112" t="s">
        <v>1235</v>
      </c>
      <c r="H30" s="124"/>
      <c r="I30" s="718"/>
      <c r="J30" s="124"/>
      <c r="K30" s="124"/>
      <c r="L30" s="955"/>
      <c r="M30" s="124"/>
      <c r="N30" s="719"/>
      <c r="O30" s="719"/>
      <c r="P30" s="719"/>
      <c r="Q30" s="719"/>
      <c r="R30" s="719"/>
    </row>
    <row r="31" spans="2:18" ht="15" hidden="1">
      <c r="B31" s="889" t="s">
        <v>1280</v>
      </c>
      <c r="C31" s="126"/>
      <c r="D31" s="567" t="str">
        <f>$D$8</f>
        <v>No</v>
      </c>
      <c r="E31" s="127"/>
      <c r="F31" s="124"/>
      <c r="G31" s="112" t="s">
        <v>942</v>
      </c>
      <c r="H31" s="124"/>
      <c r="I31" s="718"/>
      <c r="J31" s="124"/>
      <c r="K31" s="124"/>
      <c r="L31" s="955"/>
      <c r="M31" s="124"/>
      <c r="N31" s="719"/>
      <c r="O31" s="719"/>
      <c r="P31" s="719"/>
      <c r="Q31" s="719"/>
      <c r="R31" s="719"/>
    </row>
    <row r="32" spans="2:18" ht="15" hidden="1">
      <c r="B32" s="889" t="s">
        <v>801</v>
      </c>
      <c r="C32" s="126"/>
      <c r="D32" s="568" t="e">
        <f>IF(VLOOKUP("S479",'T1 GEN-2-3-4'!$D$50:$H$53,2,FALSE)&gt;0,"Yes","No")</f>
        <v>#REF!</v>
      </c>
      <c r="E32" s="127"/>
      <c r="F32" s="112"/>
      <c r="G32" s="112" t="s">
        <v>937</v>
      </c>
      <c r="H32" s="112"/>
      <c r="I32" s="112"/>
      <c r="J32" s="112"/>
      <c r="K32" s="112"/>
      <c r="L32" s="955"/>
      <c r="M32" s="112"/>
      <c r="N32" s="112"/>
      <c r="O32" s="112"/>
      <c r="P32" s="719"/>
      <c r="Q32" s="719"/>
      <c r="R32" s="719"/>
    </row>
    <row r="33" spans="2:18" ht="15" hidden="1">
      <c r="B33" s="889" t="s">
        <v>1991</v>
      </c>
      <c r="C33" s="126"/>
      <c r="D33" s="568" t="e">
        <f>IF(VLOOKUP("S2",'T1 GEN-2-3-4'!$D$50:$H$53,2,FALSE)&gt;0,"Yes","No")</f>
        <v>#REF!</v>
      </c>
      <c r="E33" s="127"/>
      <c r="F33" s="112"/>
      <c r="G33" s="112" t="s">
        <v>1941</v>
      </c>
      <c r="H33" s="112"/>
      <c r="I33" s="112"/>
      <c r="J33" s="112"/>
      <c r="K33" s="112"/>
      <c r="L33" s="955"/>
      <c r="M33" s="112"/>
      <c r="N33" s="112"/>
      <c r="O33" s="112"/>
      <c r="P33" s="719"/>
      <c r="Q33" s="719"/>
      <c r="R33" s="719"/>
    </row>
    <row r="34" spans="2:18" ht="15" hidden="1">
      <c r="B34" s="889" t="s">
        <v>1992</v>
      </c>
      <c r="C34" s="126"/>
      <c r="D34" s="568" t="e">
        <f>IF(VLOOKUP("S11",'T1 GEN-2-3-4'!$D$50:$H$53,2,FALSE)&gt;0,"Yes","No")</f>
        <v>#REF!</v>
      </c>
      <c r="E34" s="127"/>
      <c r="F34" s="112"/>
      <c r="G34" s="112"/>
      <c r="H34" s="112"/>
      <c r="I34" s="112"/>
      <c r="J34" s="112"/>
      <c r="K34" s="112"/>
      <c r="L34" s="955"/>
      <c r="M34" s="112"/>
      <c r="N34" s="112"/>
      <c r="O34" s="112"/>
      <c r="P34" s="719"/>
      <c r="Q34" s="719"/>
      <c r="R34" s="719"/>
    </row>
    <row r="35" spans="2:18" ht="15" hidden="1">
      <c r="B35" s="957"/>
      <c r="C35" s="112"/>
      <c r="D35" s="112"/>
      <c r="E35" s="112"/>
      <c r="F35" s="112"/>
      <c r="G35" s="112"/>
      <c r="H35" s="112"/>
      <c r="I35" s="112"/>
      <c r="J35" s="112"/>
      <c r="K35" s="112"/>
      <c r="L35" s="955"/>
      <c r="M35" s="112"/>
      <c r="N35" s="112"/>
      <c r="O35" s="112"/>
      <c r="P35" s="719"/>
      <c r="Q35" s="719"/>
      <c r="R35" s="719"/>
    </row>
    <row r="36" spans="2:18" ht="21" customHeight="1" hidden="1">
      <c r="B36" s="889" t="s">
        <v>2441</v>
      </c>
      <c r="C36" s="126"/>
      <c r="D36" s="567" t="e">
        <f>IF(VLOOKUP("WRK",'T1 GEN-2-3-4'!$D$50:$H$53,3,FALSE)&gt;0,"Yes","No")</f>
        <v>#REF!</v>
      </c>
      <c r="E36" s="127"/>
      <c r="F36" s="112"/>
      <c r="G36" s="112" t="s">
        <v>1235</v>
      </c>
      <c r="H36" s="1336"/>
      <c r="I36" s="1336"/>
      <c r="J36" s="1336"/>
      <c r="K36" s="1336"/>
      <c r="L36" s="1336"/>
      <c r="M36" s="1336"/>
      <c r="N36" s="1336"/>
      <c r="O36" s="1336"/>
      <c r="P36" s="719"/>
      <c r="Q36" s="719"/>
      <c r="R36" s="719"/>
    </row>
    <row r="37" spans="2:18" ht="15" hidden="1">
      <c r="B37" s="889" t="s">
        <v>1577</v>
      </c>
      <c r="C37" s="126"/>
      <c r="D37" s="567" t="str">
        <f>$D$8</f>
        <v>No</v>
      </c>
      <c r="E37" s="127"/>
      <c r="F37" s="112"/>
      <c r="G37" s="112" t="s">
        <v>942</v>
      </c>
      <c r="H37" s="1336"/>
      <c r="I37" s="1336"/>
      <c r="J37" s="1336"/>
      <c r="K37" s="1336"/>
      <c r="L37" s="1336"/>
      <c r="M37" s="1336"/>
      <c r="N37" s="1336"/>
      <c r="O37" s="1336"/>
      <c r="P37" s="719"/>
      <c r="Q37" s="719"/>
      <c r="R37" s="719"/>
    </row>
    <row r="38" spans="2:18" ht="15" hidden="1">
      <c r="B38" s="889" t="s">
        <v>1956</v>
      </c>
      <c r="C38" s="126"/>
      <c r="D38" s="568" t="e">
        <f>IF(VLOOKUP("S479",'T1 GEN-2-3-4'!$D$50:$H$53,3,FALSE)&gt;0,"Yes","No")</f>
        <v>#REF!</v>
      </c>
      <c r="E38" s="127"/>
      <c r="F38" s="112"/>
      <c r="G38" s="112" t="s">
        <v>937</v>
      </c>
      <c r="H38" s="1336"/>
      <c r="I38" s="1336"/>
      <c r="J38" s="1336"/>
      <c r="K38" s="1336"/>
      <c r="L38" s="1336"/>
      <c r="M38" s="1336"/>
      <c r="N38" s="1336"/>
      <c r="O38" s="1336"/>
      <c r="P38" s="719"/>
      <c r="Q38" s="719"/>
      <c r="R38" s="719"/>
    </row>
    <row r="39" spans="2:18" ht="15" hidden="1">
      <c r="B39" s="889" t="s">
        <v>2442</v>
      </c>
      <c r="C39" s="126"/>
      <c r="D39" s="568" t="e">
        <f>IF(VLOOKUP("S2",'T1 GEN-2-3-4'!$D$50:$H$53,3,FALSE)&gt;0,"Yes","No")</f>
        <v>#REF!</v>
      </c>
      <c r="E39" s="127"/>
      <c r="F39" s="112"/>
      <c r="G39" s="112" t="s">
        <v>1941</v>
      </c>
      <c r="H39" s="1336"/>
      <c r="I39" s="1336"/>
      <c r="J39" s="1336"/>
      <c r="K39" s="1336"/>
      <c r="L39" s="1336"/>
      <c r="M39" s="1336"/>
      <c r="N39" s="1336"/>
      <c r="O39" s="1336"/>
      <c r="P39" s="719"/>
      <c r="Q39" s="719"/>
      <c r="R39" s="719"/>
    </row>
    <row r="40" spans="2:18" ht="15" hidden="1">
      <c r="B40" s="889" t="s">
        <v>2443</v>
      </c>
      <c r="C40" s="126"/>
      <c r="D40" s="568" t="e">
        <f>IF(VLOOKUP("S11",'T1 GEN-2-3-4'!$D$50:$H$53,3,FALSE)&gt;0,"Yes","No")</f>
        <v>#REF!</v>
      </c>
      <c r="E40" s="127"/>
      <c r="F40" s="112"/>
      <c r="G40" s="1336"/>
      <c r="H40" s="1336"/>
      <c r="I40" s="1336"/>
      <c r="J40" s="1336"/>
      <c r="K40" s="1336"/>
      <c r="L40" s="1336"/>
      <c r="M40" s="1336"/>
      <c r="N40" s="1336"/>
      <c r="O40" s="1336"/>
      <c r="P40" s="719"/>
      <c r="Q40" s="719"/>
      <c r="R40" s="719"/>
    </row>
    <row r="41" spans="2:18" ht="15" hidden="1">
      <c r="B41" s="112"/>
      <c r="C41" s="112"/>
      <c r="D41" s="112"/>
      <c r="E41" s="112"/>
      <c r="F41" s="112"/>
      <c r="G41" s="1336"/>
      <c r="H41" s="1336"/>
      <c r="I41" s="1336"/>
      <c r="J41" s="1336"/>
      <c r="K41" s="1336"/>
      <c r="L41" s="1336"/>
      <c r="M41" s="1336"/>
      <c r="N41" s="1336"/>
      <c r="O41" s="1336"/>
      <c r="P41" s="719"/>
      <c r="Q41" s="719"/>
      <c r="R41" s="719"/>
    </row>
    <row r="42" spans="2:18" ht="15" hidden="1">
      <c r="B42" s="889" t="s">
        <v>911</v>
      </c>
      <c r="C42" s="126"/>
      <c r="D42" s="567" t="e">
        <f>IF(VLOOKUP("WRK",'T1 GEN-2-3-4'!$D$50:$I$53,6,FALSE)&gt;0,"Yes","No")</f>
        <v>#REF!</v>
      </c>
      <c r="E42" s="127"/>
      <c r="F42" s="112"/>
      <c r="G42" s="112" t="s">
        <v>1235</v>
      </c>
      <c r="H42" s="1336"/>
      <c r="I42" s="1336"/>
      <c r="J42" s="1336"/>
      <c r="K42" s="1336"/>
      <c r="L42" s="1336"/>
      <c r="M42" s="1336"/>
      <c r="N42" s="1336"/>
      <c r="O42" s="1336"/>
      <c r="P42" s="719"/>
      <c r="Q42" s="719"/>
      <c r="R42" s="719"/>
    </row>
    <row r="43" spans="2:18" ht="15" hidden="1">
      <c r="B43" s="889" t="s">
        <v>1287</v>
      </c>
      <c r="C43" s="126"/>
      <c r="D43" s="567" t="str">
        <f>$D$8</f>
        <v>No</v>
      </c>
      <c r="E43" s="127"/>
      <c r="F43" s="112"/>
      <c r="G43" s="112" t="s">
        <v>942</v>
      </c>
      <c r="H43" s="1336"/>
      <c r="I43" s="1336"/>
      <c r="J43" s="1336"/>
      <c r="K43" s="1336"/>
      <c r="L43" s="1336"/>
      <c r="M43" s="1336"/>
      <c r="N43" s="1336"/>
      <c r="O43" s="1336"/>
      <c r="P43" s="719"/>
      <c r="Q43" s="719"/>
      <c r="R43" s="719"/>
    </row>
    <row r="44" spans="2:18" ht="15" hidden="1">
      <c r="B44" s="889" t="s">
        <v>1286</v>
      </c>
      <c r="C44" s="126"/>
      <c r="D44" s="568" t="e">
        <f>IF(VLOOKUP("S479",'T1 GEN-2-3-4'!$D$50:$I$53,6,FALSE)&gt;0,"Yes","No")</f>
        <v>#REF!</v>
      </c>
      <c r="E44" s="127"/>
      <c r="F44" s="112"/>
      <c r="G44" s="112" t="s">
        <v>937</v>
      </c>
      <c r="H44" s="1336"/>
      <c r="I44" s="1336"/>
      <c r="J44" s="1336"/>
      <c r="K44" s="1336"/>
      <c r="L44" s="1336"/>
      <c r="M44" s="1336"/>
      <c r="N44" s="1336"/>
      <c r="O44" s="1336"/>
      <c r="P44" s="719"/>
      <c r="Q44" s="719"/>
      <c r="R44" s="719"/>
    </row>
    <row r="45" spans="2:18" ht="15" hidden="1">
      <c r="B45" s="889" t="s">
        <v>909</v>
      </c>
      <c r="C45" s="126"/>
      <c r="D45" s="568" t="e">
        <f>IF(VLOOKUP("S2",'T1 GEN-2-3-4'!$D$50:$I$53,6,FALSE)&gt;0,"Yes","No")</f>
        <v>#REF!</v>
      </c>
      <c r="E45" s="127"/>
      <c r="F45" s="112"/>
      <c r="G45" s="112" t="s">
        <v>1941</v>
      </c>
      <c r="H45" s="1336"/>
      <c r="I45" s="1336"/>
      <c r="J45" s="1336"/>
      <c r="K45" s="1336"/>
      <c r="L45" s="1336"/>
      <c r="M45" s="1336"/>
      <c r="N45" s="1336"/>
      <c r="O45" s="1336"/>
      <c r="P45" s="719"/>
      <c r="Q45" s="719"/>
      <c r="R45" s="719"/>
    </row>
    <row r="46" spans="2:18" ht="15" hidden="1">
      <c r="B46" s="889" t="s">
        <v>910</v>
      </c>
      <c r="C46" s="126"/>
      <c r="D46" s="568" t="e">
        <f>IF(VLOOKUP("S11",'T1 GEN-2-3-4'!$D$50:$I$53,6,FALSE)&gt;0,"Yes","No")</f>
        <v>#REF!</v>
      </c>
      <c r="E46" s="127"/>
      <c r="F46" s="112"/>
      <c r="G46" s="1336"/>
      <c r="H46" s="1336"/>
      <c r="I46" s="1336"/>
      <c r="J46" s="1336"/>
      <c r="K46" s="1336"/>
      <c r="L46" s="1336"/>
      <c r="M46" s="1336"/>
      <c r="N46" s="1336"/>
      <c r="O46" s="1336"/>
      <c r="P46" s="719"/>
      <c r="Q46" s="719"/>
      <c r="R46" s="719"/>
    </row>
    <row r="47" spans="2:18" ht="15" hidden="1">
      <c r="B47" s="1336"/>
      <c r="C47" s="124"/>
      <c r="D47" s="1337"/>
      <c r="E47" s="124"/>
      <c r="F47" s="112"/>
      <c r="G47" s="1336"/>
      <c r="H47" s="1336"/>
      <c r="I47" s="1336"/>
      <c r="J47" s="1336"/>
      <c r="K47" s="1336"/>
      <c r="L47" s="1336"/>
      <c r="M47" s="1336"/>
      <c r="N47" s="1336"/>
      <c r="O47" s="1336"/>
      <c r="P47" s="719"/>
      <c r="Q47" s="719"/>
      <c r="R47" s="719"/>
    </row>
    <row r="48" spans="2:18" ht="15">
      <c r="B48" s="889" t="s">
        <v>2444</v>
      </c>
      <c r="C48" s="126"/>
      <c r="D48" s="567" t="str">
        <f>IF(VLOOKUP("WRK",'T1 GEN-2-3-4'!$D$50:$H$53,4,FALSE)&gt;0,"Yes","No")</f>
        <v>Yes</v>
      </c>
      <c r="E48" s="127"/>
      <c r="F48" s="112"/>
      <c r="G48" s="112" t="s">
        <v>1235</v>
      </c>
      <c r="H48" s="1336"/>
      <c r="I48" s="1336"/>
      <c r="J48" s="1336"/>
      <c r="K48" s="1336"/>
      <c r="L48" s="1336"/>
      <c r="M48" s="1336"/>
      <c r="N48" s="1336"/>
      <c r="O48" s="1336"/>
      <c r="P48" s="719"/>
      <c r="Q48" s="719"/>
      <c r="R48" s="719"/>
    </row>
    <row r="49" spans="2:18" ht="15">
      <c r="B49" s="889" t="s">
        <v>1437</v>
      </c>
      <c r="C49" s="126"/>
      <c r="D49" s="567" t="str">
        <f>$D$8</f>
        <v>No</v>
      </c>
      <c r="E49" s="127"/>
      <c r="F49" s="112"/>
      <c r="G49" s="112" t="s">
        <v>942</v>
      </c>
      <c r="H49" s="124"/>
      <c r="I49" s="1337"/>
      <c r="J49" s="124"/>
      <c r="K49" s="112"/>
      <c r="L49" s="1336"/>
      <c r="M49" s="124"/>
      <c r="N49" s="1337"/>
      <c r="O49" s="124"/>
      <c r="P49" s="719"/>
      <c r="Q49" s="719"/>
      <c r="R49" s="719"/>
    </row>
    <row r="50" spans="2:18" ht="15">
      <c r="B50" s="889" t="s">
        <v>27</v>
      </c>
      <c r="C50" s="126"/>
      <c r="D50" s="568" t="str">
        <f>IF(VLOOKUP("S479",'T1 GEN-2-3-4'!$D$50:$H$53,4,FALSE)&gt;0,"Yes","No")</f>
        <v>No</v>
      </c>
      <c r="E50" s="127"/>
      <c r="F50" s="112"/>
      <c r="G50" s="112" t="s">
        <v>937</v>
      </c>
      <c r="H50" s="124"/>
      <c r="I50" s="1337"/>
      <c r="J50" s="124"/>
      <c r="K50" s="112"/>
      <c r="L50" s="1336"/>
      <c r="M50" s="124"/>
      <c r="N50" s="1337"/>
      <c r="O50" s="124"/>
      <c r="P50" s="719"/>
      <c r="Q50" s="719"/>
      <c r="R50" s="719"/>
    </row>
    <row r="51" spans="2:18" ht="15">
      <c r="B51" s="889" t="s">
        <v>2445</v>
      </c>
      <c r="C51" s="126"/>
      <c r="D51" s="568" t="str">
        <f>IF(VLOOKUP("S2",'T1 GEN-2-3-4'!$D$50:$H$53,4,FALSE)&gt;0,"Yes","No")</f>
        <v>No</v>
      </c>
      <c r="E51" s="127"/>
      <c r="F51" s="112"/>
      <c r="G51" s="112" t="s">
        <v>1941</v>
      </c>
      <c r="H51" s="124"/>
      <c r="I51" s="1337"/>
      <c r="J51" s="124"/>
      <c r="K51" s="112"/>
      <c r="L51" s="1336"/>
      <c r="M51" s="124"/>
      <c r="N51" s="1337"/>
      <c r="O51" s="124"/>
      <c r="P51" s="719"/>
      <c r="Q51" s="719"/>
      <c r="R51" s="719"/>
    </row>
    <row r="52" spans="2:18" ht="15">
      <c r="B52" s="889" t="s">
        <v>2446</v>
      </c>
      <c r="C52" s="126"/>
      <c r="D52" s="568" t="str">
        <f>IF(VLOOKUP("S11",'T1 GEN-2-3-4'!$D$50:$H$53,4,FALSE)&gt;0,"Yes","No")</f>
        <v>No</v>
      </c>
      <c r="E52" s="127"/>
      <c r="F52" s="112"/>
      <c r="G52" s="1336"/>
      <c r="H52" s="124"/>
      <c r="I52" s="1337"/>
      <c r="J52" s="124"/>
      <c r="K52" s="112"/>
      <c r="L52" s="1336"/>
      <c r="M52" s="124"/>
      <c r="N52" s="1337"/>
      <c r="O52" s="124"/>
      <c r="P52" s="719"/>
      <c r="Q52" s="719"/>
      <c r="R52" s="719"/>
    </row>
    <row r="53" spans="2:18" ht="15">
      <c r="B53" s="1336"/>
      <c r="C53" s="124"/>
      <c r="D53" s="1337"/>
      <c r="E53" s="124"/>
      <c r="F53" s="112"/>
      <c r="G53" s="1336"/>
      <c r="H53" s="124"/>
      <c r="I53" s="1337"/>
      <c r="J53" s="124"/>
      <c r="K53" s="112"/>
      <c r="L53" s="1336"/>
      <c r="M53" s="124"/>
      <c r="N53" s="1337"/>
      <c r="O53" s="124"/>
      <c r="P53" s="719"/>
      <c r="Q53" s="719"/>
      <c r="R53" s="719"/>
    </row>
    <row r="54" spans="2:18" ht="15" hidden="1">
      <c r="B54" s="889" t="s">
        <v>2447</v>
      </c>
      <c r="C54" s="126"/>
      <c r="D54" s="567" t="e">
        <f>IF(VLOOKUP("WRK",'T1 GEN-2-3-4'!$D$50:$H$53,5,FALSE)&gt;0,"Yes","No")</f>
        <v>#REF!</v>
      </c>
      <c r="E54" s="127"/>
      <c r="F54" s="112"/>
      <c r="G54" s="112" t="s">
        <v>1235</v>
      </c>
      <c r="H54" s="124"/>
      <c r="I54" s="1337"/>
      <c r="J54" s="124"/>
      <c r="K54" s="112"/>
      <c r="L54" s="1336"/>
      <c r="M54" s="124"/>
      <c r="N54" s="1337"/>
      <c r="O54" s="124"/>
      <c r="P54" s="719"/>
      <c r="Q54" s="719"/>
      <c r="R54" s="719"/>
    </row>
    <row r="55" spans="2:18" ht="15" hidden="1">
      <c r="B55" s="889" t="s">
        <v>410</v>
      </c>
      <c r="C55" s="126"/>
      <c r="D55" s="567" t="str">
        <f>$D$8</f>
        <v>No</v>
      </c>
      <c r="E55" s="127"/>
      <c r="F55" s="112"/>
      <c r="G55" s="112" t="s">
        <v>942</v>
      </c>
      <c r="H55" s="124"/>
      <c r="I55" s="1337"/>
      <c r="J55" s="124"/>
      <c r="K55" s="112"/>
      <c r="L55" s="1336"/>
      <c r="M55" s="124"/>
      <c r="N55" s="1337"/>
      <c r="O55" s="124"/>
      <c r="P55" s="719"/>
      <c r="Q55" s="719"/>
      <c r="R55" s="719"/>
    </row>
    <row r="56" spans="2:18" ht="15" hidden="1">
      <c r="B56" s="889" t="s">
        <v>1544</v>
      </c>
      <c r="C56" s="126"/>
      <c r="D56" s="568" t="e">
        <f>IF(VLOOKUP("S479",'T1 GEN-2-3-4'!$D$50:$H$53,5,FALSE)&gt;0,"Yes","No")</f>
        <v>#REF!</v>
      </c>
      <c r="E56" s="127"/>
      <c r="F56" s="112"/>
      <c r="G56" s="112" t="s">
        <v>937</v>
      </c>
      <c r="H56" s="124"/>
      <c r="I56" s="1337"/>
      <c r="J56" s="124"/>
      <c r="K56" s="112"/>
      <c r="L56" s="1336"/>
      <c r="M56" s="124"/>
      <c r="N56" s="1337"/>
      <c r="O56" s="124"/>
      <c r="P56" s="719"/>
      <c r="Q56" s="719"/>
      <c r="R56" s="719"/>
    </row>
    <row r="57" spans="2:18" ht="15" hidden="1">
      <c r="B57" s="889" t="s">
        <v>2448</v>
      </c>
      <c r="C57" s="126"/>
      <c r="D57" s="568" t="e">
        <f>IF(VLOOKUP("S2",'T1 GEN-2-3-4'!$D$50:$H$53,5,FALSE)&gt;0,"Yes","No")</f>
        <v>#REF!</v>
      </c>
      <c r="E57" s="127"/>
      <c r="F57" s="112"/>
      <c r="G57" s="112" t="s">
        <v>1941</v>
      </c>
      <c r="H57" s="124"/>
      <c r="I57" s="1337"/>
      <c r="J57" s="124"/>
      <c r="K57" s="112"/>
      <c r="L57" s="1336"/>
      <c r="M57" s="124"/>
      <c r="N57" s="1337"/>
      <c r="O57" s="124"/>
      <c r="P57" s="719"/>
      <c r="Q57" s="719"/>
      <c r="R57" s="719"/>
    </row>
    <row r="58" spans="2:18" ht="15" hidden="1">
      <c r="B58" s="889" t="s">
        <v>2449</v>
      </c>
      <c r="C58" s="126"/>
      <c r="D58" s="568" t="e">
        <f>IF(VLOOKUP("S11",'T1 GEN-2-3-4'!$D$50:$H$53,5,FALSE)&gt;0,"Yes","No")</f>
        <v>#REF!</v>
      </c>
      <c r="E58" s="127"/>
      <c r="F58" s="112"/>
      <c r="G58" s="1336"/>
      <c r="H58" s="124"/>
      <c r="I58" s="1337"/>
      <c r="J58" s="124"/>
      <c r="K58" s="112"/>
      <c r="L58" s="1336"/>
      <c r="M58" s="124"/>
      <c r="N58" s="1337"/>
      <c r="O58" s="124"/>
      <c r="P58" s="719"/>
      <c r="Q58" s="719"/>
      <c r="R58" s="719"/>
    </row>
    <row r="59" spans="2:18" ht="15">
      <c r="B59" s="1336"/>
      <c r="C59" s="124"/>
      <c r="D59" s="1337"/>
      <c r="E59" s="124"/>
      <c r="F59" s="112"/>
      <c r="G59" s="1336"/>
      <c r="H59" s="124"/>
      <c r="I59" s="1337"/>
      <c r="J59" s="124"/>
      <c r="K59" s="112"/>
      <c r="L59" s="1336"/>
      <c r="M59" s="124"/>
      <c r="N59" s="1337"/>
      <c r="O59" s="124"/>
      <c r="P59" s="719"/>
      <c r="Q59" s="719"/>
      <c r="R59" s="719"/>
    </row>
    <row r="60" spans="2:18" ht="15" hidden="1">
      <c r="B60" s="889" t="s">
        <v>1586</v>
      </c>
      <c r="C60" s="126"/>
      <c r="D60" s="567" t="e">
        <f>IF(VLOOKUP("WRK",'T1 GEN-2-3-4'!$D$50:$J$53,7,FALSE)&gt;0,"Yes","No")</f>
        <v>#REF!</v>
      </c>
      <c r="E60" s="127"/>
      <c r="F60" s="112"/>
      <c r="G60" s="112" t="s">
        <v>1235</v>
      </c>
      <c r="H60" s="124"/>
      <c r="I60" s="1337"/>
      <c r="J60" s="124"/>
      <c r="K60" s="112"/>
      <c r="L60" s="1336"/>
      <c r="M60" s="124"/>
      <c r="N60" s="1337"/>
      <c r="O60" s="124"/>
      <c r="P60" s="719"/>
      <c r="Q60" s="719"/>
      <c r="R60" s="719"/>
    </row>
    <row r="61" spans="2:18" ht="15" hidden="1">
      <c r="B61" s="889" t="s">
        <v>375</v>
      </c>
      <c r="C61" s="126"/>
      <c r="D61" s="567" t="str">
        <f>$D$8</f>
        <v>No</v>
      </c>
      <c r="E61" s="127"/>
      <c r="F61" s="112"/>
      <c r="G61" s="112" t="s">
        <v>942</v>
      </c>
      <c r="H61" s="124"/>
      <c r="I61" s="1337"/>
      <c r="J61" s="124"/>
      <c r="K61" s="112"/>
      <c r="L61" s="1336"/>
      <c r="M61" s="124"/>
      <c r="N61" s="1337"/>
      <c r="O61" s="124"/>
      <c r="P61" s="719"/>
      <c r="Q61" s="719"/>
      <c r="R61" s="719"/>
    </row>
    <row r="62" spans="2:18" ht="15" hidden="1">
      <c r="B62" s="889" t="s">
        <v>1822</v>
      </c>
      <c r="C62" s="126"/>
      <c r="D62" s="568" t="e">
        <f>IF(VLOOKUP("S479",'T1 GEN-2-3-4'!$D$50:$J$53,7,FALSE)&gt;0,"Yes","No")</f>
        <v>#REF!</v>
      </c>
      <c r="E62" s="127"/>
      <c r="F62" s="112"/>
      <c r="G62" s="112" t="s">
        <v>937</v>
      </c>
      <c r="H62" s="124"/>
      <c r="I62" s="1337"/>
      <c r="J62" s="124"/>
      <c r="K62" s="112"/>
      <c r="L62" s="1336"/>
      <c r="M62" s="124"/>
      <c r="N62" s="1337"/>
      <c r="O62" s="124"/>
      <c r="P62" s="719"/>
      <c r="Q62" s="719"/>
      <c r="R62" s="719"/>
    </row>
    <row r="63" spans="2:18" ht="15" hidden="1">
      <c r="B63" s="889" t="s">
        <v>1587</v>
      </c>
      <c r="C63" s="126"/>
      <c r="D63" s="568" t="e">
        <f>IF(VLOOKUP("S2",'T1 GEN-2-3-4'!$D$50:$J$53,7,FALSE)&gt;0,"Yes","No")</f>
        <v>#REF!</v>
      </c>
      <c r="E63" s="127"/>
      <c r="F63" s="112"/>
      <c r="G63" s="112" t="s">
        <v>1941</v>
      </c>
      <c r="H63" s="124"/>
      <c r="I63" s="1337"/>
      <c r="J63" s="124"/>
      <c r="K63" s="112"/>
      <c r="L63" s="1336"/>
      <c r="M63" s="124"/>
      <c r="N63" s="1337"/>
      <c r="O63" s="124"/>
      <c r="P63" s="719"/>
      <c r="Q63" s="719"/>
      <c r="R63" s="719"/>
    </row>
    <row r="64" spans="2:18" ht="15" hidden="1">
      <c r="B64" s="889" t="s">
        <v>1588</v>
      </c>
      <c r="C64" s="126"/>
      <c r="D64" s="568" t="e">
        <f>IF(VLOOKUP("S11",'T1 GEN-2-3-4'!$D$50:$J$53,7,FALSE)&gt;0,"Yes","No")</f>
        <v>#REF!</v>
      </c>
      <c r="E64" s="127"/>
      <c r="F64" s="112"/>
      <c r="G64" s="1336"/>
      <c r="H64" s="124"/>
      <c r="I64" s="1337"/>
      <c r="J64" s="124"/>
      <c r="K64" s="112"/>
      <c r="L64" s="1336"/>
      <c r="M64" s="124"/>
      <c r="N64" s="1337"/>
      <c r="O64" s="124"/>
      <c r="P64" s="719"/>
      <c r="Q64" s="719"/>
      <c r="R64" s="719"/>
    </row>
    <row r="65" spans="2:18" ht="15" hidden="1">
      <c r="B65" s="112"/>
      <c r="C65" s="112"/>
      <c r="D65" s="112"/>
      <c r="E65" s="112"/>
      <c r="F65" s="112"/>
      <c r="G65" s="112"/>
      <c r="H65" s="112"/>
      <c r="I65" s="112"/>
      <c r="J65" s="112"/>
      <c r="K65" s="112"/>
      <c r="L65" s="112"/>
      <c r="M65" s="112"/>
      <c r="N65" s="112"/>
      <c r="O65" s="112"/>
      <c r="P65" s="719"/>
      <c r="Q65" s="719"/>
      <c r="R65" s="719"/>
    </row>
  </sheetData>
  <sheetProtection password="EC35" sheet="1" objects="1" scenarios="1"/>
  <mergeCells count="16">
    <mergeCell ref="P1:P28"/>
    <mergeCell ref="M6:O6"/>
    <mergeCell ref="N13:O13"/>
    <mergeCell ref="N14:O14"/>
    <mergeCell ref="N15:O15"/>
    <mergeCell ref="N16:O16"/>
    <mergeCell ref="N17:O17"/>
    <mergeCell ref="N8:O8"/>
    <mergeCell ref="N7:O7"/>
    <mergeCell ref="N24:O24"/>
    <mergeCell ref="N25:O25"/>
    <mergeCell ref="N9:O9"/>
    <mergeCell ref="N18:O18"/>
    <mergeCell ref="N21:O21"/>
    <mergeCell ref="N22:O22"/>
    <mergeCell ref="N23:O23"/>
  </mergeCells>
  <hyperlinks>
    <hyperlink ref="B7" location="'T1 GEN-1'!D11" display="T1 GEN-1"/>
    <hyperlink ref="B8" location="'T1 GEN-2-3-4'!B4" display="T1 GEN-2-3-4"/>
    <hyperlink ref="B9" location="'FED WRK'!B8" display="FED WRK"/>
    <hyperlink ref="B10" location="Sch1!B1" display="Sch1"/>
    <hyperlink ref="G18" location="'T2204'!I17" display="T2204"/>
    <hyperlink ref="B11" location="Sch2!I12" display="Sch2"/>
    <hyperlink ref="B12" location="Sch3!B13" display="Sch3"/>
    <hyperlink ref="B13" location="Sch4!B8" display="Sch4"/>
    <hyperlink ref="B14" location="'Sch4-2'!B12" display="Sch4-2"/>
    <hyperlink ref="B15" location="Sch5!D10" display="Sch5"/>
    <hyperlink ref="B17" location="Sch7!E13" display="Sch7"/>
    <hyperlink ref="B18" location="Sch8!I13" display="Sch8"/>
    <hyperlink ref="B19" location="Sch9!G6" display="Sch9"/>
    <hyperlink ref="B20" location="Sch11!I13" display="Sch11"/>
    <hyperlink ref="G23" location="QUAL!E10" display="QUAL"/>
    <hyperlink ref="G24" location="README!A1" display="README"/>
    <hyperlink ref="G26" location="'GO TO'!P1" display="GO TO"/>
    <hyperlink ref="G27" location="HELP!A1" display="HELP"/>
    <hyperlink ref="G22" location="MISC!E21" display="MISC"/>
    <hyperlink ref="G13" location="T4PS!E17" display="T4PS"/>
    <hyperlink ref="G19" location="'T2205'!B9" display="T2205"/>
    <hyperlink ref="G21" location="'T5007'!E17" display="T5007"/>
    <hyperlink ref="G7" location="'T4'!E14" display="T4"/>
    <hyperlink ref="G8" location="T4A!E15" display="T4A"/>
    <hyperlink ref="G16" location="'T778'!B18" display="T778"/>
    <hyperlink ref="G11" location="T4E!E17" display="T4E"/>
    <hyperlink ref="G9" location="'T4A(OAS)'!E17" display="T4A(OAS)"/>
    <hyperlink ref="G14" location="T4RIF!E15" display="T4RIF"/>
    <hyperlink ref="G15" location="T4RSP!E16" display="T4RSP"/>
    <hyperlink ref="G10" location="'T4A(P)'!E17" display="T4A(P)"/>
    <hyperlink ref="B39" location="'BC(S2)'!J16" display="BC(S2)"/>
    <hyperlink ref="B40" location="'BC(S11)'!I15" display="BC(S11)"/>
    <hyperlink ref="B38" location="'BC479'!I14" display="BC479"/>
    <hyperlink ref="B37" location="'BC428'!B6" display="BC428"/>
    <hyperlink ref="B36" location="'BC WRK'!A8" display="BC WRK"/>
    <hyperlink ref="B54" location="'NS WRK'!A7" display="NS WRK"/>
    <hyperlink ref="B55" location="NS428!B8" display="NS428"/>
    <hyperlink ref="B56" location="NS479!A7" display="NS479"/>
    <hyperlink ref="B57" location="'NS(S2)'!B7" display="NS(S2)"/>
    <hyperlink ref="B58" location="'NS(S11)'!A8" display="NS(S11)"/>
    <hyperlink ref="B48" location="'AB WRK'!A1" display="AB WRK"/>
    <hyperlink ref="B49" location="'AB428'!A1" display="AB428"/>
    <hyperlink ref="B50" location="'AB479'!A1" display="AB479"/>
    <hyperlink ref="B51" location="'AB(S2)'!A1" display="AB(S2)"/>
    <hyperlink ref="B52" location="'AB(S11)'!A1" display="AB(S11)"/>
    <hyperlink ref="B42" location="'MB WRK'!A1" display="MB WRK"/>
    <hyperlink ref="B43" location="MB428!A1" display="MB428"/>
    <hyperlink ref="B44" location="MB479!A1" display="MB479"/>
    <hyperlink ref="B45" location="'MB(S2)'!A1" display="MB(S2)"/>
    <hyperlink ref="B46" location="'MB(S11)'!A1" display="MB(S11)"/>
    <hyperlink ref="B60" location="'PE WRK'!A1" display="PE WRK"/>
    <hyperlink ref="B61" location="PE428!A1" display="PE428"/>
    <hyperlink ref="B62" location="PE479!A1" display="PE479"/>
    <hyperlink ref="B63" location="'PE(S2)'!A1" display="PE(S2)"/>
    <hyperlink ref="B64" location="'PE(S11)'!A1" display="PE(S11)"/>
    <hyperlink ref="B33" location="'ON(S2)'!J16" display="ON(S2)"/>
    <hyperlink ref="B34" location="'ON(S11)'!I15" display="ON(S11)"/>
    <hyperlink ref="B31" location="ON428!F27" display="ON428"/>
    <hyperlink ref="B32" location="ON479!G15" display="ON479"/>
    <hyperlink ref="B30" location="'ON WRK'!I20" display="ON WRK"/>
    <hyperlink ref="M9" r:id="rId1" display="PDF"/>
    <hyperlink ref="M28" r:id="rId2" display="PDF"/>
    <hyperlink ref="M7" r:id="rId3" display="PDF"/>
    <hyperlink ref="M8" r:id="rId4" display="PDF"/>
    <hyperlink ref="M12" r:id="rId5" display="PDF"/>
    <hyperlink ref="M13" r:id="rId6" display="PDF"/>
    <hyperlink ref="M14" r:id="rId7" display="PDF"/>
    <hyperlink ref="M15" r:id="rId8" display="PDF"/>
    <hyperlink ref="M16" r:id="rId9" display="PDF"/>
    <hyperlink ref="M17" r:id="rId10" display="PDF"/>
    <hyperlink ref="M18" r:id="rId11" display="PDF"/>
    <hyperlink ref="M22" r:id="rId12" display="PDF"/>
    <hyperlink ref="M23" r:id="rId13" display="PDF"/>
    <hyperlink ref="M24" r:id="rId14" display="PDF"/>
    <hyperlink ref="G25" location="'What''s New'!A2" display="WHAT'S NEW"/>
    <hyperlink ref="M26" r:id="rId15" display="PDF"/>
    <hyperlink ref="M19" r:id="rId16" display="PDF"/>
    <hyperlink ref="G17" location="T1032E!A1" display="T1032 E"/>
    <hyperlink ref="B16" location="Sch6!A1" display="Sch6"/>
    <hyperlink ref="G20" location="'T2209'!A1" display="T2209"/>
    <hyperlink ref="B21" location="Sch12!A1" display="Sch12"/>
  </hyperlinks>
  <printOptions horizontalCentered="1" verticalCentered="1"/>
  <pageMargins left="0.5" right="0.5" top="1" bottom="0.5" header="0.5" footer="0.5"/>
  <pageSetup fitToHeight="0" fitToWidth="1" horizontalDpi="600" verticalDpi="600" orientation="landscape" scale="84" r:id="rId17"/>
</worksheet>
</file>

<file path=xl/worksheets/sheet40.xml><?xml version="1.0" encoding="utf-8"?>
<worksheet xmlns="http://schemas.openxmlformats.org/spreadsheetml/2006/main" xmlns:r="http://schemas.openxmlformats.org/officeDocument/2006/relationships">
  <sheetPr>
    <pageSetUpPr fitToPage="1"/>
  </sheetPr>
  <dimension ref="A1:L133"/>
  <sheetViews>
    <sheetView zoomScalePageLayoutView="0" workbookViewId="0" topLeftCell="A1">
      <selection activeCell="A1" sqref="A1"/>
    </sheetView>
  </sheetViews>
  <sheetFormatPr defaultColWidth="8.88671875" defaultRowHeight="15"/>
  <cols>
    <col min="1" max="1" width="20.77734375" style="0" customWidth="1"/>
    <col min="2" max="2" width="5.88671875" style="0" customWidth="1"/>
    <col min="4" max="4" width="4.77734375" style="0" customWidth="1"/>
    <col min="5" max="5" width="17.77734375" style="0" customWidth="1"/>
    <col min="6" max="6" width="25.88671875" style="0" customWidth="1"/>
    <col min="7" max="7" width="17.77734375" style="0" customWidth="1"/>
    <col min="8" max="8" width="4.77734375" style="0" customWidth="1"/>
    <col min="9" max="9" width="17.77734375" style="0" customWidth="1"/>
    <col min="10" max="10" width="4.77734375" style="0" customWidth="1"/>
    <col min="11" max="11" width="3.21484375" style="0" customWidth="1"/>
  </cols>
  <sheetData>
    <row r="1" spans="1:12" ht="15">
      <c r="A1" s="112"/>
      <c r="B1" s="112"/>
      <c r="C1" s="112"/>
      <c r="D1" s="112"/>
      <c r="E1" s="112"/>
      <c r="F1" s="112"/>
      <c r="G1" s="112"/>
      <c r="H1" s="112"/>
      <c r="I1" s="112"/>
      <c r="J1" s="112"/>
      <c r="K1" s="112"/>
      <c r="L1" s="1566" t="s">
        <v>1773</v>
      </c>
    </row>
    <row r="2" spans="1:12" ht="23.25">
      <c r="A2" s="112"/>
      <c r="B2" s="112"/>
      <c r="C2" s="112"/>
      <c r="D2" s="112"/>
      <c r="E2" s="112"/>
      <c r="F2" s="1328"/>
      <c r="G2" s="1329" t="s">
        <v>1267</v>
      </c>
      <c r="H2" s="112"/>
      <c r="I2" s="112"/>
      <c r="J2" s="112"/>
      <c r="K2" s="112"/>
      <c r="L2" s="1566"/>
    </row>
    <row r="3" spans="1:12" ht="15">
      <c r="A3" s="112"/>
      <c r="B3" s="112"/>
      <c r="C3" s="112"/>
      <c r="D3" s="112"/>
      <c r="E3" s="112"/>
      <c r="F3" s="112"/>
      <c r="G3" s="112"/>
      <c r="H3" s="112"/>
      <c r="I3" s="112"/>
      <c r="J3" s="112"/>
      <c r="K3" s="112"/>
      <c r="L3" s="1566"/>
    </row>
    <row r="4" spans="1:12" ht="15">
      <c r="A4" s="112" t="s">
        <v>1248</v>
      </c>
      <c r="B4" s="112"/>
      <c r="C4" s="112"/>
      <c r="D4" s="112"/>
      <c r="E4" s="112"/>
      <c r="F4" s="112"/>
      <c r="G4" s="112"/>
      <c r="H4" s="112"/>
      <c r="I4" s="112"/>
      <c r="J4" s="112"/>
      <c r="K4" s="112"/>
      <c r="L4" s="1566"/>
    </row>
    <row r="5" spans="1:12" ht="15">
      <c r="A5" s="112" t="s">
        <v>1249</v>
      </c>
      <c r="B5" s="112"/>
      <c r="C5" s="112"/>
      <c r="D5" s="112"/>
      <c r="E5" s="112"/>
      <c r="F5" s="112"/>
      <c r="G5" s="112"/>
      <c r="H5" s="112"/>
      <c r="I5" s="112"/>
      <c r="J5" s="112"/>
      <c r="K5" s="112"/>
      <c r="L5" s="1566"/>
    </row>
    <row r="6" spans="1:12" ht="15">
      <c r="A6" s="112" t="s">
        <v>1250</v>
      </c>
      <c r="B6" s="112"/>
      <c r="C6" s="112"/>
      <c r="D6" s="112"/>
      <c r="E6" s="112"/>
      <c r="F6" s="112"/>
      <c r="G6" s="112"/>
      <c r="H6" s="112"/>
      <c r="I6" s="112"/>
      <c r="J6" s="112"/>
      <c r="K6" s="112"/>
      <c r="L6" s="1566"/>
    </row>
    <row r="7" spans="1:12" ht="15.75">
      <c r="A7" s="112" t="s">
        <v>2340</v>
      </c>
      <c r="B7" s="112"/>
      <c r="C7" s="112"/>
      <c r="D7" s="112"/>
      <c r="E7" s="112"/>
      <c r="F7" s="112"/>
      <c r="G7" s="112"/>
      <c r="H7" s="112"/>
      <c r="I7" s="112"/>
      <c r="J7" s="112"/>
      <c r="K7" s="112"/>
      <c r="L7" s="1566"/>
    </row>
    <row r="8" spans="1:12" ht="15">
      <c r="A8" s="112" t="s">
        <v>1266</v>
      </c>
      <c r="B8" s="112"/>
      <c r="C8" s="112"/>
      <c r="D8" s="112"/>
      <c r="E8" s="112"/>
      <c r="F8" s="112"/>
      <c r="G8" s="112"/>
      <c r="H8" s="112"/>
      <c r="I8" s="112"/>
      <c r="J8" s="112"/>
      <c r="K8" s="112"/>
      <c r="L8" s="1566"/>
    </row>
    <row r="9" spans="1:12" ht="15">
      <c r="A9" s="112"/>
      <c r="B9" s="112"/>
      <c r="C9" s="112"/>
      <c r="D9" s="112"/>
      <c r="E9" s="112"/>
      <c r="F9" s="112"/>
      <c r="G9" s="112"/>
      <c r="H9" s="112"/>
      <c r="I9" s="112"/>
      <c r="J9" s="112"/>
      <c r="K9" s="112"/>
      <c r="L9" s="1566"/>
    </row>
    <row r="10" spans="1:12" ht="21.75" customHeight="1">
      <c r="A10" s="1326" t="s">
        <v>1251</v>
      </c>
      <c r="B10" s="1325"/>
      <c r="C10" s="1325"/>
      <c r="D10" s="1325"/>
      <c r="E10" s="1325"/>
      <c r="F10" s="1842"/>
      <c r="G10" s="1843"/>
      <c r="H10" s="1843"/>
      <c r="I10" s="1844"/>
      <c r="J10" s="112"/>
      <c r="K10" s="112"/>
      <c r="L10" s="1566"/>
    </row>
    <row r="11" spans="1:12" ht="21" customHeight="1">
      <c r="A11" s="1191" t="s">
        <v>215</v>
      </c>
      <c r="B11" s="112"/>
      <c r="C11" s="112"/>
      <c r="D11" s="112"/>
      <c r="E11" s="112"/>
      <c r="F11" s="112"/>
      <c r="G11" s="112"/>
      <c r="H11" s="112"/>
      <c r="I11" s="112"/>
      <c r="J11" s="112"/>
      <c r="K11" s="112"/>
      <c r="L11" s="1566"/>
    </row>
    <row r="12" spans="1:12" ht="18">
      <c r="A12" s="125" t="s">
        <v>1252</v>
      </c>
      <c r="B12" s="125"/>
      <c r="C12" s="125"/>
      <c r="D12" s="125"/>
      <c r="E12" s="125"/>
      <c r="F12" s="125"/>
      <c r="G12" s="125"/>
      <c r="H12" s="1195" t="s">
        <v>2380</v>
      </c>
      <c r="I12" s="1332">
        <f>MISC!L60</f>
        <v>0</v>
      </c>
      <c r="J12" s="1323" t="s">
        <v>1265</v>
      </c>
      <c r="K12" s="112"/>
      <c r="L12" s="1566"/>
    </row>
    <row r="13" spans="1:12" ht="15">
      <c r="A13" s="112"/>
      <c r="B13" s="112"/>
      <c r="C13" s="112"/>
      <c r="D13" s="112"/>
      <c r="E13" s="112"/>
      <c r="F13" s="112"/>
      <c r="G13" s="112"/>
      <c r="H13" s="112"/>
      <c r="I13" s="112"/>
      <c r="J13" s="112"/>
      <c r="K13" s="112"/>
      <c r="L13" s="1566"/>
    </row>
    <row r="14" spans="1:12" ht="18">
      <c r="A14" s="125" t="s">
        <v>1253</v>
      </c>
      <c r="B14" s="125"/>
      <c r="C14" s="125"/>
      <c r="D14" s="1195" t="s">
        <v>2381</v>
      </c>
      <c r="E14" s="1332">
        <f>MISC!L61</f>
        <v>0</v>
      </c>
      <c r="F14" s="890" t="s">
        <v>1264</v>
      </c>
      <c r="G14" s="1332">
        <f>basicfedtax+line425+line426</f>
        <v>0</v>
      </c>
      <c r="H14" s="1203" t="s">
        <v>1510</v>
      </c>
      <c r="I14" s="1201">
        <f>G14*E14/(E15+0.0001)</f>
        <v>0</v>
      </c>
      <c r="J14" s="1324" t="s">
        <v>1314</v>
      </c>
      <c r="K14" s="112"/>
      <c r="L14" s="1566"/>
    </row>
    <row r="15" spans="1:12" ht="18">
      <c r="A15" s="112" t="s">
        <v>1254</v>
      </c>
      <c r="B15" s="1327"/>
      <c r="C15" s="1327"/>
      <c r="D15" s="112"/>
      <c r="E15" s="1333">
        <f>MAX(0,netincome-line244-line248-line249-line250-line253-line254-line256)</f>
        <v>0</v>
      </c>
      <c r="F15" s="112"/>
      <c r="G15" s="112"/>
      <c r="H15" s="112"/>
      <c r="I15" s="112"/>
      <c r="J15" s="112"/>
      <c r="K15" s="112"/>
      <c r="L15" s="1566"/>
    </row>
    <row r="16" spans="1:12" ht="15">
      <c r="A16" s="112"/>
      <c r="B16" s="112"/>
      <c r="C16" s="112"/>
      <c r="D16" s="112"/>
      <c r="E16" s="112"/>
      <c r="F16" s="112"/>
      <c r="G16" s="112"/>
      <c r="H16" s="112"/>
      <c r="I16" s="112"/>
      <c r="J16" s="112"/>
      <c r="K16" s="112"/>
      <c r="L16" s="1566"/>
    </row>
    <row r="17" spans="1:12" ht="15.75">
      <c r="A17" s="125" t="s">
        <v>526</v>
      </c>
      <c r="B17" s="125"/>
      <c r="C17" s="125"/>
      <c r="D17" s="125"/>
      <c r="E17" s="125"/>
      <c r="F17" s="125"/>
      <c r="G17" s="1463" t="s">
        <v>1268</v>
      </c>
      <c r="H17" s="112"/>
      <c r="I17" s="1201">
        <f>MIN(I12,I14)</f>
        <v>0</v>
      </c>
      <c r="J17" s="1324" t="s">
        <v>1315</v>
      </c>
      <c r="K17" s="112"/>
      <c r="L17" s="1566"/>
    </row>
    <row r="18" spans="1:12" ht="15">
      <c r="A18" s="112"/>
      <c r="B18" s="112"/>
      <c r="C18" s="112"/>
      <c r="D18" s="112"/>
      <c r="E18" s="112"/>
      <c r="F18" s="112"/>
      <c r="G18" s="112"/>
      <c r="H18" s="112"/>
      <c r="I18" s="1272" t="s">
        <v>1269</v>
      </c>
      <c r="J18" s="112"/>
      <c r="K18" s="112"/>
      <c r="L18" s="1566"/>
    </row>
    <row r="19" spans="1:12" ht="32.25" customHeight="1">
      <c r="A19" s="1191" t="s">
        <v>1255</v>
      </c>
      <c r="B19" s="112"/>
      <c r="C19" s="112"/>
      <c r="D19" s="112"/>
      <c r="E19" s="112"/>
      <c r="F19" s="112"/>
      <c r="G19" s="112"/>
      <c r="H19" s="112"/>
      <c r="I19" s="112"/>
      <c r="J19" s="112"/>
      <c r="K19" s="112"/>
      <c r="L19" s="1566"/>
    </row>
    <row r="20" spans="1:12" ht="18">
      <c r="A20" s="112" t="s">
        <v>1256</v>
      </c>
      <c r="B20" s="112"/>
      <c r="C20" s="112"/>
      <c r="D20" s="112"/>
      <c r="E20" s="112"/>
      <c r="F20" s="112"/>
      <c r="G20" s="112"/>
      <c r="H20" s="112"/>
      <c r="I20" s="112"/>
      <c r="J20" s="112"/>
      <c r="K20" s="112"/>
      <c r="L20" s="1566"/>
    </row>
    <row r="21" spans="1:12" ht="18">
      <c r="A21" s="125" t="s">
        <v>1257</v>
      </c>
      <c r="B21" s="125"/>
      <c r="C21" s="125"/>
      <c r="D21" s="125"/>
      <c r="E21" s="125"/>
      <c r="F21" s="125"/>
      <c r="G21" s="125"/>
      <c r="H21" s="112"/>
      <c r="I21" s="1332">
        <v>0</v>
      </c>
      <c r="J21" s="1324" t="s">
        <v>1316</v>
      </c>
      <c r="K21" s="112"/>
      <c r="L21" s="1566"/>
    </row>
    <row r="22" spans="1:12" ht="15">
      <c r="A22" s="112"/>
      <c r="B22" s="112"/>
      <c r="C22" s="112"/>
      <c r="D22" s="112"/>
      <c r="E22" s="112"/>
      <c r="F22" s="112"/>
      <c r="G22" s="112"/>
      <c r="H22" s="112"/>
      <c r="I22" s="112"/>
      <c r="J22" s="112"/>
      <c r="K22" s="112"/>
      <c r="L22" s="1566"/>
    </row>
    <row r="23" spans="1:12" ht="18">
      <c r="A23" s="125" t="s">
        <v>1258</v>
      </c>
      <c r="B23" s="125"/>
      <c r="C23" s="125"/>
      <c r="D23" s="125"/>
      <c r="E23" s="1332"/>
      <c r="F23" s="890" t="s">
        <v>1270</v>
      </c>
      <c r="G23" s="1201">
        <f>basicfedtax+line425+line426</f>
        <v>0</v>
      </c>
      <c r="H23" s="1203" t="s">
        <v>1510</v>
      </c>
      <c r="I23" s="1201">
        <f>G23*E23/(E24+0.0001)</f>
        <v>0</v>
      </c>
      <c r="J23" s="1324" t="s">
        <v>1317</v>
      </c>
      <c r="K23" s="112"/>
      <c r="L23" s="1566"/>
    </row>
    <row r="24" spans="1:12" ht="18">
      <c r="A24" s="112" t="s">
        <v>1259</v>
      </c>
      <c r="B24" s="1075"/>
      <c r="C24" s="1075"/>
      <c r="D24" s="112"/>
      <c r="E24" s="1333">
        <f>MAX(0,netincome-line244-line248-line249-line250-line253-line254-line256)</f>
        <v>0</v>
      </c>
      <c r="F24" s="112"/>
      <c r="G24" s="112"/>
      <c r="H24" s="112"/>
      <c r="I24" s="112"/>
      <c r="J24" s="112"/>
      <c r="K24" s="112"/>
      <c r="L24" s="1566"/>
    </row>
    <row r="25" spans="1:12" ht="15">
      <c r="A25" s="112"/>
      <c r="B25" s="112"/>
      <c r="C25" s="112"/>
      <c r="D25" s="112"/>
      <c r="E25" s="112"/>
      <c r="F25" s="112"/>
      <c r="G25" s="112"/>
      <c r="H25" s="112"/>
      <c r="I25" s="112"/>
      <c r="J25" s="112"/>
      <c r="K25" s="112"/>
      <c r="L25" s="1566"/>
    </row>
    <row r="26" spans="1:12" ht="15">
      <c r="A26" s="112" t="s">
        <v>1271</v>
      </c>
      <c r="B26" s="112"/>
      <c r="C26" s="112"/>
      <c r="D26" s="112"/>
      <c r="E26" s="112"/>
      <c r="F26" s="112"/>
      <c r="G26" s="112"/>
      <c r="H26" s="112"/>
      <c r="I26" s="112"/>
      <c r="J26" s="112"/>
      <c r="K26" s="112"/>
      <c r="L26" s="1566"/>
    </row>
    <row r="27" spans="1:12" ht="15">
      <c r="A27" s="112" t="str">
        <f>"Taxes for "&amp;yeartext&amp;"– Multiple Jurisdictions, or 48% of the amount from line 429 of Schedule 1. Enter the amount that applies to"</f>
        <v>Taxes for 2009– Multiple Jurisdictions, or 48% of the amount from line 429 of Schedule 1. Enter the amount that applies to</v>
      </c>
      <c r="B27" s="112"/>
      <c r="C27" s="112"/>
      <c r="D27" s="112"/>
      <c r="E27" s="112"/>
      <c r="F27" s="112"/>
      <c r="G27" s="112"/>
      <c r="H27" s="112"/>
      <c r="I27" s="112"/>
      <c r="J27" s="112"/>
      <c r="K27" s="112"/>
      <c r="L27" s="1566"/>
    </row>
    <row r="28" spans="1:12" ht="16.5" thickBot="1">
      <c r="A28" s="125" t="s">
        <v>1260</v>
      </c>
      <c r="B28" s="125"/>
      <c r="C28" s="125"/>
      <c r="D28" s="125"/>
      <c r="E28" s="125"/>
      <c r="F28" s="125"/>
      <c r="G28" s="125"/>
      <c r="H28" s="112"/>
      <c r="I28" s="1334">
        <f>0.48*Sch1!K74</f>
        <v>0</v>
      </c>
      <c r="J28" s="1324" t="s">
        <v>1318</v>
      </c>
      <c r="K28" s="112"/>
      <c r="L28" s="1566"/>
    </row>
    <row r="29" spans="1:12" ht="6.75" customHeight="1">
      <c r="A29" s="112"/>
      <c r="B29" s="112"/>
      <c r="C29" s="112"/>
      <c r="D29" s="112"/>
      <c r="E29" s="112"/>
      <c r="F29" s="112"/>
      <c r="G29" s="112"/>
      <c r="H29" s="112"/>
      <c r="I29" s="112"/>
      <c r="J29" s="112"/>
      <c r="K29" s="112"/>
      <c r="L29" s="1566"/>
    </row>
    <row r="30" spans="1:12" ht="15.75">
      <c r="A30" s="125" t="s">
        <v>404</v>
      </c>
      <c r="B30" s="125"/>
      <c r="C30" s="125"/>
      <c r="D30" s="125"/>
      <c r="E30" s="125"/>
      <c r="F30" s="125"/>
      <c r="G30" s="125"/>
      <c r="H30" s="112"/>
      <c r="I30" s="1201">
        <f>I23+I28</f>
        <v>0</v>
      </c>
      <c r="J30" s="1324" t="s">
        <v>1527</v>
      </c>
      <c r="K30" s="112"/>
      <c r="L30" s="1566"/>
    </row>
    <row r="31" spans="1:12" ht="18">
      <c r="A31" s="126" t="s">
        <v>1261</v>
      </c>
      <c r="B31" s="126"/>
      <c r="C31" s="126"/>
      <c r="D31" s="126"/>
      <c r="E31" s="126"/>
      <c r="F31" s="126"/>
      <c r="G31" s="1201">
        <f>I28+G23</f>
        <v>0</v>
      </c>
      <c r="H31" s="112"/>
      <c r="I31" s="112"/>
      <c r="J31" s="112"/>
      <c r="K31" s="112"/>
      <c r="L31" s="1566"/>
    </row>
    <row r="32" spans="1:12" ht="18" customHeight="1">
      <c r="A32" s="126" t="s">
        <v>1262</v>
      </c>
      <c r="B32" s="126"/>
      <c r="C32" s="126"/>
      <c r="D32" s="126"/>
      <c r="E32" s="126"/>
      <c r="F32" s="1464" t="s">
        <v>525</v>
      </c>
      <c r="G32" s="1201">
        <f>I17</f>
        <v>0</v>
      </c>
      <c r="H32" s="1203" t="s">
        <v>1510</v>
      </c>
      <c r="I32" s="1201">
        <f>MAX(0,G31-G32)</f>
        <v>0</v>
      </c>
      <c r="J32" s="1324" t="s">
        <v>1319</v>
      </c>
      <c r="K32" s="112"/>
      <c r="L32" s="1566"/>
    </row>
    <row r="33" spans="1:12" ht="15">
      <c r="A33" s="112"/>
      <c r="B33" s="112"/>
      <c r="C33" s="112"/>
      <c r="D33" s="112"/>
      <c r="E33" s="112"/>
      <c r="F33" s="112"/>
      <c r="G33" s="112"/>
      <c r="H33" s="112"/>
      <c r="I33" s="112"/>
      <c r="J33" s="112"/>
      <c r="K33" s="112"/>
      <c r="L33" s="1566"/>
    </row>
    <row r="34" spans="1:12" ht="15.75">
      <c r="A34" s="125" t="s">
        <v>2341</v>
      </c>
      <c r="B34" s="125"/>
      <c r="C34" s="125"/>
      <c r="D34" s="125"/>
      <c r="E34" s="125"/>
      <c r="F34" s="125"/>
      <c r="G34" s="1463" t="s">
        <v>1272</v>
      </c>
      <c r="H34" s="112"/>
      <c r="I34" s="1201">
        <f>MIN(I21,I30,I32)</f>
        <v>0</v>
      </c>
      <c r="J34" s="1324" t="s">
        <v>195</v>
      </c>
      <c r="K34" s="112"/>
      <c r="L34" s="1566"/>
    </row>
    <row r="35" spans="1:12" ht="15">
      <c r="A35" s="112"/>
      <c r="B35" s="112"/>
      <c r="C35" s="112"/>
      <c r="D35" s="112"/>
      <c r="E35" s="112"/>
      <c r="F35" s="112"/>
      <c r="G35" s="112"/>
      <c r="H35" s="112"/>
      <c r="I35" s="112"/>
      <c r="J35" s="112"/>
      <c r="K35" s="112"/>
      <c r="L35" s="1566"/>
    </row>
    <row r="36" spans="1:12" ht="15.75">
      <c r="A36" s="1557" t="s">
        <v>1263</v>
      </c>
      <c r="B36" s="125"/>
      <c r="C36" s="125"/>
      <c r="D36" s="125"/>
      <c r="E36" s="125"/>
      <c r="F36" s="125"/>
      <c r="G36" s="1463" t="s">
        <v>1273</v>
      </c>
      <c r="H36" s="112"/>
      <c r="I36" s="1202">
        <f>I34+I17</f>
        <v>0</v>
      </c>
      <c r="J36" s="1324" t="s">
        <v>1218</v>
      </c>
      <c r="K36" s="112"/>
      <c r="L36" s="1566"/>
    </row>
    <row r="37" spans="1:12" ht="15">
      <c r="A37" s="112"/>
      <c r="B37" s="112"/>
      <c r="C37" s="112"/>
      <c r="D37" s="112"/>
      <c r="E37" s="112"/>
      <c r="F37" s="112"/>
      <c r="G37" s="112"/>
      <c r="H37" s="112"/>
      <c r="I37" s="1272" t="s">
        <v>1274</v>
      </c>
      <c r="J37" s="112"/>
      <c r="K37" s="112"/>
      <c r="L37" s="1566"/>
    </row>
    <row r="38" spans="1:12" ht="15">
      <c r="A38" s="112"/>
      <c r="B38" s="112"/>
      <c r="C38" s="112"/>
      <c r="D38" s="112"/>
      <c r="E38" s="112"/>
      <c r="F38" s="112"/>
      <c r="G38" s="112"/>
      <c r="H38" s="112"/>
      <c r="I38" s="1272" t="s">
        <v>1275</v>
      </c>
      <c r="J38" s="112"/>
      <c r="K38" s="112"/>
      <c r="L38" s="1566"/>
    </row>
    <row r="39" spans="1:11" ht="15">
      <c r="A39" s="112"/>
      <c r="B39" s="112"/>
      <c r="C39" s="112"/>
      <c r="D39" s="112"/>
      <c r="E39" s="112"/>
      <c r="F39" s="112"/>
      <c r="G39" s="112"/>
      <c r="H39" s="112"/>
      <c r="I39" s="112"/>
      <c r="J39" s="112"/>
      <c r="K39" s="112"/>
    </row>
    <row r="40" spans="1:11" ht="15">
      <c r="A40" s="112" t="s">
        <v>496</v>
      </c>
      <c r="B40" s="112"/>
      <c r="C40" s="112"/>
      <c r="D40" s="112"/>
      <c r="E40" s="112"/>
      <c r="F40" s="112"/>
      <c r="G40" s="112"/>
      <c r="H40" s="112"/>
      <c r="I40" s="112"/>
      <c r="J40" s="112"/>
      <c r="K40" s="112"/>
    </row>
    <row r="41" spans="1:11" ht="15">
      <c r="A41" s="112" t="s">
        <v>361</v>
      </c>
      <c r="B41" s="112"/>
      <c r="C41" s="112"/>
      <c r="D41" s="112"/>
      <c r="E41" s="112"/>
      <c r="F41" s="112"/>
      <c r="G41" s="112"/>
      <c r="H41" s="112"/>
      <c r="I41" s="112"/>
      <c r="J41" s="112"/>
      <c r="K41" s="112"/>
    </row>
    <row r="42" spans="1:11" ht="15">
      <c r="A42" s="112" t="s">
        <v>362</v>
      </c>
      <c r="B42" s="112"/>
      <c r="C42" s="112"/>
      <c r="D42" s="112"/>
      <c r="E42" s="112"/>
      <c r="F42" s="112"/>
      <c r="G42" s="112"/>
      <c r="H42" s="112"/>
      <c r="I42" s="112"/>
      <c r="J42" s="112"/>
      <c r="K42" s="112"/>
    </row>
    <row r="43" spans="1:11" ht="15">
      <c r="A43" s="112" t="s">
        <v>363</v>
      </c>
      <c r="B43" s="112"/>
      <c r="C43" s="112"/>
      <c r="D43" s="112"/>
      <c r="E43" s="112"/>
      <c r="F43" s="112"/>
      <c r="G43" s="112"/>
      <c r="H43" s="112"/>
      <c r="I43" s="112"/>
      <c r="J43" s="112"/>
      <c r="K43" s="112"/>
    </row>
    <row r="44" spans="1:11" ht="15">
      <c r="A44" s="1322" t="s">
        <v>364</v>
      </c>
      <c r="B44" s="112"/>
      <c r="C44" s="112"/>
      <c r="D44" s="112"/>
      <c r="E44" s="112"/>
      <c r="F44" s="112"/>
      <c r="G44" s="112"/>
      <c r="H44" s="112"/>
      <c r="I44" s="112"/>
      <c r="J44" s="112"/>
      <c r="K44" s="112"/>
    </row>
    <row r="45" spans="1:11" ht="15">
      <c r="A45" s="112" t="s">
        <v>365</v>
      </c>
      <c r="B45" s="112"/>
      <c r="C45" s="112"/>
      <c r="D45" s="112"/>
      <c r="E45" s="112"/>
      <c r="F45" s="112"/>
      <c r="G45" s="112"/>
      <c r="H45" s="112"/>
      <c r="I45" s="112"/>
      <c r="J45" s="112"/>
      <c r="K45" s="112"/>
    </row>
    <row r="46" spans="1:11" ht="15">
      <c r="A46" s="112" t="s">
        <v>366</v>
      </c>
      <c r="B46" s="112"/>
      <c r="C46" s="112"/>
      <c r="D46" s="112"/>
      <c r="E46" s="112"/>
      <c r="F46" s="112"/>
      <c r="G46" s="112"/>
      <c r="H46" s="112"/>
      <c r="I46" s="112"/>
      <c r="J46" s="112"/>
      <c r="K46" s="112"/>
    </row>
    <row r="47" spans="1:11" ht="15">
      <c r="A47" s="112" t="s">
        <v>2342</v>
      </c>
      <c r="B47" s="112"/>
      <c r="C47" s="112"/>
      <c r="D47" s="112"/>
      <c r="E47" s="112"/>
      <c r="F47" s="112"/>
      <c r="G47" s="112"/>
      <c r="H47" s="112"/>
      <c r="I47" s="112"/>
      <c r="J47" s="112"/>
      <c r="K47" s="112"/>
    </row>
    <row r="48" spans="1:11" ht="15">
      <c r="A48" s="112" t="s">
        <v>367</v>
      </c>
      <c r="B48" s="112"/>
      <c r="C48" s="112"/>
      <c r="D48" s="112"/>
      <c r="E48" s="112"/>
      <c r="F48" s="112"/>
      <c r="G48" s="112"/>
      <c r="H48" s="112"/>
      <c r="I48" s="112"/>
      <c r="J48" s="112"/>
      <c r="K48" s="112"/>
    </row>
    <row r="49" spans="1:11" ht="15">
      <c r="A49" s="112" t="s">
        <v>368</v>
      </c>
      <c r="B49" s="112"/>
      <c r="C49" s="112"/>
      <c r="D49" s="112"/>
      <c r="E49" s="112"/>
      <c r="F49" s="112"/>
      <c r="G49" s="112"/>
      <c r="H49" s="112"/>
      <c r="I49" s="112"/>
      <c r="J49" s="112"/>
      <c r="K49" s="112"/>
    </row>
    <row r="50" spans="1:11" ht="15">
      <c r="A50" s="112"/>
      <c r="B50" s="112"/>
      <c r="C50" s="112"/>
      <c r="D50" s="112"/>
      <c r="E50" s="112"/>
      <c r="F50" s="112"/>
      <c r="G50" s="112"/>
      <c r="H50" s="112"/>
      <c r="I50" s="112"/>
      <c r="J50" s="112"/>
      <c r="K50" s="112"/>
    </row>
    <row r="51" spans="1:11" ht="15.75">
      <c r="A51" s="1191" t="s">
        <v>370</v>
      </c>
      <c r="B51" s="112"/>
      <c r="C51" s="112"/>
      <c r="D51" s="112"/>
      <c r="E51" s="112"/>
      <c r="F51" s="112"/>
      <c r="G51" s="112"/>
      <c r="H51" s="112"/>
      <c r="I51" s="112"/>
      <c r="J51" s="112"/>
      <c r="K51" s="112"/>
    </row>
    <row r="52" spans="1:11" ht="15">
      <c r="A52" s="112" t="s">
        <v>369</v>
      </c>
      <c r="B52" s="112"/>
      <c r="C52" s="112"/>
      <c r="D52" s="112"/>
      <c r="E52" s="112"/>
      <c r="F52" s="112"/>
      <c r="G52" s="112"/>
      <c r="H52" s="112"/>
      <c r="I52" s="112"/>
      <c r="J52" s="112"/>
      <c r="K52" s="112"/>
    </row>
    <row r="53" spans="1:11" ht="15">
      <c r="A53" s="112"/>
      <c r="B53" s="112"/>
      <c r="C53" s="112"/>
      <c r="D53" s="112"/>
      <c r="E53" s="112"/>
      <c r="F53" s="112"/>
      <c r="G53" s="112"/>
      <c r="H53" s="112"/>
      <c r="I53" s="112"/>
      <c r="J53" s="112"/>
      <c r="K53" s="112"/>
    </row>
    <row r="54" spans="1:11" ht="15.75">
      <c r="A54" s="112" t="s">
        <v>497</v>
      </c>
      <c r="B54" s="112"/>
      <c r="C54" s="112"/>
      <c r="D54" s="112"/>
      <c r="E54" s="112"/>
      <c r="F54" s="112"/>
      <c r="G54" s="112"/>
      <c r="H54" s="112"/>
      <c r="I54" s="112"/>
      <c r="J54" s="112"/>
      <c r="K54" s="112"/>
    </row>
    <row r="55" spans="1:11" ht="15">
      <c r="A55" s="112" t="s">
        <v>494</v>
      </c>
      <c r="B55" s="112"/>
      <c r="C55" s="112"/>
      <c r="D55" s="112"/>
      <c r="E55" s="112"/>
      <c r="F55" s="112"/>
      <c r="G55" s="112"/>
      <c r="H55" s="112"/>
      <c r="I55" s="112"/>
      <c r="J55" s="112"/>
      <c r="K55" s="112"/>
    </row>
    <row r="56" spans="1:11" ht="15">
      <c r="A56" s="112" t="s">
        <v>495</v>
      </c>
      <c r="B56" s="112"/>
      <c r="C56" s="112"/>
      <c r="D56" s="112"/>
      <c r="E56" s="112"/>
      <c r="F56" s="112"/>
      <c r="G56" s="112"/>
      <c r="H56" s="112"/>
      <c r="I56" s="112"/>
      <c r="J56" s="112"/>
      <c r="K56" s="112"/>
    </row>
    <row r="57" spans="1:11" ht="15">
      <c r="A57" s="112" t="s">
        <v>2596</v>
      </c>
      <c r="B57" s="112"/>
      <c r="C57" s="112"/>
      <c r="D57" s="112"/>
      <c r="E57" s="112"/>
      <c r="F57" s="112"/>
      <c r="G57" s="112"/>
      <c r="H57" s="112"/>
      <c r="I57" s="112"/>
      <c r="J57" s="112"/>
      <c r="K57" s="112"/>
    </row>
    <row r="58" spans="1:11" ht="15">
      <c r="A58" s="112" t="s">
        <v>2597</v>
      </c>
      <c r="B58" s="112"/>
      <c r="C58" s="112"/>
      <c r="D58" s="112"/>
      <c r="E58" s="112"/>
      <c r="F58" s="112"/>
      <c r="G58" s="112"/>
      <c r="H58" s="112"/>
      <c r="I58" s="112"/>
      <c r="J58" s="112"/>
      <c r="K58" s="112"/>
    </row>
    <row r="59" spans="1:11" ht="15">
      <c r="A59" s="112" t="s">
        <v>2598</v>
      </c>
      <c r="B59" s="112"/>
      <c r="C59" s="112"/>
      <c r="D59" s="112"/>
      <c r="E59" s="112"/>
      <c r="F59" s="112"/>
      <c r="G59" s="112"/>
      <c r="H59" s="112"/>
      <c r="I59" s="112"/>
      <c r="J59" s="112"/>
      <c r="K59" s="112"/>
    </row>
    <row r="60" spans="1:11" ht="15">
      <c r="A60" s="112" t="s">
        <v>2599</v>
      </c>
      <c r="B60" s="112"/>
      <c r="C60" s="112"/>
      <c r="D60" s="112"/>
      <c r="E60" s="112"/>
      <c r="F60" s="112"/>
      <c r="G60" s="112"/>
      <c r="H60" s="112"/>
      <c r="I60" s="112"/>
      <c r="J60" s="112"/>
      <c r="K60" s="112"/>
    </row>
    <row r="61" spans="1:11" ht="15">
      <c r="A61" s="112" t="s">
        <v>2600</v>
      </c>
      <c r="B61" s="112"/>
      <c r="C61" s="112"/>
      <c r="D61" s="112"/>
      <c r="E61" s="112"/>
      <c r="F61" s="112"/>
      <c r="G61" s="112"/>
      <c r="H61" s="112"/>
      <c r="I61" s="112"/>
      <c r="J61" s="112"/>
      <c r="K61" s="112"/>
    </row>
    <row r="62" spans="1:11" ht="15">
      <c r="A62" s="112" t="s">
        <v>2601</v>
      </c>
      <c r="B62" s="112"/>
      <c r="C62" s="112"/>
      <c r="D62" s="112"/>
      <c r="E62" s="112"/>
      <c r="F62" s="112"/>
      <c r="G62" s="112"/>
      <c r="H62" s="112"/>
      <c r="I62" s="112"/>
      <c r="J62" s="112"/>
      <c r="K62" s="112"/>
    </row>
    <row r="63" spans="1:11" ht="21" customHeight="1">
      <c r="A63" s="112" t="s">
        <v>2602</v>
      </c>
      <c r="B63" s="112"/>
      <c r="C63" s="112"/>
      <c r="D63" s="112"/>
      <c r="E63" s="112"/>
      <c r="F63" s="112"/>
      <c r="G63" s="112"/>
      <c r="H63" s="112"/>
      <c r="I63" s="112"/>
      <c r="J63" s="112"/>
      <c r="K63" s="112"/>
    </row>
    <row r="64" spans="1:11" ht="15">
      <c r="A64" s="1330" t="s">
        <v>498</v>
      </c>
      <c r="B64" s="112"/>
      <c r="C64" s="112"/>
      <c r="D64" s="112"/>
      <c r="E64" s="112"/>
      <c r="F64" s="112"/>
      <c r="G64" s="112"/>
      <c r="H64" s="112"/>
      <c r="I64" s="112"/>
      <c r="J64" s="112"/>
      <c r="K64" s="112"/>
    </row>
    <row r="65" spans="1:11" ht="27" customHeight="1">
      <c r="A65" s="1191" t="s">
        <v>499</v>
      </c>
      <c r="B65" s="112"/>
      <c r="C65" s="112"/>
      <c r="D65" s="112"/>
      <c r="E65" s="112"/>
      <c r="F65" s="112"/>
      <c r="G65" s="112"/>
      <c r="H65" s="112"/>
      <c r="I65" s="112"/>
      <c r="J65" s="112"/>
      <c r="K65" s="112"/>
    </row>
    <row r="66" spans="1:11" ht="15">
      <c r="A66" s="112"/>
      <c r="B66" s="112"/>
      <c r="C66" s="112"/>
      <c r="D66" s="112"/>
      <c r="E66" s="112"/>
      <c r="F66" s="112"/>
      <c r="G66" s="112"/>
      <c r="H66" s="112"/>
      <c r="I66" s="112"/>
      <c r="J66" s="112"/>
      <c r="K66" s="112"/>
    </row>
    <row r="67" spans="1:11" ht="15">
      <c r="A67" s="112"/>
      <c r="B67" s="112"/>
      <c r="C67" s="112"/>
      <c r="D67" s="112"/>
      <c r="E67" s="112"/>
      <c r="F67" s="112"/>
      <c r="G67" s="112"/>
      <c r="H67" s="112"/>
      <c r="I67" s="112"/>
      <c r="J67" s="112"/>
      <c r="K67" s="112"/>
    </row>
    <row r="68" spans="1:11" ht="15.75">
      <c r="A68" s="112" t="s">
        <v>2603</v>
      </c>
      <c r="B68" s="112"/>
      <c r="C68" s="112"/>
      <c r="D68" s="112"/>
      <c r="E68" s="112"/>
      <c r="F68" s="112"/>
      <c r="G68" s="112"/>
      <c r="H68" s="112"/>
      <c r="I68" s="112"/>
      <c r="J68" s="112"/>
      <c r="K68" s="112"/>
    </row>
    <row r="69" spans="1:11" ht="15">
      <c r="A69" s="112" t="s">
        <v>2604</v>
      </c>
      <c r="B69" s="112"/>
      <c r="C69" s="112"/>
      <c r="D69" s="112"/>
      <c r="E69" s="112"/>
      <c r="F69" s="112"/>
      <c r="G69" s="112"/>
      <c r="H69" s="112"/>
      <c r="I69" s="112"/>
      <c r="J69" s="112"/>
      <c r="K69" s="112"/>
    </row>
    <row r="70" spans="1:11" ht="15">
      <c r="A70" s="112" t="s">
        <v>503</v>
      </c>
      <c r="B70" s="112"/>
      <c r="C70" s="112"/>
      <c r="D70" s="112"/>
      <c r="E70" s="112"/>
      <c r="F70" s="112"/>
      <c r="G70" s="112"/>
      <c r="H70" s="112"/>
      <c r="I70" s="112"/>
      <c r="J70" s="112"/>
      <c r="K70" s="112"/>
    </row>
    <row r="71" spans="1:11" ht="15">
      <c r="A71" s="112" t="s">
        <v>504</v>
      </c>
      <c r="B71" s="112"/>
      <c r="C71" s="112"/>
      <c r="D71" s="112"/>
      <c r="E71" s="112"/>
      <c r="F71" s="112"/>
      <c r="G71" s="112"/>
      <c r="H71" s="112"/>
      <c r="I71" s="112"/>
      <c r="J71" s="112"/>
      <c r="K71" s="112"/>
    </row>
    <row r="72" spans="1:11" ht="15">
      <c r="A72" s="112" t="s">
        <v>759</v>
      </c>
      <c r="B72" s="112"/>
      <c r="C72" s="112"/>
      <c r="D72" s="112"/>
      <c r="E72" s="112"/>
      <c r="F72" s="112"/>
      <c r="G72" s="112"/>
      <c r="H72" s="112"/>
      <c r="I72" s="112"/>
      <c r="J72" s="112"/>
      <c r="K72" s="112"/>
    </row>
    <row r="73" spans="1:11" ht="15">
      <c r="A73" s="112" t="s">
        <v>760</v>
      </c>
      <c r="B73" s="112"/>
      <c r="C73" s="112"/>
      <c r="D73" s="112"/>
      <c r="E73" s="112"/>
      <c r="F73" s="112"/>
      <c r="G73" s="112"/>
      <c r="H73" s="112"/>
      <c r="I73" s="112"/>
      <c r="J73" s="112"/>
      <c r="K73" s="112"/>
    </row>
    <row r="74" spans="1:11" ht="15">
      <c r="A74" s="112" t="s">
        <v>761</v>
      </c>
      <c r="B74" s="112"/>
      <c r="C74" s="112"/>
      <c r="D74" s="112"/>
      <c r="E74" s="112"/>
      <c r="F74" s="112"/>
      <c r="G74" s="112"/>
      <c r="H74" s="112"/>
      <c r="I74" s="112"/>
      <c r="J74" s="112"/>
      <c r="K74" s="112"/>
    </row>
    <row r="75" spans="1:11" ht="15">
      <c r="A75" s="112" t="s">
        <v>762</v>
      </c>
      <c r="B75" s="112"/>
      <c r="C75" s="112"/>
      <c r="D75" s="112"/>
      <c r="E75" s="112"/>
      <c r="F75" s="112"/>
      <c r="G75" s="112"/>
      <c r="H75" s="112"/>
      <c r="I75" s="112"/>
      <c r="J75" s="112"/>
      <c r="K75" s="112"/>
    </row>
    <row r="76" spans="1:11" ht="15">
      <c r="A76" s="112" t="s">
        <v>763</v>
      </c>
      <c r="B76" s="112"/>
      <c r="C76" s="112"/>
      <c r="D76" s="112"/>
      <c r="E76" s="112"/>
      <c r="F76" s="112"/>
      <c r="G76" s="112"/>
      <c r="H76" s="112"/>
      <c r="I76" s="112"/>
      <c r="J76" s="112"/>
      <c r="K76" s="112"/>
    </row>
    <row r="77" spans="1:11" ht="15">
      <c r="A77" s="112"/>
      <c r="B77" s="112"/>
      <c r="C77" s="112"/>
      <c r="D77" s="112"/>
      <c r="E77" s="112"/>
      <c r="F77" s="112"/>
      <c r="G77" s="112"/>
      <c r="H77" s="112"/>
      <c r="I77" s="112"/>
      <c r="J77" s="112"/>
      <c r="K77" s="112"/>
    </row>
    <row r="78" spans="1:11" ht="15.75">
      <c r="A78" s="1191" t="s">
        <v>764</v>
      </c>
      <c r="B78" s="112"/>
      <c r="C78" s="112"/>
      <c r="D78" s="112"/>
      <c r="E78" s="112"/>
      <c r="F78" s="112"/>
      <c r="G78" s="112"/>
      <c r="H78" s="112"/>
      <c r="I78" s="112"/>
      <c r="J78" s="112"/>
      <c r="K78" s="112"/>
    </row>
    <row r="79" spans="1:11" ht="15">
      <c r="A79" s="112" t="s">
        <v>500</v>
      </c>
      <c r="B79" s="112"/>
      <c r="C79" s="112"/>
      <c r="D79" s="112"/>
      <c r="E79" s="112"/>
      <c r="F79" s="112"/>
      <c r="G79" s="112"/>
      <c r="H79" s="112"/>
      <c r="I79" s="112"/>
      <c r="J79" s="112"/>
      <c r="K79" s="112"/>
    </row>
    <row r="80" spans="1:11" ht="15">
      <c r="A80" s="112" t="s">
        <v>501</v>
      </c>
      <c r="B80" s="112"/>
      <c r="C80" s="112"/>
      <c r="D80" s="112"/>
      <c r="E80" s="112"/>
      <c r="F80" s="112"/>
      <c r="G80" s="112"/>
      <c r="H80" s="112"/>
      <c r="I80" s="112"/>
      <c r="J80" s="112"/>
      <c r="K80" s="112"/>
    </row>
    <row r="81" spans="1:11" ht="15">
      <c r="A81" s="112"/>
      <c r="B81" s="112"/>
      <c r="C81" s="112"/>
      <c r="D81" s="112"/>
      <c r="E81" s="112"/>
      <c r="F81" s="112"/>
      <c r="G81" s="112"/>
      <c r="H81" s="112"/>
      <c r="I81" s="112"/>
      <c r="J81" s="112"/>
      <c r="K81" s="112"/>
    </row>
    <row r="82" spans="1:11" ht="15.75">
      <c r="A82" s="112" t="s">
        <v>2605</v>
      </c>
      <c r="B82" s="112"/>
      <c r="C82" s="112"/>
      <c r="D82" s="112"/>
      <c r="E82" s="112"/>
      <c r="F82" s="112"/>
      <c r="G82" s="112"/>
      <c r="H82" s="112"/>
      <c r="I82" s="112"/>
      <c r="J82" s="112"/>
      <c r="K82" s="112"/>
    </row>
    <row r="83" spans="1:11" ht="15">
      <c r="A83" s="112" t="s">
        <v>765</v>
      </c>
      <c r="B83" s="112"/>
      <c r="C83" s="112"/>
      <c r="D83" s="112"/>
      <c r="E83" s="112"/>
      <c r="F83" s="112"/>
      <c r="G83" s="112"/>
      <c r="H83" s="112"/>
      <c r="I83" s="112"/>
      <c r="J83" s="112"/>
      <c r="K83" s="112"/>
    </row>
    <row r="84" spans="1:11" ht="15">
      <c r="A84" s="112" t="s">
        <v>766</v>
      </c>
      <c r="B84" s="112"/>
      <c r="C84" s="112"/>
      <c r="D84" s="112"/>
      <c r="E84" s="112"/>
      <c r="F84" s="112"/>
      <c r="G84" s="112"/>
      <c r="H84" s="112"/>
      <c r="I84" s="112"/>
      <c r="J84" s="112"/>
      <c r="K84" s="112"/>
    </row>
    <row r="85" spans="1:11" ht="15">
      <c r="A85" s="112" t="s">
        <v>767</v>
      </c>
      <c r="B85" s="112"/>
      <c r="C85" s="112"/>
      <c r="D85" s="112"/>
      <c r="E85" s="112"/>
      <c r="F85" s="112"/>
      <c r="G85" s="112"/>
      <c r="H85" s="112"/>
      <c r="I85" s="112"/>
      <c r="J85" s="112"/>
      <c r="K85" s="112"/>
    </row>
    <row r="86" spans="1:11" ht="15">
      <c r="A86" s="112" t="s">
        <v>768</v>
      </c>
      <c r="B86" s="112"/>
      <c r="C86" s="112"/>
      <c r="D86" s="112"/>
      <c r="E86" s="112"/>
      <c r="F86" s="112"/>
      <c r="G86" s="112"/>
      <c r="H86" s="112"/>
      <c r="I86" s="112"/>
      <c r="J86" s="112"/>
      <c r="K86" s="112"/>
    </row>
    <row r="87" spans="1:11" ht="15">
      <c r="A87" s="112"/>
      <c r="B87" s="112"/>
      <c r="C87" s="112"/>
      <c r="D87" s="112"/>
      <c r="E87" s="112"/>
      <c r="F87" s="112"/>
      <c r="G87" s="112"/>
      <c r="H87" s="112"/>
      <c r="I87" s="112"/>
      <c r="J87" s="112"/>
      <c r="K87" s="112"/>
    </row>
    <row r="88" spans="1:11" ht="15.75">
      <c r="A88" s="112" t="s">
        <v>2343</v>
      </c>
      <c r="B88" s="112"/>
      <c r="C88" s="112"/>
      <c r="D88" s="112"/>
      <c r="E88" s="112"/>
      <c r="F88" s="112"/>
      <c r="G88" s="112"/>
      <c r="H88" s="112"/>
      <c r="I88" s="112"/>
      <c r="J88" s="112"/>
      <c r="K88" s="112"/>
    </row>
    <row r="89" spans="1:11" ht="15">
      <c r="A89" s="112" t="s">
        <v>769</v>
      </c>
      <c r="B89" s="112"/>
      <c r="C89" s="112"/>
      <c r="D89" s="112"/>
      <c r="E89" s="112"/>
      <c r="F89" s="112"/>
      <c r="G89" s="112"/>
      <c r="H89" s="112"/>
      <c r="I89" s="112"/>
      <c r="J89" s="112"/>
      <c r="K89" s="112"/>
    </row>
    <row r="90" spans="1:11" ht="15">
      <c r="A90" s="112" t="s">
        <v>770</v>
      </c>
      <c r="B90" s="112"/>
      <c r="C90" s="112"/>
      <c r="D90" s="112"/>
      <c r="E90" s="112"/>
      <c r="F90" s="112"/>
      <c r="G90" s="112"/>
      <c r="H90" s="112"/>
      <c r="I90" s="112"/>
      <c r="J90" s="112"/>
      <c r="K90" s="112"/>
    </row>
    <row r="91" spans="1:11" ht="15">
      <c r="A91" s="112"/>
      <c r="B91" s="112"/>
      <c r="C91" s="112"/>
      <c r="D91" s="112"/>
      <c r="E91" s="112"/>
      <c r="F91" s="112"/>
      <c r="G91" s="112"/>
      <c r="H91" s="112"/>
      <c r="I91" s="112"/>
      <c r="J91" s="112"/>
      <c r="K91" s="112"/>
    </row>
    <row r="92" spans="1:11" ht="15.75">
      <c r="A92" s="1191" t="s">
        <v>2606</v>
      </c>
      <c r="B92" s="112"/>
      <c r="C92" s="112"/>
      <c r="D92" s="112"/>
      <c r="E92" s="112"/>
      <c r="F92" s="112"/>
      <c r="G92" s="112"/>
      <c r="H92" s="112"/>
      <c r="I92" s="112"/>
      <c r="J92" s="112"/>
      <c r="K92" s="112"/>
    </row>
    <row r="93" spans="1:11" ht="23.25" customHeight="1">
      <c r="A93" s="112" t="s">
        <v>772</v>
      </c>
      <c r="B93" s="112"/>
      <c r="C93" s="112"/>
      <c r="D93" s="112"/>
      <c r="E93" s="112"/>
      <c r="F93" s="112"/>
      <c r="G93" s="112"/>
      <c r="H93" s="112"/>
      <c r="I93" s="112"/>
      <c r="J93" s="112"/>
      <c r="K93" s="112"/>
    </row>
    <row r="94" spans="1:11" ht="15">
      <c r="A94" s="1331" t="s">
        <v>773</v>
      </c>
      <c r="B94" s="112"/>
      <c r="C94" s="112"/>
      <c r="D94" s="112"/>
      <c r="E94" s="112"/>
      <c r="F94" s="112"/>
      <c r="G94" s="112"/>
      <c r="H94" s="112"/>
      <c r="I94" s="112"/>
      <c r="J94" s="112"/>
      <c r="K94" s="112"/>
    </row>
    <row r="95" spans="1:11" ht="21.75" customHeight="1">
      <c r="A95" s="1191" t="s">
        <v>771</v>
      </c>
      <c r="B95" s="112"/>
      <c r="C95" s="112"/>
      <c r="D95" s="112"/>
      <c r="E95" s="112"/>
      <c r="F95" s="112"/>
      <c r="G95" s="112"/>
      <c r="H95" s="112"/>
      <c r="I95" s="112"/>
      <c r="J95" s="112"/>
      <c r="K95" s="112"/>
    </row>
    <row r="96" spans="1:11" ht="15">
      <c r="A96" s="112" t="s">
        <v>774</v>
      </c>
      <c r="B96" s="112"/>
      <c r="C96" s="112"/>
      <c r="D96" s="112"/>
      <c r="E96" s="112"/>
      <c r="F96" s="112"/>
      <c r="G96" s="112"/>
      <c r="H96" s="112"/>
      <c r="I96" s="112"/>
      <c r="J96" s="112"/>
      <c r="K96" s="112"/>
    </row>
    <row r="97" spans="1:11" ht="15">
      <c r="A97" s="112"/>
      <c r="B97" s="112"/>
      <c r="C97" s="112"/>
      <c r="D97" s="112"/>
      <c r="E97" s="112"/>
      <c r="F97" s="112"/>
      <c r="G97" s="112"/>
      <c r="H97" s="112"/>
      <c r="I97" s="112"/>
      <c r="J97" s="112"/>
      <c r="K97" s="112"/>
    </row>
    <row r="98" spans="1:11" ht="15.75">
      <c r="A98" s="112" t="s">
        <v>778</v>
      </c>
      <c r="B98" s="112"/>
      <c r="C98" s="112"/>
      <c r="D98" s="112"/>
      <c r="E98" s="112"/>
      <c r="F98" s="112"/>
      <c r="G98" s="112"/>
      <c r="H98" s="112"/>
      <c r="I98" s="112"/>
      <c r="J98" s="112"/>
      <c r="K98" s="112"/>
    </row>
    <row r="99" spans="1:11" ht="15">
      <c r="A99" s="112" t="s">
        <v>775</v>
      </c>
      <c r="B99" s="112"/>
      <c r="C99" s="112"/>
      <c r="D99" s="112"/>
      <c r="E99" s="112"/>
      <c r="F99" s="112"/>
      <c r="G99" s="112"/>
      <c r="H99" s="112"/>
      <c r="I99" s="112"/>
      <c r="J99" s="112"/>
      <c r="K99" s="112"/>
    </row>
    <row r="100" spans="1:11" ht="15">
      <c r="A100" s="112" t="s">
        <v>776</v>
      </c>
      <c r="B100" s="112"/>
      <c r="C100" s="112"/>
      <c r="D100" s="112"/>
      <c r="E100" s="112"/>
      <c r="F100" s="112"/>
      <c r="G100" s="112"/>
      <c r="H100" s="112"/>
      <c r="I100" s="112"/>
      <c r="J100" s="112"/>
      <c r="K100" s="112"/>
    </row>
    <row r="101" spans="1:11" ht="15">
      <c r="A101" s="112" t="s">
        <v>777</v>
      </c>
      <c r="B101" s="112"/>
      <c r="C101" s="112"/>
      <c r="D101" s="112"/>
      <c r="E101" s="112"/>
      <c r="F101" s="112"/>
      <c r="G101" s="112"/>
      <c r="H101" s="112"/>
      <c r="I101" s="112"/>
      <c r="J101" s="112"/>
      <c r="K101" s="112"/>
    </row>
    <row r="102" spans="1:11" ht="19.5" customHeight="1">
      <c r="A102" s="1191" t="s">
        <v>779</v>
      </c>
      <c r="B102" s="112"/>
      <c r="C102" s="112"/>
      <c r="D102" s="112"/>
      <c r="E102" s="112"/>
      <c r="F102" s="112"/>
      <c r="G102" s="112"/>
      <c r="H102" s="112"/>
      <c r="I102" s="112"/>
      <c r="J102" s="112"/>
      <c r="K102" s="112"/>
    </row>
    <row r="103" spans="1:11" ht="15">
      <c r="A103" s="112" t="s">
        <v>502</v>
      </c>
      <c r="B103" s="112"/>
      <c r="C103" s="112"/>
      <c r="D103" s="112"/>
      <c r="E103" s="112"/>
      <c r="F103" s="112"/>
      <c r="G103" s="112"/>
      <c r="H103" s="112"/>
      <c r="I103" s="112"/>
      <c r="J103" s="112"/>
      <c r="K103" s="112"/>
    </row>
    <row r="104" spans="1:11" ht="21" customHeight="1">
      <c r="A104" s="1191" t="s">
        <v>780</v>
      </c>
      <c r="B104" s="112"/>
      <c r="C104" s="112"/>
      <c r="D104" s="112"/>
      <c r="E104" s="112"/>
      <c r="F104" s="112"/>
      <c r="G104" s="112"/>
      <c r="H104" s="112"/>
      <c r="I104" s="112"/>
      <c r="J104" s="112"/>
      <c r="K104" s="112"/>
    </row>
    <row r="105" spans="1:11" ht="15">
      <c r="A105" s="112"/>
      <c r="B105" s="112"/>
      <c r="C105" s="112"/>
      <c r="D105" s="112"/>
      <c r="E105" s="112"/>
      <c r="F105" s="112"/>
      <c r="G105" s="112"/>
      <c r="H105" s="112"/>
      <c r="I105" s="112"/>
      <c r="J105" s="112"/>
      <c r="K105" s="112"/>
    </row>
    <row r="106" spans="1:11" ht="15.75">
      <c r="A106" s="112" t="s">
        <v>2607</v>
      </c>
      <c r="B106" s="112"/>
      <c r="C106" s="112"/>
      <c r="D106" s="112"/>
      <c r="E106" s="112"/>
      <c r="F106" s="112"/>
      <c r="G106" s="112"/>
      <c r="H106" s="112"/>
      <c r="I106" s="112"/>
      <c r="J106" s="112"/>
      <c r="K106" s="112"/>
    </row>
    <row r="107" spans="1:11" ht="15">
      <c r="A107" s="112" t="s">
        <v>2608</v>
      </c>
      <c r="B107" s="112"/>
      <c r="C107" s="112"/>
      <c r="D107" s="112"/>
      <c r="E107" s="112"/>
      <c r="F107" s="112"/>
      <c r="G107" s="112"/>
      <c r="H107" s="112"/>
      <c r="I107" s="112"/>
      <c r="J107" s="112"/>
      <c r="K107" s="112"/>
    </row>
    <row r="108" spans="1:11" ht="15">
      <c r="A108" s="112"/>
      <c r="B108" s="112"/>
      <c r="C108" s="112"/>
      <c r="D108" s="112"/>
      <c r="E108" s="112"/>
      <c r="F108" s="112"/>
      <c r="G108" s="112"/>
      <c r="H108" s="112"/>
      <c r="I108" s="112"/>
      <c r="J108" s="112"/>
      <c r="K108" s="112"/>
    </row>
    <row r="109" spans="1:11" ht="15.75">
      <c r="A109" s="112" t="s">
        <v>0</v>
      </c>
      <c r="B109" s="112"/>
      <c r="C109" s="112"/>
      <c r="D109" s="112"/>
      <c r="E109" s="112"/>
      <c r="F109" s="112"/>
      <c r="G109" s="112"/>
      <c r="H109" s="112"/>
      <c r="I109" s="112"/>
      <c r="J109" s="112"/>
      <c r="K109" s="112"/>
    </row>
    <row r="110" spans="1:11" ht="15">
      <c r="A110" s="112" t="s">
        <v>781</v>
      </c>
      <c r="B110" s="112"/>
      <c r="C110" s="112"/>
      <c r="D110" s="112"/>
      <c r="E110" s="112"/>
      <c r="F110" s="112"/>
      <c r="G110" s="112"/>
      <c r="H110" s="112"/>
      <c r="I110" s="112"/>
      <c r="J110" s="112"/>
      <c r="K110" s="112"/>
    </row>
    <row r="111" spans="1:11" ht="15">
      <c r="A111" s="112" t="s">
        <v>782</v>
      </c>
      <c r="B111" s="112"/>
      <c r="C111" s="112"/>
      <c r="D111" s="112"/>
      <c r="E111" s="112"/>
      <c r="F111" s="112"/>
      <c r="G111" s="112"/>
      <c r="H111" s="112"/>
      <c r="I111" s="112"/>
      <c r="J111" s="112"/>
      <c r="K111" s="112"/>
    </row>
    <row r="112" spans="1:11" ht="15">
      <c r="A112" s="112" t="s">
        <v>783</v>
      </c>
      <c r="B112" s="112"/>
      <c r="C112" s="112"/>
      <c r="D112" s="112"/>
      <c r="E112" s="112"/>
      <c r="F112" s="112"/>
      <c r="G112" s="112"/>
      <c r="H112" s="112"/>
      <c r="I112" s="112"/>
      <c r="J112" s="112"/>
      <c r="K112" s="112"/>
    </row>
    <row r="113" spans="1:11" ht="15.75">
      <c r="A113" s="112" t="s">
        <v>2609</v>
      </c>
      <c r="B113" s="112"/>
      <c r="C113" s="112"/>
      <c r="D113" s="112"/>
      <c r="E113" s="112"/>
      <c r="F113" s="112"/>
      <c r="G113" s="112"/>
      <c r="H113" s="112"/>
      <c r="I113" s="112"/>
      <c r="J113" s="112"/>
      <c r="K113" s="112"/>
    </row>
    <row r="114" spans="1:11" ht="24" customHeight="1">
      <c r="A114" s="1191" t="s">
        <v>1</v>
      </c>
      <c r="B114" s="112"/>
      <c r="C114" s="112"/>
      <c r="D114" s="112"/>
      <c r="E114" s="112"/>
      <c r="F114" s="112"/>
      <c r="G114" s="112"/>
      <c r="H114" s="112"/>
      <c r="I114" s="112"/>
      <c r="J114" s="112"/>
      <c r="K114" s="112"/>
    </row>
    <row r="115" spans="1:11" ht="15">
      <c r="A115" s="112"/>
      <c r="B115" s="112"/>
      <c r="C115" s="112"/>
      <c r="D115" s="112"/>
      <c r="E115" s="112"/>
      <c r="F115" s="112"/>
      <c r="G115" s="112"/>
      <c r="H115" s="112"/>
      <c r="I115" s="112"/>
      <c r="J115" s="112"/>
      <c r="K115" s="112"/>
    </row>
    <row r="116" spans="1:11" ht="15.75">
      <c r="A116" s="112" t="s">
        <v>2344</v>
      </c>
      <c r="B116" s="112"/>
      <c r="C116" s="112"/>
      <c r="D116" s="112"/>
      <c r="E116" s="112"/>
      <c r="F116" s="112"/>
      <c r="G116" s="112"/>
      <c r="H116" s="112"/>
      <c r="I116" s="112"/>
      <c r="J116" s="112"/>
      <c r="K116" s="112"/>
    </row>
    <row r="117" spans="1:11" ht="15">
      <c r="A117" s="112" t="s">
        <v>772</v>
      </c>
      <c r="B117" s="112"/>
      <c r="C117" s="112"/>
      <c r="D117" s="112"/>
      <c r="E117" s="112"/>
      <c r="F117" s="112"/>
      <c r="G117" s="112"/>
      <c r="H117" s="112"/>
      <c r="I117" s="112"/>
      <c r="J117" s="112"/>
      <c r="K117" s="112"/>
    </row>
    <row r="118" spans="1:11" ht="15">
      <c r="A118" s="112" t="s">
        <v>524</v>
      </c>
      <c r="B118" s="112"/>
      <c r="C118" s="112"/>
      <c r="D118" s="112"/>
      <c r="E118" s="112"/>
      <c r="F118" s="112"/>
      <c r="G118" s="112"/>
      <c r="H118" s="112"/>
      <c r="I118" s="112"/>
      <c r="J118" s="112"/>
      <c r="K118" s="112"/>
    </row>
    <row r="119" spans="1:11" ht="15">
      <c r="A119" s="112"/>
      <c r="B119" s="112"/>
      <c r="C119" s="112"/>
      <c r="D119" s="112"/>
      <c r="E119" s="112"/>
      <c r="F119" s="112"/>
      <c r="G119" s="112"/>
      <c r="H119" s="112"/>
      <c r="I119" s="112"/>
      <c r="J119" s="112"/>
      <c r="K119" s="112"/>
    </row>
    <row r="120" spans="1:11" ht="15">
      <c r="A120" s="112"/>
      <c r="B120" s="112"/>
      <c r="C120" s="112"/>
      <c r="D120" s="112"/>
      <c r="E120" s="112"/>
      <c r="F120" s="112"/>
      <c r="G120" s="112"/>
      <c r="H120" s="112"/>
      <c r="I120" s="112"/>
      <c r="J120" s="112"/>
      <c r="K120" s="112"/>
    </row>
    <row r="121" spans="1:11" ht="15">
      <c r="A121" s="112"/>
      <c r="B121" s="112"/>
      <c r="C121" s="112"/>
      <c r="D121" s="112"/>
      <c r="E121" s="112"/>
      <c r="F121" s="112"/>
      <c r="G121" s="112"/>
      <c r="H121" s="112"/>
      <c r="I121" s="112"/>
      <c r="J121" s="112"/>
      <c r="K121" s="112"/>
    </row>
    <row r="122" spans="1:11" ht="15">
      <c r="A122" s="112"/>
      <c r="B122" s="112"/>
      <c r="C122" s="112"/>
      <c r="D122" s="112"/>
      <c r="E122" s="112"/>
      <c r="F122" s="112"/>
      <c r="G122" s="112"/>
      <c r="H122" s="112"/>
      <c r="I122" s="112"/>
      <c r="J122" s="112"/>
      <c r="K122" s="112"/>
    </row>
    <row r="123" spans="1:11" ht="15">
      <c r="A123" s="112"/>
      <c r="B123" s="112"/>
      <c r="C123" s="112"/>
      <c r="D123" s="112"/>
      <c r="E123" s="112"/>
      <c r="F123" s="112"/>
      <c r="G123" s="112"/>
      <c r="H123" s="112"/>
      <c r="I123" s="112"/>
      <c r="J123" s="112"/>
      <c r="K123" s="112"/>
    </row>
    <row r="124" spans="1:11" ht="15">
      <c r="A124" s="112"/>
      <c r="B124" s="112"/>
      <c r="C124" s="112"/>
      <c r="D124" s="112"/>
      <c r="E124" s="112"/>
      <c r="F124" s="112"/>
      <c r="G124" s="112"/>
      <c r="H124" s="112"/>
      <c r="I124" s="112"/>
      <c r="J124" s="112"/>
      <c r="K124" s="112"/>
    </row>
    <row r="125" spans="1:11" ht="15">
      <c r="A125" s="112"/>
      <c r="B125" s="112"/>
      <c r="C125" s="112"/>
      <c r="D125" s="112"/>
      <c r="E125" s="112"/>
      <c r="F125" s="112"/>
      <c r="G125" s="112"/>
      <c r="H125" s="112"/>
      <c r="I125" s="112"/>
      <c r="J125" s="112"/>
      <c r="K125" s="112"/>
    </row>
    <row r="126" spans="1:11" ht="15">
      <c r="A126" s="112"/>
      <c r="B126" s="112"/>
      <c r="C126" s="112"/>
      <c r="D126" s="112"/>
      <c r="E126" s="112"/>
      <c r="F126" s="112"/>
      <c r="G126" s="112"/>
      <c r="H126" s="112"/>
      <c r="I126" s="112"/>
      <c r="J126" s="112"/>
      <c r="K126" s="112"/>
    </row>
    <row r="127" spans="1:11" ht="15">
      <c r="A127" s="112"/>
      <c r="B127" s="112"/>
      <c r="C127" s="112"/>
      <c r="D127" s="112"/>
      <c r="E127" s="112"/>
      <c r="F127" s="112"/>
      <c r="G127" s="112"/>
      <c r="H127" s="112"/>
      <c r="I127" s="112"/>
      <c r="J127" s="112"/>
      <c r="K127" s="112"/>
    </row>
    <row r="128" spans="1:11" ht="15">
      <c r="A128" s="112"/>
      <c r="B128" s="112"/>
      <c r="C128" s="112"/>
      <c r="D128" s="112"/>
      <c r="E128" s="112"/>
      <c r="F128" s="112"/>
      <c r="G128" s="112"/>
      <c r="H128" s="112"/>
      <c r="I128" s="112"/>
      <c r="J128" s="112"/>
      <c r="K128" s="112"/>
    </row>
    <row r="129" spans="1:11" ht="15">
      <c r="A129" s="112"/>
      <c r="B129" s="112"/>
      <c r="C129" s="112"/>
      <c r="D129" s="112"/>
      <c r="E129" s="112"/>
      <c r="F129" s="112"/>
      <c r="G129" s="112"/>
      <c r="H129" s="112"/>
      <c r="I129" s="112"/>
      <c r="J129" s="112"/>
      <c r="K129" s="112"/>
    </row>
    <row r="130" spans="1:11" ht="15">
      <c r="A130" s="112"/>
      <c r="B130" s="112"/>
      <c r="C130" s="112"/>
      <c r="D130" s="112"/>
      <c r="E130" s="112"/>
      <c r="F130" s="112"/>
      <c r="G130" s="112"/>
      <c r="H130" s="112"/>
      <c r="I130" s="112"/>
      <c r="J130" s="112"/>
      <c r="K130" s="112"/>
    </row>
    <row r="131" spans="1:11" ht="15">
      <c r="A131" s="112"/>
      <c r="B131" s="112"/>
      <c r="C131" s="112"/>
      <c r="D131" s="112"/>
      <c r="E131" s="112"/>
      <c r="F131" s="112"/>
      <c r="G131" s="112"/>
      <c r="H131" s="112"/>
      <c r="I131" s="112"/>
      <c r="J131" s="112"/>
      <c r="K131" s="112"/>
    </row>
    <row r="132" spans="1:11" ht="15">
      <c r="A132" s="112"/>
      <c r="B132" s="112"/>
      <c r="C132" s="112"/>
      <c r="D132" s="112"/>
      <c r="E132" s="112"/>
      <c r="F132" s="112"/>
      <c r="G132" s="112"/>
      <c r="H132" s="112"/>
      <c r="I132" s="112"/>
      <c r="J132" s="112"/>
      <c r="K132" s="112"/>
    </row>
    <row r="133" spans="1:11" ht="15">
      <c r="A133" s="112"/>
      <c r="B133" s="112"/>
      <c r="C133" s="112"/>
      <c r="D133" s="112"/>
      <c r="E133" s="112"/>
      <c r="F133" s="112"/>
      <c r="G133" s="112"/>
      <c r="H133" s="112"/>
      <c r="I133" s="112"/>
      <c r="J133" s="112"/>
      <c r="K133" s="112"/>
    </row>
  </sheetData>
  <sheetProtection password="EC35" sheet="1" objects="1" scenarios="1"/>
  <mergeCells count="2">
    <mergeCell ref="F10:I10"/>
    <mergeCell ref="L1:L38"/>
  </mergeCells>
  <printOptions horizontalCentered="1"/>
  <pageMargins left="0.3" right="0.3" top="0.5" bottom="0.75" header="0.5" footer="0.4"/>
  <pageSetup fitToHeight="0" fitToWidth="1" horizontalDpi="600" verticalDpi="600" orientation="portrait" scale="65" r:id="rId4"/>
  <headerFooter alignWithMargins="0">
    <oddFooter>&amp;L&amp;10T2209 E (09)</oddFooter>
  </headerFooter>
  <rowBreaks count="1" manualBreakCount="1">
    <brk id="66" max="255" man="1"/>
  </rowBreaks>
  <drawing r:id="rId3"/>
  <legacyDrawing r:id="rId2"/>
</worksheet>
</file>

<file path=xl/worksheets/sheet41.xml><?xml version="1.0" encoding="utf-8"?>
<worksheet xmlns="http://schemas.openxmlformats.org/spreadsheetml/2006/main" xmlns:r="http://schemas.openxmlformats.org/officeDocument/2006/relationships">
  <sheetPr>
    <pageSetUpPr fitToPage="1"/>
  </sheetPr>
  <dimension ref="B1:L50"/>
  <sheetViews>
    <sheetView zoomScalePageLayoutView="0" workbookViewId="0" topLeftCell="A1">
      <selection activeCell="A1" sqref="A1"/>
    </sheetView>
  </sheetViews>
  <sheetFormatPr defaultColWidth="8.88671875" defaultRowHeight="15"/>
  <cols>
    <col min="1" max="1" width="1.77734375" style="630" customWidth="1"/>
    <col min="2" max="2" width="8.3359375" style="630" customWidth="1"/>
    <col min="3" max="3" width="38.88671875" style="630" customWidth="1"/>
    <col min="4" max="4" width="7.99609375" style="630" customWidth="1"/>
    <col min="5" max="10" width="12.21484375" style="630" customWidth="1"/>
    <col min="11" max="11" width="1.88671875" style="630" customWidth="1"/>
    <col min="12" max="16384" width="8.88671875" style="630" customWidth="1"/>
  </cols>
  <sheetData>
    <row r="1" spans="2:12" ht="18">
      <c r="B1" s="35"/>
      <c r="C1" s="33" t="str">
        <f>"T5007-"&amp;yeartext&amp;" SLIPS DATA ENTRY FORM"</f>
        <v>T5007-2009 SLIPS DATA ENTRY FORM</v>
      </c>
      <c r="D1" s="33"/>
      <c r="E1" s="322" t="s">
        <v>1522</v>
      </c>
      <c r="F1" s="35"/>
      <c r="G1" s="35"/>
      <c r="H1" s="36"/>
      <c r="I1" s="35"/>
      <c r="J1" s="36" t="str">
        <f>yeartext</f>
        <v>2009</v>
      </c>
      <c r="K1" s="629"/>
      <c r="L1" s="1566" t="s">
        <v>35</v>
      </c>
    </row>
    <row r="2" spans="2:12" ht="15.75">
      <c r="B2" s="35"/>
      <c r="C2" s="35"/>
      <c r="D2" s="37"/>
      <c r="E2" s="629"/>
      <c r="F2" s="35"/>
      <c r="G2" s="35"/>
      <c r="H2" s="35"/>
      <c r="I2" s="35"/>
      <c r="J2" s="35"/>
      <c r="K2" s="629"/>
      <c r="L2" s="1566"/>
    </row>
    <row r="3" spans="2:12" ht="18">
      <c r="B3" s="38"/>
      <c r="C3" s="38" t="s">
        <v>2391</v>
      </c>
      <c r="D3" s="35"/>
      <c r="E3" s="37"/>
      <c r="F3" s="35"/>
      <c r="G3" s="35"/>
      <c r="H3" s="35"/>
      <c r="I3" s="35"/>
      <c r="J3" s="35"/>
      <c r="K3" s="629"/>
      <c r="L3" s="1566"/>
    </row>
    <row r="4" spans="2:12" ht="18">
      <c r="B4" s="38"/>
      <c r="C4" s="38" t="s">
        <v>2392</v>
      </c>
      <c r="D4" s="35"/>
      <c r="E4" s="37"/>
      <c r="F4" s="35"/>
      <c r="G4" s="35"/>
      <c r="H4" s="35"/>
      <c r="I4" s="35"/>
      <c r="J4" s="35"/>
      <c r="K4" s="629"/>
      <c r="L4" s="1566"/>
    </row>
    <row r="5" spans="2:12" ht="18">
      <c r="B5" s="38"/>
      <c r="C5" s="38" t="s">
        <v>949</v>
      </c>
      <c r="D5" s="35"/>
      <c r="E5" s="37"/>
      <c r="F5" s="35"/>
      <c r="G5" s="35"/>
      <c r="H5" s="35"/>
      <c r="I5" s="35"/>
      <c r="J5" s="35"/>
      <c r="K5" s="629"/>
      <c r="L5" s="1566"/>
    </row>
    <row r="6" spans="2:12" ht="18">
      <c r="B6" s="38"/>
      <c r="C6" s="38" t="s">
        <v>950</v>
      </c>
      <c r="D6" s="35"/>
      <c r="E6" s="37"/>
      <c r="F6" s="35"/>
      <c r="G6" s="35"/>
      <c r="H6" s="35"/>
      <c r="I6" s="35"/>
      <c r="J6" s="35"/>
      <c r="K6" s="629"/>
      <c r="L6" s="1566"/>
    </row>
    <row r="7" spans="2:12" ht="18">
      <c r="B7" s="38"/>
      <c r="C7" s="38" t="s">
        <v>1752</v>
      </c>
      <c r="D7" s="35"/>
      <c r="E7" s="37"/>
      <c r="F7" s="35"/>
      <c r="G7" s="35"/>
      <c r="H7" s="35"/>
      <c r="I7" s="35"/>
      <c r="J7" s="35"/>
      <c r="K7" s="629"/>
      <c r="L7" s="1566"/>
    </row>
    <row r="8" spans="2:12" ht="18">
      <c r="B8" s="38"/>
      <c r="C8" s="38" t="s">
        <v>235</v>
      </c>
      <c r="D8" s="35"/>
      <c r="E8" s="37"/>
      <c r="F8" s="35"/>
      <c r="G8" s="35"/>
      <c r="H8" s="35"/>
      <c r="I8" s="35"/>
      <c r="J8" s="35"/>
      <c r="K8" s="629"/>
      <c r="L8" s="1566"/>
    </row>
    <row r="9" spans="2:12" ht="18">
      <c r="B9" s="38"/>
      <c r="C9" s="38" t="s">
        <v>1626</v>
      </c>
      <c r="D9" s="35"/>
      <c r="E9" s="37"/>
      <c r="F9" s="35"/>
      <c r="G9" s="35"/>
      <c r="H9" s="35"/>
      <c r="I9" s="35"/>
      <c r="J9" s="35"/>
      <c r="K9" s="629"/>
      <c r="L9" s="1566"/>
    </row>
    <row r="10" spans="2:12" ht="18">
      <c r="B10" s="38"/>
      <c r="C10" s="38" t="s">
        <v>1130</v>
      </c>
      <c r="D10" s="35"/>
      <c r="E10" s="37"/>
      <c r="F10" s="35"/>
      <c r="G10" s="35"/>
      <c r="H10" s="35"/>
      <c r="I10" s="35"/>
      <c r="J10" s="35"/>
      <c r="K10" s="629"/>
      <c r="L10" s="1566"/>
    </row>
    <row r="11" spans="2:12" ht="18">
      <c r="B11" s="38"/>
      <c r="C11" s="38" t="s">
        <v>852</v>
      </c>
      <c r="D11" s="35"/>
      <c r="E11" s="37"/>
      <c r="F11" s="35"/>
      <c r="G11" s="35"/>
      <c r="H11" s="35"/>
      <c r="I11" s="35"/>
      <c r="J11" s="35"/>
      <c r="K11" s="629"/>
      <c r="L11" s="1566"/>
    </row>
    <row r="12" spans="2:12" ht="18">
      <c r="B12" s="38"/>
      <c r="C12" s="38" t="s">
        <v>660</v>
      </c>
      <c r="D12" s="35"/>
      <c r="E12" s="37"/>
      <c r="F12" s="35"/>
      <c r="G12" s="35"/>
      <c r="H12" s="35"/>
      <c r="I12" s="35"/>
      <c r="J12" s="35"/>
      <c r="K12" s="629"/>
      <c r="L12" s="1566"/>
    </row>
    <row r="13" spans="2:12" ht="18">
      <c r="B13" s="38"/>
      <c r="C13" s="38"/>
      <c r="D13" s="35"/>
      <c r="E13" s="37"/>
      <c r="F13" s="35"/>
      <c r="G13" s="35"/>
      <c r="H13" s="35"/>
      <c r="I13" s="35"/>
      <c r="J13" s="35"/>
      <c r="K13" s="629"/>
      <c r="L13" s="1566"/>
    </row>
    <row r="14" spans="2:12" ht="18">
      <c r="B14" s="38"/>
      <c r="C14" s="38"/>
      <c r="D14" s="35"/>
      <c r="E14" s="37"/>
      <c r="F14" s="35"/>
      <c r="G14" s="35"/>
      <c r="H14" s="35"/>
      <c r="I14" s="35"/>
      <c r="J14" s="35"/>
      <c r="K14" s="629"/>
      <c r="L14" s="1566"/>
    </row>
    <row r="15" spans="2:12" ht="36">
      <c r="B15" s="41" t="s">
        <v>855</v>
      </c>
      <c r="C15" s="41" t="s">
        <v>1068</v>
      </c>
      <c r="D15" s="41" t="s">
        <v>673</v>
      </c>
      <c r="E15" s="41" t="s">
        <v>1685</v>
      </c>
      <c r="F15" s="41" t="s">
        <v>1686</v>
      </c>
      <c r="G15" s="41" t="s">
        <v>1687</v>
      </c>
      <c r="H15" s="41" t="s">
        <v>1520</v>
      </c>
      <c r="I15" s="41" t="s">
        <v>1521</v>
      </c>
      <c r="J15" s="42" t="s">
        <v>1217</v>
      </c>
      <c r="K15" s="629"/>
      <c r="L15" s="1566"/>
    </row>
    <row r="16" spans="2:12" ht="18">
      <c r="B16" s="35"/>
      <c r="C16" s="38"/>
      <c r="D16" s="38"/>
      <c r="E16" s="37"/>
      <c r="F16" s="35"/>
      <c r="G16" s="35"/>
      <c r="H16" s="35"/>
      <c r="I16" s="35"/>
      <c r="J16" s="35"/>
      <c r="K16" s="629"/>
      <c r="L16" s="1566"/>
    </row>
    <row r="17" spans="2:12" ht="18">
      <c r="B17" s="46" t="s">
        <v>1529</v>
      </c>
      <c r="C17" s="327" t="s">
        <v>1748</v>
      </c>
      <c r="D17" s="313" t="s">
        <v>1218</v>
      </c>
      <c r="E17" s="328"/>
      <c r="F17" s="328"/>
      <c r="G17" s="328"/>
      <c r="H17" s="328"/>
      <c r="I17" s="328"/>
      <c r="J17" s="631">
        <f>SUM(E17:I17)</f>
        <v>0</v>
      </c>
      <c r="K17" s="629"/>
      <c r="L17" s="1566"/>
    </row>
    <row r="18" spans="2:12" ht="18">
      <c r="B18" s="35"/>
      <c r="C18" s="38"/>
      <c r="D18" s="313"/>
      <c r="E18" s="37"/>
      <c r="F18" s="35"/>
      <c r="G18" s="35"/>
      <c r="H18" s="37"/>
      <c r="I18" s="35"/>
      <c r="J18" s="35"/>
      <c r="K18" s="629"/>
      <c r="L18" s="1566"/>
    </row>
    <row r="19" spans="2:12" ht="18">
      <c r="B19" s="46" t="s">
        <v>1530</v>
      </c>
      <c r="C19" s="327" t="s">
        <v>2059</v>
      </c>
      <c r="D19" s="313" t="s">
        <v>1055</v>
      </c>
      <c r="E19" s="328"/>
      <c r="F19" s="328"/>
      <c r="G19" s="328"/>
      <c r="H19" s="328"/>
      <c r="I19" s="328"/>
      <c r="J19" s="631">
        <f>SUM(E19:I19)</f>
        <v>0</v>
      </c>
      <c r="K19" s="629"/>
      <c r="L19" s="1566"/>
    </row>
    <row r="20" spans="2:12" ht="18">
      <c r="B20" s="35"/>
      <c r="C20" s="322" t="s">
        <v>975</v>
      </c>
      <c r="D20" s="313"/>
      <c r="E20" s="33"/>
      <c r="F20" s="33"/>
      <c r="G20" s="33"/>
      <c r="H20" s="33"/>
      <c r="I20" s="33"/>
      <c r="J20" s="33"/>
      <c r="K20" s="629"/>
      <c r="L20" s="1566"/>
    </row>
    <row r="21" spans="2:12" ht="18">
      <c r="B21" s="35"/>
      <c r="C21" s="322"/>
      <c r="D21" s="313"/>
      <c r="E21" s="33"/>
      <c r="F21" s="33"/>
      <c r="G21" s="33"/>
      <c r="H21" s="33"/>
      <c r="I21" s="33"/>
      <c r="J21" s="33"/>
      <c r="K21" s="629"/>
      <c r="L21" s="1566"/>
    </row>
    <row r="22" spans="2:12" ht="18">
      <c r="B22" s="56"/>
      <c r="C22" s="327" t="s">
        <v>1528</v>
      </c>
      <c r="D22" s="313" t="s">
        <v>1059</v>
      </c>
      <c r="E22" s="346"/>
      <c r="F22" s="346"/>
      <c r="G22" s="346"/>
      <c r="H22" s="346"/>
      <c r="I22" s="346"/>
      <c r="J22" s="33"/>
      <c r="K22" s="629"/>
      <c r="L22" s="1566"/>
    </row>
    <row r="23" spans="2:12" ht="18">
      <c r="B23" s="46"/>
      <c r="C23" s="38"/>
      <c r="D23" s="35"/>
      <c r="E23" s="33"/>
      <c r="F23" s="35"/>
      <c r="G23" s="35"/>
      <c r="H23" s="35"/>
      <c r="I23" s="35"/>
      <c r="J23" s="35"/>
      <c r="K23" s="629"/>
      <c r="L23" s="1566"/>
    </row>
    <row r="24" spans="2:12" ht="18">
      <c r="B24" s="1152" t="s">
        <v>1615</v>
      </c>
      <c r="C24" s="327" t="s">
        <v>1612</v>
      </c>
      <c r="D24" s="313" t="s">
        <v>1220</v>
      </c>
      <c r="E24" s="344" t="s">
        <v>1614</v>
      </c>
      <c r="F24" s="35"/>
      <c r="G24" s="35"/>
      <c r="H24" s="35"/>
      <c r="I24" s="35"/>
      <c r="J24" s="35"/>
      <c r="K24" s="629"/>
      <c r="L24" s="1566"/>
    </row>
    <row r="25" spans="2:12" ht="18">
      <c r="B25" s="46"/>
      <c r="C25" s="38"/>
      <c r="D25" s="35"/>
      <c r="E25" s="344" t="s">
        <v>1613</v>
      </c>
      <c r="F25" s="35"/>
      <c r="G25" s="35"/>
      <c r="H25" s="35"/>
      <c r="I25" s="35"/>
      <c r="J25" s="35"/>
      <c r="K25" s="629"/>
      <c r="L25" s="1566"/>
    </row>
    <row r="26" spans="2:12" ht="18.75" thickBot="1">
      <c r="B26" s="298"/>
      <c r="C26" s="299"/>
      <c r="D26" s="298"/>
      <c r="E26" s="300"/>
      <c r="F26" s="301"/>
      <c r="G26" s="301"/>
      <c r="H26" s="632"/>
      <c r="I26" s="301"/>
      <c r="J26" s="633"/>
      <c r="K26" s="634"/>
      <c r="L26" s="1566"/>
    </row>
    <row r="27" spans="2:12" ht="18">
      <c r="B27" s="46"/>
      <c r="C27" s="33" t="str">
        <f>"T5007-"&amp;yeartext&amp;" GENERAL DATA SUMMARY"</f>
        <v>T5007-2009 GENERAL DATA SUMMARY</v>
      </c>
      <c r="D27" s="33"/>
      <c r="E27" s="322" t="s">
        <v>1522</v>
      </c>
      <c r="F27" s="35"/>
      <c r="G27" s="35"/>
      <c r="H27" s="36"/>
      <c r="I27" s="35"/>
      <c r="J27" s="36" t="str">
        <f>yeartext</f>
        <v>2009</v>
      </c>
      <c r="K27" s="629"/>
      <c r="L27" s="1566"/>
    </row>
    <row r="28" spans="2:12" ht="18">
      <c r="B28" s="46"/>
      <c r="C28" s="49"/>
      <c r="D28" s="46"/>
      <c r="E28" s="51"/>
      <c r="F28" s="48"/>
      <c r="G28" s="48"/>
      <c r="H28" s="635"/>
      <c r="I28" s="48"/>
      <c r="J28" s="636"/>
      <c r="K28" s="629"/>
      <c r="L28" s="1566"/>
    </row>
    <row r="29" spans="2:12" ht="18">
      <c r="B29" s="46"/>
      <c r="C29" s="41" t="s">
        <v>114</v>
      </c>
      <c r="D29" s="41" t="s">
        <v>855</v>
      </c>
      <c r="E29" s="42" t="s">
        <v>115</v>
      </c>
      <c r="F29" s="329"/>
      <c r="G29" s="340" t="s">
        <v>1533</v>
      </c>
      <c r="H29" s="329"/>
      <c r="I29" s="329"/>
      <c r="J29" s="329"/>
      <c r="K29" s="629"/>
      <c r="L29" s="1566"/>
    </row>
    <row r="30" spans="2:12" ht="18">
      <c r="B30" s="46"/>
      <c r="C30" s="296" t="s">
        <v>113</v>
      </c>
      <c r="D30" s="297" t="s">
        <v>1749</v>
      </c>
      <c r="E30" s="334">
        <f>J17</f>
        <v>0</v>
      </c>
      <c r="F30" s="329"/>
      <c r="G30" s="340" t="s">
        <v>1534</v>
      </c>
      <c r="H30" s="329"/>
      <c r="I30" s="329"/>
      <c r="J30" s="329"/>
      <c r="K30" s="629"/>
      <c r="L30" s="1566"/>
    </row>
    <row r="31" spans="2:12" ht="18">
      <c r="B31" s="46"/>
      <c r="C31" s="296" t="s">
        <v>113</v>
      </c>
      <c r="D31" s="297" t="s">
        <v>1531</v>
      </c>
      <c r="E31" s="334">
        <f>J19</f>
        <v>0</v>
      </c>
      <c r="F31" s="329"/>
      <c r="G31" s="340"/>
      <c r="H31" s="329"/>
      <c r="I31" s="329"/>
      <c r="J31" s="329"/>
      <c r="K31" s="629"/>
      <c r="L31" s="1566"/>
    </row>
    <row r="32" spans="2:12" ht="18">
      <c r="B32" s="46"/>
      <c r="C32" s="296" t="s">
        <v>117</v>
      </c>
      <c r="D32" s="297" t="s">
        <v>2377</v>
      </c>
      <c r="E32" s="334">
        <f>J17+J19</f>
        <v>0</v>
      </c>
      <c r="F32" s="329"/>
      <c r="G32" s="330" t="s">
        <v>670</v>
      </c>
      <c r="H32" s="329"/>
      <c r="I32" s="329"/>
      <c r="J32" s="329"/>
      <c r="K32" s="629"/>
      <c r="L32" s="1566"/>
    </row>
    <row r="33" spans="2:12" ht="18">
      <c r="B33" s="46"/>
      <c r="C33" s="311"/>
      <c r="D33" s="312"/>
      <c r="E33" s="326"/>
      <c r="F33" s="329"/>
      <c r="G33" s="330" t="s">
        <v>671</v>
      </c>
      <c r="H33" s="329"/>
      <c r="I33" s="329"/>
      <c r="J33" s="329"/>
      <c r="K33" s="629"/>
      <c r="L33" s="1566"/>
    </row>
    <row r="34" spans="2:12" ht="18">
      <c r="B34" s="46"/>
      <c r="C34" s="313"/>
      <c r="D34" s="46"/>
      <c r="E34" s="330"/>
      <c r="F34" s="329"/>
      <c r="G34" s="330"/>
      <c r="H34" s="329"/>
      <c r="I34" s="329"/>
      <c r="J34" s="329"/>
      <c r="K34" s="629"/>
      <c r="L34" s="1566"/>
    </row>
    <row r="35" spans="2:12" ht="18">
      <c r="B35" s="46"/>
      <c r="C35" s="313"/>
      <c r="D35" s="46"/>
      <c r="E35" s="330"/>
      <c r="F35" s="330"/>
      <c r="G35" s="330" t="s">
        <v>2363</v>
      </c>
      <c r="H35" s="330"/>
      <c r="I35" s="330"/>
      <c r="J35" s="330"/>
      <c r="K35" s="629"/>
      <c r="L35" s="1566"/>
    </row>
    <row r="36" spans="2:12" ht="18">
      <c r="B36" s="46"/>
      <c r="C36" s="313"/>
      <c r="D36" s="46"/>
      <c r="E36" s="330"/>
      <c r="F36" s="330"/>
      <c r="G36" s="330" t="s">
        <v>1532</v>
      </c>
      <c r="H36" s="330"/>
      <c r="I36" s="330"/>
      <c r="J36" s="330"/>
      <c r="K36" s="629"/>
      <c r="L36" s="1566"/>
    </row>
    <row r="37" spans="2:12" ht="18">
      <c r="B37" s="46"/>
      <c r="C37" s="49"/>
      <c r="D37" s="46"/>
      <c r="E37" s="51"/>
      <c r="F37" s="48"/>
      <c r="G37" s="48"/>
      <c r="H37" s="635"/>
      <c r="I37" s="48"/>
      <c r="J37" s="636"/>
      <c r="K37" s="629"/>
      <c r="L37" s="1566"/>
    </row>
    <row r="38" spans="2:12" ht="18">
      <c r="B38" s="46"/>
      <c r="C38" s="49"/>
      <c r="D38" s="46"/>
      <c r="E38" s="51"/>
      <c r="F38" s="48"/>
      <c r="G38" s="48"/>
      <c r="H38" s="635"/>
      <c r="I38" s="48"/>
      <c r="J38" s="636"/>
      <c r="K38" s="629"/>
      <c r="L38" s="1566"/>
    </row>
    <row r="39" spans="2:4" ht="15">
      <c r="B39" s="637"/>
      <c r="D39" s="55"/>
    </row>
    <row r="40" spans="2:4" ht="15">
      <c r="B40" s="637"/>
      <c r="D40" s="55"/>
    </row>
    <row r="41" spans="2:4" ht="15">
      <c r="B41" s="637"/>
      <c r="D41" s="55"/>
    </row>
    <row r="42" spans="2:4" ht="15">
      <c r="B42" s="637"/>
      <c r="D42" s="55"/>
    </row>
    <row r="43" spans="2:4" ht="15">
      <c r="B43" s="637"/>
      <c r="D43" s="55"/>
    </row>
    <row r="44" spans="2:4" ht="15">
      <c r="B44" s="637"/>
      <c r="D44" s="55"/>
    </row>
    <row r="45" spans="2:4" ht="15">
      <c r="B45" s="637"/>
      <c r="D45" s="55"/>
    </row>
    <row r="46" spans="2:4" ht="15">
      <c r="B46" s="637"/>
      <c r="D46" s="55"/>
    </row>
    <row r="47" spans="2:4" ht="15">
      <c r="B47" s="637"/>
      <c r="D47" s="55"/>
    </row>
    <row r="48" spans="2:4" ht="15">
      <c r="B48" s="637"/>
      <c r="D48" s="55"/>
    </row>
    <row r="49" spans="2:4" ht="15">
      <c r="B49" s="637"/>
      <c r="D49" s="55"/>
    </row>
    <row r="50" spans="2:4" ht="15">
      <c r="B50" s="637"/>
      <c r="D50" s="55"/>
    </row>
  </sheetData>
  <sheetProtection password="EC35" sheet="1" objects="1" scenarios="1"/>
  <mergeCells count="1">
    <mergeCell ref="L1:L38"/>
  </mergeCells>
  <printOptions horizontalCentered="1"/>
  <pageMargins left="0" right="0" top="0" bottom="0" header="0.5" footer="0.5"/>
  <pageSetup fitToHeight="0" fitToWidth="1" horizontalDpi="600" verticalDpi="600" orientation="portrait" scale="60" r:id="rId1"/>
</worksheet>
</file>

<file path=xl/worksheets/sheet42.xml><?xml version="1.0" encoding="utf-8"?>
<worksheet xmlns="http://schemas.openxmlformats.org/spreadsheetml/2006/main" xmlns:r="http://schemas.openxmlformats.org/officeDocument/2006/relationships">
  <sheetPr>
    <pageSetUpPr fitToPage="1"/>
  </sheetPr>
  <dimension ref="B1:N95"/>
  <sheetViews>
    <sheetView zoomScalePageLayoutView="0" workbookViewId="0" topLeftCell="A1">
      <selection activeCell="A1" sqref="A1"/>
    </sheetView>
  </sheetViews>
  <sheetFormatPr defaultColWidth="8.88671875" defaultRowHeight="15"/>
  <cols>
    <col min="1" max="2" width="1.77734375" style="630" customWidth="1"/>
    <col min="3" max="3" width="34.77734375" style="630" customWidth="1"/>
    <col min="4" max="4" width="7.99609375" style="630" customWidth="1"/>
    <col min="5" max="12" width="12.21484375" style="630" customWidth="1"/>
    <col min="13" max="13" width="1.88671875" style="630" customWidth="1"/>
    <col min="14" max="16384" width="8.88671875" style="630" customWidth="1"/>
  </cols>
  <sheetData>
    <row r="1" spans="2:14" ht="18">
      <c r="B1" s="35"/>
      <c r="C1" s="33" t="str">
        <f>"MISC-"&amp;yeartext&amp;" SLIPS DATA ENTRY FORM"</f>
        <v>MISC-2009 SLIPS DATA ENTRY FORM</v>
      </c>
      <c r="D1" s="33"/>
      <c r="E1" s="34" t="s">
        <v>1850</v>
      </c>
      <c r="F1" s="35"/>
      <c r="G1" s="35"/>
      <c r="H1" s="36"/>
      <c r="I1" s="36"/>
      <c r="J1" s="36"/>
      <c r="K1" s="35"/>
      <c r="L1" s="36" t="str">
        <f>yeartext</f>
        <v>2009</v>
      </c>
      <c r="M1" s="629"/>
      <c r="N1" s="1566" t="s">
        <v>35</v>
      </c>
    </row>
    <row r="2" spans="2:14" ht="15.75">
      <c r="B2" s="35"/>
      <c r="C2" s="35"/>
      <c r="D2" s="37"/>
      <c r="E2" s="629"/>
      <c r="F2" s="35"/>
      <c r="G2" s="35"/>
      <c r="H2" s="35"/>
      <c r="I2" s="35"/>
      <c r="J2" s="35"/>
      <c r="K2" s="35"/>
      <c r="L2" s="35"/>
      <c r="M2" s="629"/>
      <c r="N2" s="1566"/>
    </row>
    <row r="3" spans="2:14" ht="15.75">
      <c r="B3" s="35"/>
      <c r="C3" s="35"/>
      <c r="D3" s="37"/>
      <c r="E3" s="629"/>
      <c r="F3" s="35"/>
      <c r="G3" s="35"/>
      <c r="H3" s="35"/>
      <c r="I3" s="35"/>
      <c r="J3" s="35"/>
      <c r="K3" s="35"/>
      <c r="L3" s="35"/>
      <c r="M3" s="629"/>
      <c r="N3" s="1566"/>
    </row>
    <row r="4" spans="2:14" ht="18">
      <c r="B4" s="38"/>
      <c r="C4" s="38" t="s">
        <v>2016</v>
      </c>
      <c r="D4" s="35"/>
      <c r="E4" s="37"/>
      <c r="F4" s="35"/>
      <c r="G4" s="35"/>
      <c r="H4" s="35"/>
      <c r="I4" s="35"/>
      <c r="J4" s="35"/>
      <c r="K4" s="35"/>
      <c r="L4" s="35"/>
      <c r="M4" s="629"/>
      <c r="N4" s="1566"/>
    </row>
    <row r="5" spans="2:14" ht="18">
      <c r="B5" s="38"/>
      <c r="C5" s="38" t="s">
        <v>2072</v>
      </c>
      <c r="D5" s="35"/>
      <c r="E5" s="37"/>
      <c r="F5" s="35"/>
      <c r="G5" s="35"/>
      <c r="H5" s="35"/>
      <c r="I5" s="35"/>
      <c r="J5" s="35"/>
      <c r="K5" s="35"/>
      <c r="L5" s="35"/>
      <c r="M5" s="629"/>
      <c r="N5" s="1566"/>
    </row>
    <row r="6" spans="2:14" ht="18">
      <c r="B6" s="38"/>
      <c r="C6" s="38" t="s">
        <v>2073</v>
      </c>
      <c r="D6" s="35"/>
      <c r="E6" s="37"/>
      <c r="F6" s="35"/>
      <c r="G6" s="35"/>
      <c r="H6" s="35"/>
      <c r="I6" s="35"/>
      <c r="J6" s="35"/>
      <c r="K6" s="35"/>
      <c r="L6" s="35"/>
      <c r="M6" s="629"/>
      <c r="N6" s="1566"/>
    </row>
    <row r="7" spans="2:14" ht="18">
      <c r="B7" s="38"/>
      <c r="C7" s="38" t="s">
        <v>1409</v>
      </c>
      <c r="D7" s="35"/>
      <c r="E7" s="37"/>
      <c r="F7" s="35"/>
      <c r="G7" s="35"/>
      <c r="H7" s="35"/>
      <c r="I7" s="35"/>
      <c r="J7" s="35"/>
      <c r="K7" s="35"/>
      <c r="L7" s="35"/>
      <c r="M7" s="629"/>
      <c r="N7" s="1566"/>
    </row>
    <row r="8" spans="2:14" ht="18">
      <c r="B8" s="38"/>
      <c r="C8" s="38" t="s">
        <v>1373</v>
      </c>
      <c r="D8" s="35"/>
      <c r="E8" s="37"/>
      <c r="F8" s="35"/>
      <c r="G8" s="35"/>
      <c r="H8" s="35"/>
      <c r="I8" s="35"/>
      <c r="J8" s="35"/>
      <c r="K8" s="35"/>
      <c r="L8" s="35"/>
      <c r="M8" s="629"/>
      <c r="N8" s="1566"/>
    </row>
    <row r="9" spans="2:14" ht="18">
      <c r="B9" s="38"/>
      <c r="C9" s="38" t="s">
        <v>1305</v>
      </c>
      <c r="D9" s="35"/>
      <c r="E9" s="37"/>
      <c r="F9" s="35"/>
      <c r="G9" s="35"/>
      <c r="H9" s="35"/>
      <c r="I9" s="35"/>
      <c r="J9" s="35"/>
      <c r="K9" s="35"/>
      <c r="L9" s="35"/>
      <c r="M9" s="629"/>
      <c r="N9" s="1566"/>
    </row>
    <row r="10" spans="2:14" ht="18">
      <c r="B10" s="38"/>
      <c r="C10" s="38" t="s">
        <v>2092</v>
      </c>
      <c r="D10" s="35"/>
      <c r="E10" s="37"/>
      <c r="F10" s="35"/>
      <c r="G10" s="35"/>
      <c r="H10" s="35"/>
      <c r="I10" s="35"/>
      <c r="J10" s="35"/>
      <c r="K10" s="35"/>
      <c r="L10" s="35"/>
      <c r="M10" s="629"/>
      <c r="N10" s="1566"/>
    </row>
    <row r="11" spans="2:14" ht="18">
      <c r="B11" s="38"/>
      <c r="C11" s="38" t="s">
        <v>1846</v>
      </c>
      <c r="D11" s="35"/>
      <c r="E11" s="37"/>
      <c r="F11" s="35"/>
      <c r="G11" s="35"/>
      <c r="H11" s="35"/>
      <c r="I11" s="35"/>
      <c r="J11" s="35"/>
      <c r="K11" s="35"/>
      <c r="L11" s="35"/>
      <c r="M11" s="629"/>
      <c r="N11" s="1566"/>
    </row>
    <row r="12" spans="2:14" ht="18">
      <c r="B12" s="38"/>
      <c r="C12" s="38" t="s">
        <v>1066</v>
      </c>
      <c r="D12" s="35"/>
      <c r="E12" s="37"/>
      <c r="F12" s="35"/>
      <c r="G12" s="35"/>
      <c r="H12" s="35"/>
      <c r="I12" s="35"/>
      <c r="J12" s="35"/>
      <c r="K12" s="35"/>
      <c r="L12" s="35"/>
      <c r="M12" s="629"/>
      <c r="N12" s="1566"/>
    </row>
    <row r="13" spans="2:14" ht="18">
      <c r="B13" s="38"/>
      <c r="C13" s="38" t="s">
        <v>1495</v>
      </c>
      <c r="D13" s="35"/>
      <c r="E13" s="37"/>
      <c r="F13" s="35"/>
      <c r="G13" s="35"/>
      <c r="H13" s="35"/>
      <c r="I13" s="35"/>
      <c r="J13" s="35"/>
      <c r="K13" s="35"/>
      <c r="L13" s="35"/>
      <c r="M13" s="629"/>
      <c r="N13" s="1566"/>
    </row>
    <row r="14" spans="2:14" ht="18">
      <c r="B14" s="38"/>
      <c r="C14" s="38" t="s">
        <v>1688</v>
      </c>
      <c r="D14" s="35"/>
      <c r="E14" s="37"/>
      <c r="F14" s="35"/>
      <c r="G14" s="35"/>
      <c r="H14" s="35"/>
      <c r="I14" s="35"/>
      <c r="J14" s="35"/>
      <c r="K14" s="35"/>
      <c r="L14" s="35"/>
      <c r="M14" s="629"/>
      <c r="N14" s="1566"/>
    </row>
    <row r="15" spans="2:14" ht="18">
      <c r="B15" s="38"/>
      <c r="C15" s="38" t="s">
        <v>852</v>
      </c>
      <c r="D15" s="35"/>
      <c r="E15" s="37"/>
      <c r="F15" s="35"/>
      <c r="G15" s="35"/>
      <c r="H15" s="35"/>
      <c r="I15" s="35"/>
      <c r="J15" s="35"/>
      <c r="K15" s="35"/>
      <c r="L15" s="35"/>
      <c r="M15" s="629"/>
      <c r="N15" s="1566"/>
    </row>
    <row r="16" spans="2:14" ht="18">
      <c r="B16" s="38"/>
      <c r="C16" s="38" t="s">
        <v>1466</v>
      </c>
      <c r="D16" s="35"/>
      <c r="E16" s="37"/>
      <c r="F16" s="35"/>
      <c r="G16" s="35"/>
      <c r="H16" s="35"/>
      <c r="I16" s="35"/>
      <c r="J16" s="35"/>
      <c r="K16" s="35"/>
      <c r="L16" s="35"/>
      <c r="M16" s="629"/>
      <c r="N16" s="1566"/>
    </row>
    <row r="17" spans="2:14" ht="18.75" thickBot="1">
      <c r="B17" s="298"/>
      <c r="C17" s="299"/>
      <c r="D17" s="298"/>
      <c r="E17" s="300"/>
      <c r="F17" s="301"/>
      <c r="G17" s="301"/>
      <c r="H17" s="632"/>
      <c r="I17" s="632"/>
      <c r="J17" s="632"/>
      <c r="K17" s="301"/>
      <c r="L17" s="633"/>
      <c r="M17" s="634"/>
      <c r="N17" s="1566"/>
    </row>
    <row r="18" spans="2:14" ht="18">
      <c r="B18" s="46"/>
      <c r="C18" s="33" t="str">
        <f>"MISC-"&amp;yeartext&amp;" DATA SUMMARY"</f>
        <v>MISC-2009 DATA SUMMARY</v>
      </c>
      <c r="D18" s="33"/>
      <c r="E18" s="34" t="s">
        <v>1850</v>
      </c>
      <c r="F18" s="35"/>
      <c r="G18" s="35"/>
      <c r="H18" s="36"/>
      <c r="I18" s="36"/>
      <c r="J18" s="36"/>
      <c r="K18" s="35"/>
      <c r="L18" s="36" t="str">
        <f>yeartext</f>
        <v>2009</v>
      </c>
      <c r="M18" s="629"/>
      <c r="N18" s="1566"/>
    </row>
    <row r="19" spans="2:14" ht="18">
      <c r="B19" s="46"/>
      <c r="C19" s="49"/>
      <c r="D19" s="46"/>
      <c r="E19" s="51"/>
      <c r="F19" s="48"/>
      <c r="G19" s="48"/>
      <c r="H19" s="635"/>
      <c r="I19" s="635"/>
      <c r="J19" s="635"/>
      <c r="K19" s="48"/>
      <c r="L19" s="636"/>
      <c r="M19" s="629"/>
      <c r="N19" s="1566"/>
    </row>
    <row r="20" spans="2:14" ht="54">
      <c r="B20" s="46"/>
      <c r="C20" s="317" t="s">
        <v>114</v>
      </c>
      <c r="D20" s="317" t="s">
        <v>855</v>
      </c>
      <c r="E20" s="317" t="s">
        <v>1021</v>
      </c>
      <c r="F20" s="317" t="s">
        <v>1021</v>
      </c>
      <c r="G20" s="317" t="s">
        <v>1021</v>
      </c>
      <c r="H20" s="317" t="s">
        <v>1021</v>
      </c>
      <c r="I20" s="317" t="s">
        <v>1021</v>
      </c>
      <c r="J20" s="317" t="s">
        <v>1021</v>
      </c>
      <c r="K20" s="317" t="s">
        <v>608</v>
      </c>
      <c r="L20" s="317" t="s">
        <v>1067</v>
      </c>
      <c r="M20" s="629"/>
      <c r="N20" s="1566"/>
    </row>
    <row r="21" spans="2:14" ht="18">
      <c r="B21" s="46"/>
      <c r="C21" s="320" t="s">
        <v>113</v>
      </c>
      <c r="D21" s="318" t="s">
        <v>1221</v>
      </c>
      <c r="E21" s="314"/>
      <c r="F21" s="314"/>
      <c r="G21" s="314"/>
      <c r="H21" s="314"/>
      <c r="I21" s="314"/>
      <c r="J21" s="676">
        <f>+'T4'!E106</f>
        <v>0</v>
      </c>
      <c r="K21" s="676">
        <f>SUM(E21:J21)</f>
        <v>0</v>
      </c>
      <c r="L21" s="676">
        <f>K21</f>
        <v>0</v>
      </c>
      <c r="M21" s="629"/>
      <c r="N21" s="1566"/>
    </row>
    <row r="22" spans="2:14" ht="18">
      <c r="B22" s="46"/>
      <c r="C22" s="320" t="s">
        <v>113</v>
      </c>
      <c r="D22" s="318" t="s">
        <v>1729</v>
      </c>
      <c r="E22" s="314"/>
      <c r="F22" s="314"/>
      <c r="G22" s="314"/>
      <c r="H22" s="314"/>
      <c r="I22" s="314"/>
      <c r="J22" s="676">
        <f>+'T4'!E107</f>
        <v>0</v>
      </c>
      <c r="K22" s="676">
        <f aca="true" t="shared" si="0" ref="K22:K92">SUM(E22:J22)</f>
        <v>0</v>
      </c>
      <c r="L22" s="676">
        <f aca="true" t="shared" si="1" ref="L22:L92">K22</f>
        <v>0</v>
      </c>
      <c r="M22" s="629"/>
      <c r="N22" s="1566"/>
    </row>
    <row r="23" spans="2:14" ht="18">
      <c r="B23" s="46"/>
      <c r="C23" s="320" t="s">
        <v>113</v>
      </c>
      <c r="D23" s="318" t="s">
        <v>116</v>
      </c>
      <c r="E23" s="314"/>
      <c r="F23" s="314"/>
      <c r="G23" s="314"/>
      <c r="H23" s="314"/>
      <c r="I23" s="676">
        <f>+'T4A'!E52</f>
        <v>0</v>
      </c>
      <c r="J23" s="676">
        <f>+'T4PS'!E52</f>
        <v>0</v>
      </c>
      <c r="K23" s="676">
        <f t="shared" si="0"/>
        <v>0</v>
      </c>
      <c r="L23" s="676">
        <f t="shared" si="1"/>
        <v>0</v>
      </c>
      <c r="M23" s="629"/>
      <c r="N23" s="1566"/>
    </row>
    <row r="24" spans="2:14" ht="18">
      <c r="B24" s="46"/>
      <c r="C24" s="320" t="s">
        <v>113</v>
      </c>
      <c r="D24" s="318" t="s">
        <v>1892</v>
      </c>
      <c r="E24" s="314"/>
      <c r="F24" s="314"/>
      <c r="G24" s="314"/>
      <c r="H24" s="314"/>
      <c r="I24" s="314"/>
      <c r="J24" s="676">
        <f>+'T4A(OAS)'!E33</f>
        <v>0</v>
      </c>
      <c r="K24" s="676">
        <f t="shared" si="0"/>
        <v>0</v>
      </c>
      <c r="L24" s="676">
        <f t="shared" si="1"/>
        <v>0</v>
      </c>
      <c r="M24" s="629"/>
      <c r="N24" s="1566"/>
    </row>
    <row r="25" spans="2:14" ht="18">
      <c r="B25" s="46"/>
      <c r="C25" s="320" t="s">
        <v>113</v>
      </c>
      <c r="D25" s="318" t="s">
        <v>864</v>
      </c>
      <c r="E25" s="314"/>
      <c r="F25" s="314"/>
      <c r="G25" s="314"/>
      <c r="H25" s="314"/>
      <c r="I25" s="314"/>
      <c r="J25" s="676">
        <f>'T4A(P)'!E28</f>
        <v>0</v>
      </c>
      <c r="K25" s="676">
        <f t="shared" si="0"/>
        <v>0</v>
      </c>
      <c r="L25" s="676">
        <f>K25</f>
        <v>0</v>
      </c>
      <c r="M25" s="629"/>
      <c r="N25" s="1566"/>
    </row>
    <row r="26" spans="2:14" ht="18">
      <c r="B26" s="46"/>
      <c r="C26" s="321" t="s">
        <v>113</v>
      </c>
      <c r="D26" s="319" t="s">
        <v>1958</v>
      </c>
      <c r="E26" s="314"/>
      <c r="F26" s="314"/>
      <c r="G26" s="314"/>
      <c r="H26" s="676">
        <f>'T4RIF'!J48</f>
        <v>0</v>
      </c>
      <c r="I26" s="676">
        <f>IF(year='T2205'!G4,IF(age&gt;=65,'T2205'!G51,0),0)</f>
        <v>0</v>
      </c>
      <c r="J26" s="676">
        <f>+'T4A'!E53</f>
        <v>0</v>
      </c>
      <c r="K26" s="676">
        <f t="shared" si="0"/>
        <v>0</v>
      </c>
      <c r="L26" s="676">
        <f t="shared" si="1"/>
        <v>0</v>
      </c>
      <c r="M26" s="629"/>
      <c r="N26" s="1566"/>
    </row>
    <row r="27" spans="2:14" ht="18">
      <c r="B27" s="46"/>
      <c r="C27" s="321" t="s">
        <v>113</v>
      </c>
      <c r="D27" s="319" t="s">
        <v>1893</v>
      </c>
      <c r="E27" s="314"/>
      <c r="F27" s="314"/>
      <c r="G27" s="314"/>
      <c r="H27" s="314"/>
      <c r="I27" s="314"/>
      <c r="J27" s="676">
        <f>+'T4E'!E50</f>
        <v>0</v>
      </c>
      <c r="K27" s="676">
        <f t="shared" si="0"/>
        <v>0</v>
      </c>
      <c r="L27" s="676">
        <f t="shared" si="1"/>
        <v>0</v>
      </c>
      <c r="M27" s="629"/>
      <c r="N27" s="1566"/>
    </row>
    <row r="28" spans="2:14" ht="18">
      <c r="B28" s="46"/>
      <c r="C28" s="321" t="s">
        <v>113</v>
      </c>
      <c r="D28" s="319" t="s">
        <v>1894</v>
      </c>
      <c r="E28" s="314"/>
      <c r="F28" s="314"/>
      <c r="G28" s="314"/>
      <c r="H28" s="314"/>
      <c r="I28" s="314"/>
      <c r="J28" s="676">
        <f>Sch4!E14</f>
        <v>0</v>
      </c>
      <c r="K28" s="676">
        <f t="shared" si="0"/>
        <v>0</v>
      </c>
      <c r="L28" s="676">
        <f t="shared" si="1"/>
        <v>0</v>
      </c>
      <c r="M28" s="629"/>
      <c r="N28" s="1566"/>
    </row>
    <row r="29" spans="2:14" ht="18">
      <c r="B29" s="46"/>
      <c r="C29" s="321" t="s">
        <v>113</v>
      </c>
      <c r="D29" s="319" t="s">
        <v>1895</v>
      </c>
      <c r="E29" s="314"/>
      <c r="F29" s="314"/>
      <c r="G29" s="314"/>
      <c r="H29" s="314"/>
      <c r="I29" s="314"/>
      <c r="J29" s="676">
        <f>Sch4!E17</f>
        <v>0</v>
      </c>
      <c r="K29" s="676">
        <f t="shared" si="0"/>
        <v>0</v>
      </c>
      <c r="L29" s="676">
        <f t="shared" si="1"/>
        <v>0</v>
      </c>
      <c r="M29" s="629"/>
      <c r="N29" s="1566"/>
    </row>
    <row r="30" spans="2:14" ht="18">
      <c r="B30" s="46"/>
      <c r="C30" s="321" t="s">
        <v>113</v>
      </c>
      <c r="D30" s="319" t="s">
        <v>650</v>
      </c>
      <c r="E30" s="314"/>
      <c r="F30" s="314"/>
      <c r="G30" s="314"/>
      <c r="H30" s="314"/>
      <c r="I30" s="314"/>
      <c r="J30" s="676">
        <f>Sch4!E22</f>
        <v>0</v>
      </c>
      <c r="K30" s="676">
        <f>SUM(E30:J30)</f>
        <v>0</v>
      </c>
      <c r="L30" s="676">
        <f t="shared" si="1"/>
        <v>0</v>
      </c>
      <c r="M30" s="629"/>
      <c r="N30" s="1566"/>
    </row>
    <row r="31" spans="2:14" ht="18">
      <c r="B31" s="46"/>
      <c r="C31" s="321" t="s">
        <v>113</v>
      </c>
      <c r="D31" s="319" t="s">
        <v>2187</v>
      </c>
      <c r="E31" s="314"/>
      <c r="F31" s="314"/>
      <c r="G31" s="314"/>
      <c r="H31" s="314"/>
      <c r="I31" s="314"/>
      <c r="J31" s="676">
        <f>'T4A'!E54</f>
        <v>0</v>
      </c>
      <c r="K31" s="676">
        <f>SUM(E31:J31)</f>
        <v>0</v>
      </c>
      <c r="L31" s="676">
        <f>K31</f>
        <v>0</v>
      </c>
      <c r="M31" s="629"/>
      <c r="N31" s="1566"/>
    </row>
    <row r="32" spans="2:14" ht="18">
      <c r="B32" s="46"/>
      <c r="C32" s="321" t="s">
        <v>113</v>
      </c>
      <c r="D32" s="319" t="s">
        <v>1896</v>
      </c>
      <c r="E32" s="314"/>
      <c r="F32" s="314"/>
      <c r="G32" s="314"/>
      <c r="H32" s="314"/>
      <c r="I32" s="676">
        <f>IF(year='T2205'!G4,'T2205'!G26,0)</f>
        <v>0</v>
      </c>
      <c r="J32" s="676">
        <f>'T4RSP'!J59</f>
        <v>0</v>
      </c>
      <c r="K32" s="676">
        <f t="shared" si="0"/>
        <v>0</v>
      </c>
      <c r="L32" s="676">
        <f t="shared" si="1"/>
        <v>0</v>
      </c>
      <c r="M32" s="629"/>
      <c r="N32" s="1566"/>
    </row>
    <row r="33" spans="2:14" ht="18">
      <c r="B33" s="46"/>
      <c r="C33" s="321" t="s">
        <v>113</v>
      </c>
      <c r="D33" s="319" t="s">
        <v>1756</v>
      </c>
      <c r="E33" s="315"/>
      <c r="F33" s="315"/>
      <c r="G33" s="315"/>
      <c r="H33" s="676">
        <f>'T4RIF'!J52</f>
        <v>0</v>
      </c>
      <c r="I33" s="676">
        <f>IF(year='T2205'!G4,IF(age&lt;65,'T2205'!G51,0),0)</f>
        <v>0</v>
      </c>
      <c r="J33" s="676">
        <f>+'T4A'!E55</f>
        <v>0</v>
      </c>
      <c r="K33" s="676">
        <f t="shared" si="0"/>
        <v>0</v>
      </c>
      <c r="L33" s="676">
        <f t="shared" si="1"/>
        <v>0</v>
      </c>
      <c r="M33" s="629"/>
      <c r="N33" s="1566"/>
    </row>
    <row r="34" spans="2:14" ht="18">
      <c r="B34" s="46"/>
      <c r="C34" s="321" t="s">
        <v>113</v>
      </c>
      <c r="D34" s="319" t="s">
        <v>1899</v>
      </c>
      <c r="E34" s="315"/>
      <c r="F34" s="315"/>
      <c r="G34" s="315"/>
      <c r="H34" s="315"/>
      <c r="I34" s="314"/>
      <c r="J34" s="676">
        <f>+'T4A'!E56</f>
        <v>0</v>
      </c>
      <c r="K34" s="676">
        <f t="shared" si="0"/>
        <v>0</v>
      </c>
      <c r="L34" s="676">
        <f t="shared" si="1"/>
        <v>0</v>
      </c>
      <c r="M34" s="629"/>
      <c r="N34" s="1566"/>
    </row>
    <row r="35" spans="2:14" ht="18">
      <c r="B35" s="46"/>
      <c r="C35" s="321" t="s">
        <v>113</v>
      </c>
      <c r="D35" s="319" t="s">
        <v>1749</v>
      </c>
      <c r="E35" s="315"/>
      <c r="F35" s="315"/>
      <c r="G35" s="315"/>
      <c r="H35" s="315"/>
      <c r="I35" s="315"/>
      <c r="J35" s="676">
        <f>'T5007'!E30</f>
        <v>0</v>
      </c>
      <c r="K35" s="676">
        <f t="shared" si="0"/>
        <v>0</v>
      </c>
      <c r="L35" s="676">
        <f t="shared" si="1"/>
        <v>0</v>
      </c>
      <c r="M35" s="629"/>
      <c r="N35" s="1566"/>
    </row>
    <row r="36" spans="2:14" ht="18">
      <c r="B36" s="46"/>
      <c r="C36" s="321" t="s">
        <v>113</v>
      </c>
      <c r="D36" s="319" t="s">
        <v>1531</v>
      </c>
      <c r="E36" s="315"/>
      <c r="F36" s="315"/>
      <c r="G36" s="315"/>
      <c r="H36" s="315"/>
      <c r="I36" s="315"/>
      <c r="J36" s="676">
        <f>'T5007'!E31</f>
        <v>0</v>
      </c>
      <c r="K36" s="676">
        <f t="shared" si="0"/>
        <v>0</v>
      </c>
      <c r="L36" s="676">
        <f t="shared" si="1"/>
        <v>0</v>
      </c>
      <c r="M36" s="629"/>
      <c r="N36" s="1566"/>
    </row>
    <row r="37" spans="2:14" ht="18">
      <c r="B37" s="46"/>
      <c r="C37" s="321" t="s">
        <v>113</v>
      </c>
      <c r="D37" s="319" t="s">
        <v>1690</v>
      </c>
      <c r="E37" s="315"/>
      <c r="F37" s="315"/>
      <c r="G37" s="315"/>
      <c r="H37" s="315"/>
      <c r="I37" s="314"/>
      <c r="J37" s="676">
        <f>+'T4A(OAS)'!E34</f>
        <v>0</v>
      </c>
      <c r="K37" s="676">
        <f t="shared" si="0"/>
        <v>0</v>
      </c>
      <c r="L37" s="676">
        <f t="shared" si="1"/>
        <v>0</v>
      </c>
      <c r="M37" s="629"/>
      <c r="N37" s="1566"/>
    </row>
    <row r="38" spans="2:14" ht="18">
      <c r="B38" s="46"/>
      <c r="C38" s="321" t="s">
        <v>113</v>
      </c>
      <c r="D38" s="319" t="s">
        <v>865</v>
      </c>
      <c r="E38" s="315"/>
      <c r="F38" s="315"/>
      <c r="G38" s="315"/>
      <c r="H38" s="315"/>
      <c r="I38" s="314"/>
      <c r="J38" s="676">
        <f>'T4A(P)'!E27</f>
        <v>0</v>
      </c>
      <c r="K38" s="676">
        <f t="shared" si="0"/>
        <v>0</v>
      </c>
      <c r="L38" s="676">
        <f t="shared" si="1"/>
        <v>0</v>
      </c>
      <c r="M38" s="629"/>
      <c r="N38" s="1566"/>
    </row>
    <row r="39" spans="2:14" ht="18">
      <c r="B39" s="46"/>
      <c r="C39" s="321" t="s">
        <v>113</v>
      </c>
      <c r="D39" s="319" t="s">
        <v>1757</v>
      </c>
      <c r="E39" s="315"/>
      <c r="F39" s="315"/>
      <c r="G39" s="315"/>
      <c r="H39" s="315"/>
      <c r="I39" s="314"/>
      <c r="J39" s="676">
        <f>+'T4A'!E57</f>
        <v>0</v>
      </c>
      <c r="K39" s="676">
        <f t="shared" si="0"/>
        <v>0</v>
      </c>
      <c r="L39" s="676">
        <f t="shared" si="1"/>
        <v>0</v>
      </c>
      <c r="M39" s="629"/>
      <c r="N39" s="1566"/>
    </row>
    <row r="40" spans="2:14" ht="18">
      <c r="B40" s="46"/>
      <c r="C40" s="321" t="s">
        <v>113</v>
      </c>
      <c r="D40" s="319" t="s">
        <v>598</v>
      </c>
      <c r="E40" s="315"/>
      <c r="F40" s="315"/>
      <c r="G40" s="315"/>
      <c r="H40" s="315"/>
      <c r="I40" s="314"/>
      <c r="J40" s="676">
        <f>Sch4!E10</f>
        <v>0</v>
      </c>
      <c r="K40" s="676">
        <f>SUM(E40:J40)</f>
        <v>0</v>
      </c>
      <c r="L40" s="676">
        <f t="shared" si="1"/>
        <v>0</v>
      </c>
      <c r="M40" s="629"/>
      <c r="N40" s="1566"/>
    </row>
    <row r="41" spans="2:14" ht="18">
      <c r="B41" s="46"/>
      <c r="C41" s="321" t="s">
        <v>117</v>
      </c>
      <c r="D41" s="319" t="s">
        <v>1734</v>
      </c>
      <c r="E41" s="315"/>
      <c r="F41" s="315"/>
      <c r="G41" s="315"/>
      <c r="H41" s="315"/>
      <c r="I41" s="676">
        <f>+'T4'!E108</f>
        <v>0</v>
      </c>
      <c r="J41" s="676">
        <f>+'T4A'!E58</f>
        <v>0</v>
      </c>
      <c r="K41" s="676">
        <f t="shared" si="0"/>
        <v>0</v>
      </c>
      <c r="L41" s="676">
        <f t="shared" si="1"/>
        <v>0</v>
      </c>
      <c r="M41" s="629"/>
      <c r="N41" s="1566"/>
    </row>
    <row r="42" spans="2:14" ht="18">
      <c r="B42" s="46"/>
      <c r="C42" s="321" t="s">
        <v>117</v>
      </c>
      <c r="D42" s="319" t="s">
        <v>1228</v>
      </c>
      <c r="E42" s="315"/>
      <c r="F42" s="315"/>
      <c r="G42" s="315"/>
      <c r="H42" s="315"/>
      <c r="I42" s="676">
        <f>+'T4'!E109</f>
        <v>0</v>
      </c>
      <c r="J42" s="676">
        <f>+'T4A'!E59</f>
        <v>0</v>
      </c>
      <c r="K42" s="676">
        <f t="shared" si="0"/>
        <v>0</v>
      </c>
      <c r="L42" s="676">
        <f t="shared" si="1"/>
        <v>0</v>
      </c>
      <c r="M42" s="629"/>
      <c r="N42" s="1566"/>
    </row>
    <row r="43" spans="2:14" ht="18">
      <c r="B43" s="46"/>
      <c r="C43" s="321" t="s">
        <v>117</v>
      </c>
      <c r="D43" s="319" t="s">
        <v>1731</v>
      </c>
      <c r="E43" s="315"/>
      <c r="F43" s="315"/>
      <c r="G43" s="315"/>
      <c r="H43" s="315"/>
      <c r="I43" s="314"/>
      <c r="J43" s="676">
        <f>+'T4'!E110</f>
        <v>0</v>
      </c>
      <c r="K43" s="676">
        <f t="shared" si="0"/>
        <v>0</v>
      </c>
      <c r="L43" s="676">
        <f t="shared" si="1"/>
        <v>0</v>
      </c>
      <c r="M43" s="629"/>
      <c r="N43" s="1566"/>
    </row>
    <row r="44" spans="2:14" ht="18">
      <c r="B44" s="46"/>
      <c r="C44" s="321" t="s">
        <v>117</v>
      </c>
      <c r="D44" s="319" t="s">
        <v>649</v>
      </c>
      <c r="E44" s="315"/>
      <c r="F44" s="315"/>
      <c r="G44" s="315"/>
      <c r="H44" s="315"/>
      <c r="I44" s="314"/>
      <c r="J44" s="676">
        <f>Sch4!E28</f>
        <v>0</v>
      </c>
      <c r="K44" s="676">
        <f>SUM(E44:J44)</f>
        <v>0</v>
      </c>
      <c r="L44" s="676">
        <f t="shared" si="1"/>
        <v>0</v>
      </c>
      <c r="M44" s="629"/>
      <c r="N44" s="1566"/>
    </row>
    <row r="45" spans="2:14" ht="18">
      <c r="B45" s="46"/>
      <c r="C45" s="321" t="s">
        <v>117</v>
      </c>
      <c r="D45" s="319" t="s">
        <v>535</v>
      </c>
      <c r="E45" s="315"/>
      <c r="F45" s="315"/>
      <c r="G45" s="315"/>
      <c r="H45" s="315"/>
      <c r="I45" s="314"/>
      <c r="J45" s="682" t="s">
        <v>2024</v>
      </c>
      <c r="K45" s="676">
        <f t="shared" si="0"/>
        <v>0</v>
      </c>
      <c r="L45" s="676">
        <f t="shared" si="1"/>
        <v>0</v>
      </c>
      <c r="M45" s="629"/>
      <c r="N45" s="1566"/>
    </row>
    <row r="46" spans="2:14" ht="18">
      <c r="B46" s="46"/>
      <c r="C46" s="321" t="s">
        <v>117</v>
      </c>
      <c r="D46" s="319" t="s">
        <v>1693</v>
      </c>
      <c r="E46" s="315"/>
      <c r="F46" s="315"/>
      <c r="G46" s="315"/>
      <c r="H46" s="315"/>
      <c r="I46" s="676">
        <f>'T4'!E111</f>
        <v>0</v>
      </c>
      <c r="J46" s="676">
        <f>+'T4PS'!E55</f>
        <v>0</v>
      </c>
      <c r="K46" s="676">
        <f t="shared" si="0"/>
        <v>0</v>
      </c>
      <c r="L46" s="676">
        <f t="shared" si="1"/>
        <v>0</v>
      </c>
      <c r="M46" s="629"/>
      <c r="N46" s="1566"/>
    </row>
    <row r="47" spans="2:14" ht="18">
      <c r="B47" s="46"/>
      <c r="C47" s="321" t="s">
        <v>117</v>
      </c>
      <c r="D47" s="319" t="s">
        <v>2376</v>
      </c>
      <c r="E47" s="315"/>
      <c r="F47" s="315"/>
      <c r="G47" s="676">
        <f>'T4RIF'!J56</f>
        <v>0</v>
      </c>
      <c r="H47" s="676">
        <f>'T4RSP'!J64</f>
        <v>0</v>
      </c>
      <c r="I47" s="676">
        <f>+'T4A(OAS)'!E35</f>
        <v>0</v>
      </c>
      <c r="J47" s="676">
        <f>'T4E'!E51</f>
        <v>0</v>
      </c>
      <c r="K47" s="676">
        <f t="shared" si="0"/>
        <v>0</v>
      </c>
      <c r="L47" s="676">
        <f t="shared" si="1"/>
        <v>0</v>
      </c>
      <c r="M47" s="629"/>
      <c r="N47" s="1566"/>
    </row>
    <row r="48" spans="2:14" ht="18">
      <c r="B48" s="46"/>
      <c r="C48" s="321" t="s">
        <v>117</v>
      </c>
      <c r="D48" s="319" t="s">
        <v>707</v>
      </c>
      <c r="E48" s="315"/>
      <c r="F48" s="315"/>
      <c r="G48" s="315"/>
      <c r="H48" s="315"/>
      <c r="I48" s="314"/>
      <c r="J48" s="676">
        <f>'T4'!E112</f>
        <v>0</v>
      </c>
      <c r="K48" s="676">
        <f t="shared" si="0"/>
        <v>0</v>
      </c>
      <c r="L48" s="676">
        <f t="shared" si="1"/>
        <v>0</v>
      </c>
      <c r="M48" s="629"/>
      <c r="N48" s="1566"/>
    </row>
    <row r="49" spans="2:14" ht="18">
      <c r="B49" s="46"/>
      <c r="C49" s="321" t="s">
        <v>117</v>
      </c>
      <c r="D49" s="319" t="s">
        <v>665</v>
      </c>
      <c r="E49" s="315"/>
      <c r="F49" s="315"/>
      <c r="G49" s="315"/>
      <c r="H49" s="315"/>
      <c r="I49" s="314"/>
      <c r="J49" s="676">
        <f>+'T4'!E113</f>
        <v>0</v>
      </c>
      <c r="K49" s="676">
        <f t="shared" si="0"/>
        <v>0</v>
      </c>
      <c r="L49" s="676">
        <f t="shared" si="1"/>
        <v>0</v>
      </c>
      <c r="M49" s="629"/>
      <c r="N49" s="1566"/>
    </row>
    <row r="50" spans="2:14" ht="18">
      <c r="B50" s="46"/>
      <c r="C50" s="321" t="s">
        <v>117</v>
      </c>
      <c r="D50" s="319" t="s">
        <v>667</v>
      </c>
      <c r="E50" s="315"/>
      <c r="F50" s="315"/>
      <c r="G50" s="315"/>
      <c r="H50" s="315"/>
      <c r="I50" s="314"/>
      <c r="J50" s="676">
        <f>+'T4'!E114</f>
        <v>0</v>
      </c>
      <c r="K50" s="676">
        <f t="shared" si="0"/>
        <v>0</v>
      </c>
      <c r="L50" s="676">
        <f t="shared" si="1"/>
        <v>0</v>
      </c>
      <c r="M50" s="629"/>
      <c r="N50" s="1566"/>
    </row>
    <row r="51" spans="2:14" ht="18">
      <c r="B51" s="46"/>
      <c r="C51" s="321" t="s">
        <v>117</v>
      </c>
      <c r="D51" s="319" t="s">
        <v>2377</v>
      </c>
      <c r="E51" s="354">
        <f>IF(AND('T1 GEN-2-3-4'!K86&gt;55309,L37&gt;0),"See guide re income &amp; allowable deduction","")</f>
      </c>
      <c r="F51" s="353"/>
      <c r="G51" s="315"/>
      <c r="H51" s="315"/>
      <c r="I51" s="676">
        <f>+'T4A(OAS)'!E36</f>
        <v>0</v>
      </c>
      <c r="J51" s="676">
        <f>+'T5007'!E32</f>
        <v>0</v>
      </c>
      <c r="K51" s="676">
        <f t="shared" si="0"/>
        <v>0</v>
      </c>
      <c r="L51" s="676">
        <f t="shared" si="1"/>
        <v>0</v>
      </c>
      <c r="M51" s="629"/>
      <c r="N51" s="1566"/>
    </row>
    <row r="52" spans="2:14" ht="18">
      <c r="B52" s="46"/>
      <c r="C52" s="321" t="s">
        <v>117</v>
      </c>
      <c r="D52" s="319" t="s">
        <v>1767</v>
      </c>
      <c r="E52" s="315"/>
      <c r="F52" s="315"/>
      <c r="G52" s="315"/>
      <c r="H52" s="315"/>
      <c r="I52" s="314"/>
      <c r="J52" s="676">
        <f>'T4E'!E53</f>
        <v>0</v>
      </c>
      <c r="K52" s="676">
        <f t="shared" si="0"/>
        <v>0</v>
      </c>
      <c r="L52" s="676">
        <f t="shared" si="1"/>
        <v>0</v>
      </c>
      <c r="M52" s="629"/>
      <c r="N52" s="1566"/>
    </row>
    <row r="53" spans="2:14" ht="18">
      <c r="B53" s="46"/>
      <c r="C53" s="321"/>
      <c r="D53" s="319"/>
      <c r="E53" s="315"/>
      <c r="F53" s="315"/>
      <c r="G53" s="315"/>
      <c r="H53" s="315"/>
      <c r="I53" s="314"/>
      <c r="J53" s="314"/>
      <c r="K53" s="676"/>
      <c r="L53" s="676"/>
      <c r="M53" s="629"/>
      <c r="N53" s="1566"/>
    </row>
    <row r="54" spans="2:14" ht="18">
      <c r="B54" s="46"/>
      <c r="C54" s="321" t="s">
        <v>804</v>
      </c>
      <c r="D54" s="426" t="s">
        <v>817</v>
      </c>
      <c r="E54" s="316"/>
      <c r="F54" s="316"/>
      <c r="G54" s="316"/>
      <c r="H54" s="316"/>
      <c r="I54" s="456"/>
      <c r="J54" s="676">
        <f>+'T4RSP'!J54</f>
        <v>0</v>
      </c>
      <c r="K54" s="676">
        <f t="shared" si="0"/>
        <v>0</v>
      </c>
      <c r="L54" s="676">
        <f t="shared" si="1"/>
        <v>0</v>
      </c>
      <c r="M54" s="629"/>
      <c r="N54" s="1566"/>
    </row>
    <row r="55" spans="2:14" ht="18">
      <c r="B55" s="46"/>
      <c r="C55" s="321"/>
      <c r="D55" s="426"/>
      <c r="E55" s="316"/>
      <c r="F55" s="316"/>
      <c r="G55" s="316"/>
      <c r="H55" s="316"/>
      <c r="I55" s="456"/>
      <c r="J55" s="676"/>
      <c r="K55" s="676"/>
      <c r="L55" s="676"/>
      <c r="M55" s="629"/>
      <c r="N55" s="1566"/>
    </row>
    <row r="56" spans="2:14" ht="18">
      <c r="B56" s="46"/>
      <c r="C56" s="321" t="s">
        <v>1890</v>
      </c>
      <c r="D56" s="319" t="s">
        <v>1226</v>
      </c>
      <c r="E56" s="347"/>
      <c r="F56" s="347"/>
      <c r="G56" s="347"/>
      <c r="H56" s="347"/>
      <c r="I56" s="351"/>
      <c r="J56" s="676">
        <f>MIN('T2204'!I89,'T2204'!I92,'T2204'!I94)</f>
        <v>0</v>
      </c>
      <c r="K56" s="676">
        <f>SUM(E56:J56)</f>
        <v>0</v>
      </c>
      <c r="L56" s="676">
        <f t="shared" si="1"/>
        <v>0</v>
      </c>
      <c r="M56" s="629"/>
      <c r="N56" s="1566"/>
    </row>
    <row r="57" spans="2:14" ht="18">
      <c r="B57" s="46"/>
      <c r="C57" s="321" t="s">
        <v>1890</v>
      </c>
      <c r="D57" s="319" t="s">
        <v>568</v>
      </c>
      <c r="E57" s="316"/>
      <c r="F57" s="316"/>
      <c r="G57" s="316"/>
      <c r="H57" s="316"/>
      <c r="I57" s="456"/>
      <c r="J57" s="676">
        <f>'T4'!E116</f>
        <v>0</v>
      </c>
      <c r="K57" s="676">
        <f>SUM(E57:J57)</f>
        <v>0</v>
      </c>
      <c r="L57" s="676">
        <f t="shared" si="1"/>
        <v>0</v>
      </c>
      <c r="M57" s="629"/>
      <c r="N57" s="1566"/>
    </row>
    <row r="58" spans="2:14" ht="18">
      <c r="B58" s="46"/>
      <c r="C58" s="321" t="s">
        <v>1890</v>
      </c>
      <c r="D58" s="319" t="s">
        <v>563</v>
      </c>
      <c r="E58" s="316"/>
      <c r="F58" s="316"/>
      <c r="G58" s="316"/>
      <c r="H58" s="316"/>
      <c r="I58" s="456"/>
      <c r="J58" s="676">
        <f>'T4'!E117</f>
        <v>0</v>
      </c>
      <c r="K58" s="676">
        <f>SUM(E58:J58)</f>
        <v>0</v>
      </c>
      <c r="L58" s="676">
        <f t="shared" si="1"/>
        <v>0</v>
      </c>
      <c r="M58" s="629"/>
      <c r="N58" s="1566"/>
    </row>
    <row r="59" spans="2:14" ht="18">
      <c r="B59" s="46"/>
      <c r="C59" s="321" t="s">
        <v>1890</v>
      </c>
      <c r="D59" s="319" t="s">
        <v>2379</v>
      </c>
      <c r="E59" s="316"/>
      <c r="F59" s="316"/>
      <c r="G59" s="316"/>
      <c r="H59" s="1146">
        <f>0.189655*SUM('Sch4-2'!E35:E49)</f>
        <v>0</v>
      </c>
      <c r="I59" s="1145">
        <f>0.133333*SUM('Sch4-2'!E13:E27)</f>
        <v>0</v>
      </c>
      <c r="J59" s="676">
        <f>'T4PS'!E56</f>
        <v>0</v>
      </c>
      <c r="K59" s="676">
        <f t="shared" si="0"/>
        <v>0</v>
      </c>
      <c r="L59" s="676">
        <f t="shared" si="1"/>
        <v>0</v>
      </c>
      <c r="M59" s="629"/>
      <c r="N59" s="1566"/>
    </row>
    <row r="60" spans="2:14" ht="18">
      <c r="B60" s="46"/>
      <c r="C60" s="321" t="s">
        <v>1064</v>
      </c>
      <c r="D60" s="319" t="s">
        <v>2380</v>
      </c>
      <c r="E60" s="316"/>
      <c r="F60" s="316"/>
      <c r="G60" s="316"/>
      <c r="H60" s="316"/>
      <c r="I60" s="456"/>
      <c r="J60" s="676">
        <f>'T4PS'!E57</f>
        <v>0</v>
      </c>
      <c r="K60" s="676">
        <f t="shared" si="0"/>
        <v>0</v>
      </c>
      <c r="L60" s="676">
        <f t="shared" si="1"/>
        <v>0</v>
      </c>
      <c r="M60" s="629"/>
      <c r="N60" s="1566"/>
    </row>
    <row r="61" spans="2:14" ht="18.75" thickBot="1">
      <c r="B61" s="46"/>
      <c r="C61" s="521" t="s">
        <v>1064</v>
      </c>
      <c r="D61" s="522" t="s">
        <v>2381</v>
      </c>
      <c r="E61" s="523"/>
      <c r="F61" s="523"/>
      <c r="G61" s="523"/>
      <c r="H61" s="523"/>
      <c r="I61" s="524"/>
      <c r="J61" s="676">
        <f>'T4PS'!E58</f>
        <v>0</v>
      </c>
      <c r="K61" s="677">
        <f t="shared" si="0"/>
        <v>0</v>
      </c>
      <c r="L61" s="677">
        <f t="shared" si="1"/>
        <v>0</v>
      </c>
      <c r="M61" s="629"/>
      <c r="N61" s="1566"/>
    </row>
    <row r="62" spans="2:14" ht="18">
      <c r="B62" s="46"/>
      <c r="C62" s="525" t="s">
        <v>2067</v>
      </c>
      <c r="D62" s="526" t="s">
        <v>1230</v>
      </c>
      <c r="E62" s="527"/>
      <c r="F62" s="528"/>
      <c r="G62" s="678">
        <f>IF('T1032E'!N101&gt;0,-'T1032E'!N101,'T1032E'!N140)</f>
        <v>0</v>
      </c>
      <c r="H62" s="678">
        <f>+'T4A(OAS)'!E37</f>
        <v>0</v>
      </c>
      <c r="I62" s="679">
        <f>+'T4E'!E55</f>
        <v>0</v>
      </c>
      <c r="J62" s="676">
        <f>'T4A'!E61</f>
        <v>0</v>
      </c>
      <c r="K62" s="679">
        <f>SUM(E62:J63)</f>
        <v>0</v>
      </c>
      <c r="L62" s="680">
        <f t="shared" si="1"/>
        <v>0</v>
      </c>
      <c r="M62" s="629"/>
      <c r="N62" s="1566"/>
    </row>
    <row r="63" spans="2:14" ht="18.75" thickBot="1">
      <c r="B63" s="46"/>
      <c r="C63" s="529" t="s">
        <v>2067</v>
      </c>
      <c r="D63" s="530" t="s">
        <v>1230</v>
      </c>
      <c r="E63" s="533"/>
      <c r="F63" s="533"/>
      <c r="G63" s="569">
        <f>'T4A(P)'!E29</f>
        <v>0</v>
      </c>
      <c r="H63" s="569">
        <f>'T4RIF'!J57</f>
        <v>0</v>
      </c>
      <c r="I63" s="681">
        <f>'T4RSP'!J67</f>
        <v>0</v>
      </c>
      <c r="J63" s="676">
        <f>'T4'!E115</f>
        <v>0</v>
      </c>
      <c r="K63" s="531"/>
      <c r="L63" s="532"/>
      <c r="M63" s="629"/>
      <c r="N63" s="1566"/>
    </row>
    <row r="64" spans="2:14" ht="18">
      <c r="B64" s="46"/>
      <c r="C64" s="320"/>
      <c r="D64" s="318"/>
      <c r="E64" s="351"/>
      <c r="F64" s="351"/>
      <c r="G64" s="351"/>
      <c r="H64" s="351"/>
      <c r="I64" s="351"/>
      <c r="J64" s="351"/>
      <c r="K64" s="351"/>
      <c r="L64" s="351"/>
      <c r="M64" s="629"/>
      <c r="N64" s="1566"/>
    </row>
    <row r="65" spans="2:14" ht="18">
      <c r="B65" s="46"/>
      <c r="C65" s="321" t="s">
        <v>2067</v>
      </c>
      <c r="D65" s="318" t="s">
        <v>1435</v>
      </c>
      <c r="E65" s="315"/>
      <c r="F65" s="315"/>
      <c r="G65" s="315"/>
      <c r="H65" s="315"/>
      <c r="I65" s="314"/>
      <c r="J65" s="676">
        <f>IF('T2204'!I97&gt;1,'T2204'!I97,0)</f>
        <v>0</v>
      </c>
      <c r="K65" s="676">
        <f>SUM(E65:J65)</f>
        <v>0</v>
      </c>
      <c r="L65" s="676">
        <f t="shared" si="1"/>
        <v>0</v>
      </c>
      <c r="M65" s="629"/>
      <c r="N65" s="1566"/>
    </row>
    <row r="66" spans="2:14" ht="18">
      <c r="B66" s="46"/>
      <c r="C66" s="321" t="s">
        <v>2067</v>
      </c>
      <c r="D66" s="319" t="s">
        <v>2382</v>
      </c>
      <c r="E66" s="315"/>
      <c r="F66" s="315"/>
      <c r="G66" s="315"/>
      <c r="H66" s="315"/>
      <c r="I66" s="314"/>
      <c r="J66" s="314"/>
      <c r="K66" s="676">
        <f t="shared" si="0"/>
        <v>0</v>
      </c>
      <c r="L66" s="676">
        <f t="shared" si="1"/>
        <v>0</v>
      </c>
      <c r="M66" s="629"/>
      <c r="N66" s="1566"/>
    </row>
    <row r="67" spans="2:14" ht="18">
      <c r="B67" s="46"/>
      <c r="C67" s="321" t="s">
        <v>2378</v>
      </c>
      <c r="D67" s="319" t="s">
        <v>2383</v>
      </c>
      <c r="E67" s="315"/>
      <c r="F67" s="315"/>
      <c r="G67" s="315"/>
      <c r="H67" s="315"/>
      <c r="I67" s="314"/>
      <c r="J67" s="314"/>
      <c r="K67" s="676">
        <f t="shared" si="0"/>
        <v>0</v>
      </c>
      <c r="L67" s="676">
        <f t="shared" si="1"/>
        <v>0</v>
      </c>
      <c r="M67" s="629"/>
      <c r="N67" s="1566"/>
    </row>
    <row r="68" spans="2:14" ht="18">
      <c r="B68" s="46"/>
      <c r="C68" s="321" t="s">
        <v>2378</v>
      </c>
      <c r="D68" s="319" t="s">
        <v>53</v>
      </c>
      <c r="E68" s="315"/>
      <c r="F68" s="315"/>
      <c r="G68" s="315"/>
      <c r="H68" s="315"/>
      <c r="I68" s="314"/>
      <c r="J68" s="314"/>
      <c r="K68" s="676">
        <f t="shared" si="0"/>
        <v>0</v>
      </c>
      <c r="L68" s="676">
        <f t="shared" si="1"/>
        <v>0</v>
      </c>
      <c r="M68" s="629"/>
      <c r="N68" s="1566"/>
    </row>
    <row r="69" spans="2:14" ht="18">
      <c r="B69" s="46"/>
      <c r="C69" s="321" t="s">
        <v>2378</v>
      </c>
      <c r="D69" s="319" t="s">
        <v>1691</v>
      </c>
      <c r="E69" s="315"/>
      <c r="F69" s="315"/>
      <c r="G69" s="315"/>
      <c r="H69" s="315"/>
      <c r="I69" s="314"/>
      <c r="J69" s="314"/>
      <c r="K69" s="676">
        <f t="shared" si="0"/>
        <v>0</v>
      </c>
      <c r="L69" s="676">
        <f t="shared" si="1"/>
        <v>0</v>
      </c>
      <c r="M69" s="629"/>
      <c r="N69" s="1566"/>
    </row>
    <row r="70" spans="2:14" ht="18">
      <c r="B70" s="46"/>
      <c r="C70" s="321" t="s">
        <v>2378</v>
      </c>
      <c r="D70" s="319" t="s">
        <v>54</v>
      </c>
      <c r="E70" s="315"/>
      <c r="F70" s="315"/>
      <c r="G70" s="315"/>
      <c r="H70" s="315"/>
      <c r="I70" s="314"/>
      <c r="J70" s="676">
        <f>+'T4PS'!E59</f>
        <v>0</v>
      </c>
      <c r="K70" s="676">
        <f t="shared" si="0"/>
        <v>0</v>
      </c>
      <c r="L70" s="676">
        <f t="shared" si="1"/>
        <v>0</v>
      </c>
      <c r="M70" s="629"/>
      <c r="N70" s="1566"/>
    </row>
    <row r="71" spans="2:14" ht="18">
      <c r="B71" s="46"/>
      <c r="C71" s="321" t="s">
        <v>2378</v>
      </c>
      <c r="D71" s="319" t="s">
        <v>1692</v>
      </c>
      <c r="E71" s="315"/>
      <c r="F71" s="315"/>
      <c r="G71" s="315"/>
      <c r="H71" s="315"/>
      <c r="I71" s="314"/>
      <c r="J71" s="314"/>
      <c r="K71" s="676">
        <f t="shared" si="0"/>
        <v>0</v>
      </c>
      <c r="L71" s="676">
        <f t="shared" si="1"/>
        <v>0</v>
      </c>
      <c r="M71" s="629"/>
      <c r="N71" s="1566"/>
    </row>
    <row r="72" spans="2:14" ht="18">
      <c r="B72" s="46"/>
      <c r="C72" s="321" t="s">
        <v>55</v>
      </c>
      <c r="D72" s="319" t="s">
        <v>803</v>
      </c>
      <c r="E72" s="315"/>
      <c r="F72" s="315"/>
      <c r="G72" s="315"/>
      <c r="H72" s="315"/>
      <c r="I72" s="314"/>
      <c r="J72" s="314"/>
      <c r="K72" s="676">
        <f t="shared" si="0"/>
        <v>0</v>
      </c>
      <c r="L72" s="676">
        <f t="shared" si="1"/>
        <v>0</v>
      </c>
      <c r="M72" s="629"/>
      <c r="N72" s="1566"/>
    </row>
    <row r="73" spans="2:14" ht="18">
      <c r="B73" s="46"/>
      <c r="C73" s="321" t="s">
        <v>56</v>
      </c>
      <c r="D73" s="319" t="s">
        <v>126</v>
      </c>
      <c r="E73" s="315"/>
      <c r="F73" s="315"/>
      <c r="G73" s="315"/>
      <c r="H73" s="315"/>
      <c r="I73" s="314"/>
      <c r="J73" s="676">
        <f>'T4RSP'!J69</f>
        <v>0</v>
      </c>
      <c r="K73" s="676">
        <f t="shared" si="0"/>
        <v>0</v>
      </c>
      <c r="L73" s="676">
        <f t="shared" si="1"/>
        <v>0</v>
      </c>
      <c r="M73" s="629"/>
      <c r="N73" s="1566"/>
    </row>
    <row r="74" spans="2:14" ht="18">
      <c r="B74" s="46"/>
      <c r="C74" s="321" t="s">
        <v>56</v>
      </c>
      <c r="D74" s="319" t="s">
        <v>1224</v>
      </c>
      <c r="E74" s="315"/>
      <c r="F74" s="315"/>
      <c r="G74" s="315"/>
      <c r="H74" s="315"/>
      <c r="I74" s="314"/>
      <c r="J74" s="676">
        <f>'T4RSP'!J70</f>
        <v>0</v>
      </c>
      <c r="K74" s="676">
        <f>SUM(E74:J74)</f>
        <v>0</v>
      </c>
      <c r="L74" s="676">
        <f t="shared" si="1"/>
        <v>0</v>
      </c>
      <c r="M74" s="629"/>
      <c r="N74" s="1566"/>
    </row>
    <row r="75" spans="2:14" ht="18">
      <c r="B75" s="46"/>
      <c r="C75" s="321" t="s">
        <v>1891</v>
      </c>
      <c r="D75" s="319" t="s">
        <v>1316</v>
      </c>
      <c r="E75" s="315"/>
      <c r="F75" s="315"/>
      <c r="G75" s="315"/>
      <c r="H75" s="315"/>
      <c r="I75" s="314"/>
      <c r="J75" s="676">
        <f>+'T4'!E118</f>
        <v>0</v>
      </c>
      <c r="K75" s="676">
        <f t="shared" si="0"/>
        <v>0</v>
      </c>
      <c r="L75" s="676">
        <f t="shared" si="1"/>
        <v>0</v>
      </c>
      <c r="M75" s="629"/>
      <c r="N75" s="1566"/>
    </row>
    <row r="76" spans="2:14" ht="18">
      <c r="B76" s="46"/>
      <c r="C76" s="321" t="s">
        <v>1891</v>
      </c>
      <c r="D76" s="319" t="s">
        <v>195</v>
      </c>
      <c r="E76" s="315"/>
      <c r="F76" s="315"/>
      <c r="G76" s="315"/>
      <c r="H76" s="315"/>
      <c r="I76" s="314"/>
      <c r="J76" s="676">
        <f>+'T4'!E119</f>
        <v>0</v>
      </c>
      <c r="K76" s="676">
        <f t="shared" si="0"/>
        <v>0</v>
      </c>
      <c r="L76" s="676">
        <f t="shared" si="1"/>
        <v>0</v>
      </c>
      <c r="M76" s="629"/>
      <c r="N76" s="1566"/>
    </row>
    <row r="77" spans="2:14" ht="18">
      <c r="B77" s="46"/>
      <c r="C77" s="321" t="s">
        <v>2068</v>
      </c>
      <c r="D77" s="319" t="s">
        <v>1281</v>
      </c>
      <c r="E77" s="315"/>
      <c r="F77" s="315"/>
      <c r="G77" s="315"/>
      <c r="H77" s="315"/>
      <c r="I77" s="676">
        <f>+'T4'!E120</f>
        <v>0</v>
      </c>
      <c r="J77" s="676">
        <f>+'T4A'!E62</f>
        <v>0</v>
      </c>
      <c r="K77" s="676">
        <f t="shared" si="0"/>
        <v>0</v>
      </c>
      <c r="L77" s="676">
        <f t="shared" si="1"/>
        <v>0</v>
      </c>
      <c r="M77" s="629"/>
      <c r="N77" s="1566"/>
    </row>
    <row r="78" spans="2:14" ht="18">
      <c r="B78" s="46"/>
      <c r="C78" s="321" t="s">
        <v>2068</v>
      </c>
      <c r="D78" s="319" t="s">
        <v>57</v>
      </c>
      <c r="E78" s="315"/>
      <c r="F78" s="315"/>
      <c r="G78" s="315"/>
      <c r="H78" s="315"/>
      <c r="I78" s="314"/>
      <c r="J78" s="314"/>
      <c r="K78" s="676">
        <f t="shared" si="0"/>
        <v>0</v>
      </c>
      <c r="L78" s="676">
        <f t="shared" si="1"/>
        <v>0</v>
      </c>
      <c r="M78" s="629"/>
      <c r="N78" s="1566"/>
    </row>
    <row r="79" spans="2:14" ht="18">
      <c r="B79" s="46"/>
      <c r="C79" s="321" t="s">
        <v>2068</v>
      </c>
      <c r="D79" s="319" t="s">
        <v>58</v>
      </c>
      <c r="E79" s="315"/>
      <c r="F79" s="315"/>
      <c r="G79" s="315"/>
      <c r="H79" s="315"/>
      <c r="I79" s="314"/>
      <c r="J79" s="314"/>
      <c r="K79" s="676">
        <f t="shared" si="0"/>
        <v>0</v>
      </c>
      <c r="L79" s="676">
        <f t="shared" si="1"/>
        <v>0</v>
      </c>
      <c r="M79" s="629"/>
      <c r="N79" s="1566"/>
    </row>
    <row r="80" spans="2:14" ht="18">
      <c r="B80" s="46"/>
      <c r="C80" s="321" t="s">
        <v>2068</v>
      </c>
      <c r="D80" s="319" t="s">
        <v>59</v>
      </c>
      <c r="E80" s="315"/>
      <c r="F80" s="315"/>
      <c r="G80" s="315"/>
      <c r="H80" s="315"/>
      <c r="I80" s="314"/>
      <c r="J80" s="314"/>
      <c r="K80" s="676">
        <f t="shared" si="0"/>
        <v>0</v>
      </c>
      <c r="L80" s="676">
        <f t="shared" si="1"/>
        <v>0</v>
      </c>
      <c r="M80" s="629"/>
      <c r="N80" s="1566"/>
    </row>
    <row r="81" spans="2:14" ht="18">
      <c r="B81" s="46"/>
      <c r="C81" s="321" t="s">
        <v>60</v>
      </c>
      <c r="D81" s="319"/>
      <c r="E81" s="315"/>
      <c r="F81" s="315"/>
      <c r="G81" s="315"/>
      <c r="H81" s="315"/>
      <c r="I81" s="314"/>
      <c r="J81" s="314"/>
      <c r="K81" s="676">
        <f t="shared" si="0"/>
        <v>0</v>
      </c>
      <c r="L81" s="676">
        <f t="shared" si="1"/>
        <v>0</v>
      </c>
      <c r="M81" s="629"/>
      <c r="N81" s="1566"/>
    </row>
    <row r="82" spans="2:14" ht="18">
      <c r="B82" s="46"/>
      <c r="C82" s="321" t="s">
        <v>806</v>
      </c>
      <c r="D82" s="319"/>
      <c r="E82" s="315"/>
      <c r="F82" s="315"/>
      <c r="G82" s="315"/>
      <c r="H82" s="315"/>
      <c r="I82" s="314"/>
      <c r="J82" s="676">
        <f>+'T4A'!E63</f>
        <v>0</v>
      </c>
      <c r="K82" s="676">
        <f t="shared" si="0"/>
        <v>0</v>
      </c>
      <c r="L82" s="676">
        <f t="shared" si="1"/>
        <v>0</v>
      </c>
      <c r="M82" s="629"/>
      <c r="N82" s="1566"/>
    </row>
    <row r="83" spans="2:14" ht="18">
      <c r="B83" s="46"/>
      <c r="C83" s="321" t="s">
        <v>1063</v>
      </c>
      <c r="D83" s="319" t="s">
        <v>1737</v>
      </c>
      <c r="E83" s="315"/>
      <c r="F83" s="315"/>
      <c r="G83" s="315"/>
      <c r="H83" s="315"/>
      <c r="I83" s="314"/>
      <c r="J83" s="676">
        <f>+'T4'!E121</f>
        <v>0</v>
      </c>
      <c r="K83" s="676">
        <f t="shared" si="0"/>
        <v>0</v>
      </c>
      <c r="L83" s="676">
        <f t="shared" si="1"/>
        <v>0</v>
      </c>
      <c r="M83" s="629"/>
      <c r="N83" s="1566"/>
    </row>
    <row r="84" spans="2:14" ht="18">
      <c r="B84" s="46"/>
      <c r="C84" s="321" t="s">
        <v>805</v>
      </c>
      <c r="D84" s="319"/>
      <c r="E84" s="315"/>
      <c r="F84" s="315"/>
      <c r="G84" s="315"/>
      <c r="H84" s="315"/>
      <c r="I84" s="314"/>
      <c r="J84" s="314"/>
      <c r="K84" s="676">
        <f t="shared" si="0"/>
        <v>0</v>
      </c>
      <c r="L84" s="676">
        <f t="shared" si="1"/>
        <v>0</v>
      </c>
      <c r="M84" s="629"/>
      <c r="N84" s="1566"/>
    </row>
    <row r="85" spans="2:14" ht="18">
      <c r="B85" s="46"/>
      <c r="C85" s="321" t="s">
        <v>820</v>
      </c>
      <c r="D85" s="319" t="s">
        <v>1583</v>
      </c>
      <c r="E85" s="1468"/>
      <c r="F85" s="1468"/>
      <c r="G85" s="1468"/>
      <c r="H85" s="1468"/>
      <c r="I85" s="1469"/>
      <c r="J85" s="676">
        <f>+'T4'!E122</f>
        <v>0</v>
      </c>
      <c r="K85" s="676">
        <f t="shared" si="0"/>
        <v>0</v>
      </c>
      <c r="L85" s="676">
        <f t="shared" si="1"/>
        <v>0</v>
      </c>
      <c r="M85" s="629"/>
      <c r="N85" s="1566"/>
    </row>
    <row r="86" spans="2:14" ht="18">
      <c r="B86" s="46"/>
      <c r="C86" s="321" t="s">
        <v>820</v>
      </c>
      <c r="D86" s="319" t="s">
        <v>1836</v>
      </c>
      <c r="E86" s="1468"/>
      <c r="F86" s="1468"/>
      <c r="G86" s="1468"/>
      <c r="H86" s="1468"/>
      <c r="I86" s="1469"/>
      <c r="J86" s="676">
        <f>'T4'!E123</f>
        <v>0</v>
      </c>
      <c r="K86" s="676">
        <f t="shared" si="0"/>
        <v>0</v>
      </c>
      <c r="L86" s="676">
        <f t="shared" si="1"/>
        <v>0</v>
      </c>
      <c r="M86" s="629"/>
      <c r="N86" s="1566"/>
    </row>
    <row r="87" spans="2:14" ht="18">
      <c r="B87" s="46"/>
      <c r="C87" s="321" t="s">
        <v>820</v>
      </c>
      <c r="D87" s="319" t="s">
        <v>2017</v>
      </c>
      <c r="E87" s="1468"/>
      <c r="F87" s="1468"/>
      <c r="G87" s="1468"/>
      <c r="H87" s="1468"/>
      <c r="I87" s="1468"/>
      <c r="J87" s="676">
        <f>+'T4'!E124</f>
        <v>0</v>
      </c>
      <c r="K87" s="676">
        <f>SUM(E87:J87)</f>
        <v>0</v>
      </c>
      <c r="L87" s="676">
        <f t="shared" si="1"/>
        <v>0</v>
      </c>
      <c r="M87" s="629"/>
      <c r="N87" s="1566"/>
    </row>
    <row r="88" spans="2:14" ht="18">
      <c r="B88" s="46"/>
      <c r="C88" s="321" t="s">
        <v>820</v>
      </c>
      <c r="D88" s="319" t="s">
        <v>1901</v>
      </c>
      <c r="E88" s="1468"/>
      <c r="F88" s="1468"/>
      <c r="G88" s="1468"/>
      <c r="H88" s="1468"/>
      <c r="I88" s="1468"/>
      <c r="J88" s="676">
        <f>'T4'!E125</f>
        <v>0</v>
      </c>
      <c r="K88" s="676">
        <f>SUM(E88:J88)</f>
        <v>0</v>
      </c>
      <c r="L88" s="676">
        <f t="shared" si="1"/>
        <v>0</v>
      </c>
      <c r="M88" s="629"/>
      <c r="N88" s="1566"/>
    </row>
    <row r="89" spans="2:14" ht="18">
      <c r="B89" s="46"/>
      <c r="C89" s="321"/>
      <c r="D89" s="319"/>
      <c r="E89" s="315"/>
      <c r="F89" s="315"/>
      <c r="G89" s="315"/>
      <c r="H89" s="315"/>
      <c r="I89" s="314"/>
      <c r="J89" s="314"/>
      <c r="K89" s="676"/>
      <c r="L89" s="676"/>
      <c r="M89" s="629"/>
      <c r="N89" s="1566"/>
    </row>
    <row r="90" spans="2:14" ht="18">
      <c r="B90" s="46"/>
      <c r="C90" s="321" t="s">
        <v>1064</v>
      </c>
      <c r="D90" s="319"/>
      <c r="E90" s="315"/>
      <c r="F90" s="315"/>
      <c r="G90" s="315"/>
      <c r="H90" s="315"/>
      <c r="I90" s="314"/>
      <c r="J90" s="314"/>
      <c r="K90" s="676">
        <f t="shared" si="0"/>
        <v>0</v>
      </c>
      <c r="L90" s="676">
        <f t="shared" si="1"/>
        <v>0</v>
      </c>
      <c r="M90" s="629"/>
      <c r="N90" s="1566"/>
    </row>
    <row r="91" spans="2:14" ht="18">
      <c r="B91" s="46"/>
      <c r="C91" s="321" t="s">
        <v>1547</v>
      </c>
      <c r="D91" s="319"/>
      <c r="E91" s="315"/>
      <c r="F91" s="315"/>
      <c r="G91" s="315"/>
      <c r="H91" s="315"/>
      <c r="I91" s="314"/>
      <c r="J91" s="314"/>
      <c r="K91" s="676">
        <f t="shared" si="0"/>
        <v>0</v>
      </c>
      <c r="L91" s="676">
        <f t="shared" si="1"/>
        <v>0</v>
      </c>
      <c r="M91" s="629"/>
      <c r="N91" s="1566"/>
    </row>
    <row r="92" spans="2:14" ht="18">
      <c r="B92" s="46"/>
      <c r="C92" s="321" t="s">
        <v>819</v>
      </c>
      <c r="D92" s="319" t="s">
        <v>461</v>
      </c>
      <c r="E92" s="315"/>
      <c r="F92" s="315"/>
      <c r="G92" s="315"/>
      <c r="H92" s="315"/>
      <c r="I92" s="314"/>
      <c r="J92" s="314"/>
      <c r="K92" s="676">
        <f t="shared" si="0"/>
        <v>0</v>
      </c>
      <c r="L92" s="676">
        <f t="shared" si="1"/>
        <v>0</v>
      </c>
      <c r="M92" s="629"/>
      <c r="N92" s="1566"/>
    </row>
    <row r="93" spans="2:14" ht="18">
      <c r="B93" s="46"/>
      <c r="C93" s="321"/>
      <c r="D93" s="319"/>
      <c r="E93" s="315"/>
      <c r="F93" s="315"/>
      <c r="G93" s="315"/>
      <c r="H93" s="315"/>
      <c r="I93" s="314"/>
      <c r="J93" s="314"/>
      <c r="K93" s="676"/>
      <c r="L93" s="676"/>
      <c r="M93" s="629"/>
      <c r="N93" s="1566"/>
    </row>
    <row r="94" spans="2:14" ht="18">
      <c r="B94" s="46"/>
      <c r="C94" s="49"/>
      <c r="D94" s="46"/>
      <c r="E94" s="51"/>
      <c r="F94" s="48"/>
      <c r="G94" s="48"/>
      <c r="H94" s="635"/>
      <c r="I94" s="635"/>
      <c r="J94" s="635"/>
      <c r="K94" s="48"/>
      <c r="L94" s="636"/>
      <c r="M94" s="629"/>
      <c r="N94" s="1566"/>
    </row>
    <row r="95" spans="2:14" ht="18">
      <c r="B95" s="46"/>
      <c r="C95" s="348" t="s">
        <v>887</v>
      </c>
      <c r="D95" s="46"/>
      <c r="E95" s="51"/>
      <c r="F95" s="48"/>
      <c r="G95" s="48"/>
      <c r="H95" s="635"/>
      <c r="I95" s="635"/>
      <c r="J95" s="635"/>
      <c r="K95" s="48"/>
      <c r="L95" s="636"/>
      <c r="M95" s="629"/>
      <c r="N95" s="1566"/>
    </row>
  </sheetData>
  <sheetProtection password="EC35" sheet="1" objects="1" scenarios="1"/>
  <mergeCells count="1">
    <mergeCell ref="N1:N95"/>
  </mergeCells>
  <printOptions horizontalCentered="1"/>
  <pageMargins left="0" right="0" top="0.5" bottom="0.25" header="0.5" footer="0.5"/>
  <pageSetup fitToHeight="0" fitToWidth="1" horizontalDpi="600" verticalDpi="600" orientation="landscape" scale="77" r:id="rId3"/>
  <legacyDrawing r:id="rId2"/>
</worksheet>
</file>

<file path=xl/worksheets/sheet43.xml><?xml version="1.0" encoding="utf-8"?>
<worksheet xmlns="http://schemas.openxmlformats.org/spreadsheetml/2006/main" xmlns:r="http://schemas.openxmlformats.org/officeDocument/2006/relationships">
  <dimension ref="A2:E35"/>
  <sheetViews>
    <sheetView zoomScalePageLayoutView="0" workbookViewId="0" topLeftCell="A1">
      <selection activeCell="A1" sqref="A1"/>
    </sheetView>
  </sheetViews>
  <sheetFormatPr defaultColWidth="8.88671875" defaultRowHeight="15"/>
  <sheetData>
    <row r="2" ht="15">
      <c r="A2" t="s">
        <v>252</v>
      </c>
    </row>
    <row r="3" spans="1:2" ht="15">
      <c r="A3" t="s">
        <v>413</v>
      </c>
      <c r="B3" s="1489" t="s">
        <v>248</v>
      </c>
    </row>
    <row r="4" spans="1:2" ht="15">
      <c r="A4" t="s">
        <v>135</v>
      </c>
      <c r="B4" s="1489" t="s">
        <v>250</v>
      </c>
    </row>
    <row r="5" spans="1:2" ht="15">
      <c r="A5" t="s">
        <v>249</v>
      </c>
      <c r="B5" s="1489" t="s">
        <v>251</v>
      </c>
    </row>
    <row r="6" spans="1:2" ht="15">
      <c r="A6" s="1494" t="s">
        <v>253</v>
      </c>
      <c r="B6" s="1489" t="str">
        <f>IF(Province="ON",ONTEXT,(IF(Province="BC",BCTEXT,OTHERTEXT)))</f>
        <v>Are you applying for the GST/HST credit?</v>
      </c>
    </row>
    <row r="8" spans="1:2" ht="15">
      <c r="A8" s="1440">
        <f>year+1</f>
        <v>2010</v>
      </c>
      <c r="B8" s="1440" t="str">
        <f>TEXT(nextyear,"0000")</f>
        <v>2010</v>
      </c>
    </row>
    <row r="9" spans="1:2" ht="15">
      <c r="A9" s="1439">
        <f>year+1</f>
        <v>2010</v>
      </c>
      <c r="B9" s="1439" t="str">
        <f>TEXT(yearplus1,"0000")</f>
        <v>2010</v>
      </c>
    </row>
    <row r="10" spans="1:2" ht="15">
      <c r="A10" s="1439"/>
      <c r="B10" s="1440" t="str">
        <f>TEXT(year,"0000")</f>
        <v>2009</v>
      </c>
    </row>
    <row r="11" spans="1:2" ht="15">
      <c r="A11" s="1440">
        <f>year-1</f>
        <v>2008</v>
      </c>
      <c r="B11" s="1440" t="str">
        <f>TEXT(lastyear,"0000")</f>
        <v>2008</v>
      </c>
    </row>
    <row r="12" spans="1:2" ht="15">
      <c r="A12" s="1440">
        <f>year-2</f>
        <v>2007</v>
      </c>
      <c r="B12" s="1440" t="str">
        <f>TEXT(yearminus2,"0000")</f>
        <v>2007</v>
      </c>
    </row>
    <row r="13" spans="1:2" ht="15">
      <c r="A13" s="1440">
        <f>year-3</f>
        <v>2006</v>
      </c>
      <c r="B13" s="1440" t="str">
        <f>TEXT(yearminus3,"0000")</f>
        <v>2006</v>
      </c>
    </row>
    <row r="14" spans="1:2" ht="15">
      <c r="A14" s="1440">
        <f>year-6</f>
        <v>2003</v>
      </c>
      <c r="B14" s="1440" t="str">
        <f>TEXT(year6,"0000")</f>
        <v>2003</v>
      </c>
    </row>
    <row r="15" spans="1:2" ht="15">
      <c r="A15" s="1440">
        <f>year6-1</f>
        <v>2002</v>
      </c>
      <c r="B15" s="1440" t="str">
        <f>TEXT(year7,"0000")</f>
        <v>2002</v>
      </c>
    </row>
    <row r="16" spans="1:2" ht="15">
      <c r="A16" s="1440">
        <f>year18+2</f>
        <v>1993</v>
      </c>
      <c r="B16" s="1440" t="str">
        <f>TEXT(year16,"0000")</f>
        <v>1993</v>
      </c>
    </row>
    <row r="17" spans="1:2" ht="15">
      <c r="A17" s="1440">
        <f>year18+1</f>
        <v>1992</v>
      </c>
      <c r="B17" s="1440" t="str">
        <f>TEXT(year17,"0000")</f>
        <v>1992</v>
      </c>
    </row>
    <row r="18" spans="1:2" ht="15">
      <c r="A18" s="1492">
        <f>year-18</f>
        <v>1991</v>
      </c>
      <c r="B18" s="1492" t="str">
        <f>TEXT(year18,"0000")</f>
        <v>1991</v>
      </c>
    </row>
    <row r="19" spans="1:2" ht="15">
      <c r="A19" s="1492">
        <f>year-70</f>
        <v>1939</v>
      </c>
      <c r="B19" s="1492" t="str">
        <f>TEXT(year70,"0000")</f>
        <v>1939</v>
      </c>
    </row>
    <row r="20" ht="15">
      <c r="B20" s="1440"/>
    </row>
    <row r="22" spans="1:2" ht="15">
      <c r="A22" s="1440">
        <f>year-65</f>
        <v>1944</v>
      </c>
      <c r="B22" s="1440" t="str">
        <f>TEXT(year65,"0000")</f>
        <v>1944</v>
      </c>
    </row>
    <row r="23" ht="15">
      <c r="A23" s="1441">
        <f>year-'T1 GEN-1'!T14</f>
        <v>39</v>
      </c>
    </row>
    <row r="24" ht="15">
      <c r="A24" s="1490">
        <f>DATE(year,12,31)-DATE(year,1,1)+1</f>
        <v>365</v>
      </c>
    </row>
    <row r="25" ht="15">
      <c r="A25" s="1491">
        <f>MIN(fract1,fract2)</f>
        <v>1</v>
      </c>
    </row>
    <row r="26" ht="15">
      <c r="A26" s="1491">
        <f>IF(('T1 GEN-1'!E40+'T1 GEN-1'!F40)=0,1,(DATE(year,12,31)-DATE(year,'T1 GEN-1'!E40,'T1 GEN-1'!F40)+1)/daysinyear)</f>
        <v>1</v>
      </c>
    </row>
    <row r="27" ht="15">
      <c r="A27" s="1491">
        <f>IF(('T1 GEN-1'!I40+'T1 GEN-1'!J40)=0,1,(DATE(year,'T1 GEN-1'!I40,'T1 GEN-1'!J40)-DATE(year,1,1)+1)/daysinyear)</f>
        <v>1</v>
      </c>
    </row>
    <row r="29" ht="15">
      <c r="A29" t="s">
        <v>2618</v>
      </c>
    </row>
    <row r="31" spans="1:5" ht="15">
      <c r="A31" t="s">
        <v>2619</v>
      </c>
      <c r="E31" s="1559">
        <f>IF(age&gt;70,0,12)</f>
        <v>12</v>
      </c>
    </row>
    <row r="32" spans="1:5" ht="15">
      <c r="A32" t="s">
        <v>2620</v>
      </c>
      <c r="E32" s="1559">
        <f>IF(age=70,birthmonth,12)</f>
        <v>12</v>
      </c>
    </row>
    <row r="33" spans="1:5" ht="15">
      <c r="A33" t="s">
        <v>2621</v>
      </c>
      <c r="E33" s="1559">
        <f>IF(age=18,12-birthmonth,12)</f>
        <v>12</v>
      </c>
    </row>
    <row r="34" spans="1:5" ht="15">
      <c r="A34" t="s">
        <v>2622</v>
      </c>
      <c r="E34" s="1559">
        <f>IF(age&lt;18,0,12)</f>
        <v>12</v>
      </c>
    </row>
    <row r="35" spans="1:5" ht="15">
      <c r="A35" t="s">
        <v>2623</v>
      </c>
      <c r="E35" s="1559">
        <f>MIN(E31:E34)</f>
        <v>12</v>
      </c>
    </row>
  </sheetData>
  <sheetProtection password="EC35" sheet="1" objects="1" scenarios="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A1" sqref="A1"/>
    </sheetView>
  </sheetViews>
  <sheetFormatPr defaultColWidth="7.10546875" defaultRowHeight="15"/>
  <cols>
    <col min="1" max="1" width="7.10546875" style="457" customWidth="1"/>
    <col min="2" max="2" width="11.5546875" style="457" customWidth="1"/>
    <col min="3" max="3" width="12.3359375" style="457" customWidth="1"/>
    <col min="4" max="4" width="35.3359375" style="457" customWidth="1"/>
    <col min="5" max="5" width="7.10546875" style="457" customWidth="1"/>
    <col min="6" max="6" width="3.77734375" style="457" customWidth="1"/>
    <col min="7" max="7" width="3.88671875" style="457" customWidth="1"/>
    <col min="8" max="16384" width="7.10546875" style="457" customWidth="1"/>
  </cols>
  <sheetData>
    <row r="1" spans="1:8" ht="18">
      <c r="A1" s="464"/>
      <c r="B1" s="464"/>
      <c r="C1" s="464"/>
      <c r="D1" s="473" t="s">
        <v>1909</v>
      </c>
      <c r="E1" s="464"/>
      <c r="F1" s="464"/>
      <c r="G1" s="1240"/>
      <c r="H1" s="1566" t="s">
        <v>35</v>
      </c>
    </row>
    <row r="2" spans="1:8" ht="12.75">
      <c r="A2" s="464"/>
      <c r="B2" s="464"/>
      <c r="C2" s="464"/>
      <c r="D2" s="464"/>
      <c r="E2" s="464"/>
      <c r="F2" s="464"/>
      <c r="G2" s="464"/>
      <c r="H2" s="1566"/>
    </row>
    <row r="3" spans="1:8" ht="13.5" customHeight="1">
      <c r="A3" s="736" t="s">
        <v>902</v>
      </c>
      <c r="B3" s="464"/>
      <c r="C3" s="464"/>
      <c r="D3" s="464"/>
      <c r="E3" s="464"/>
      <c r="F3" s="464"/>
      <c r="G3" s="464"/>
      <c r="H3" s="1566"/>
    </row>
    <row r="4" spans="1:8" ht="13.5" customHeight="1">
      <c r="A4" s="736" t="str">
        <f>"Consult the General Income Tax and Benefit Guide "&amp;yeartext&amp;" for the qualification rules."</f>
        <v>Consult the General Income Tax and Benefit Guide 2009 for the qualification rules.</v>
      </c>
      <c r="B4" s="464"/>
      <c r="C4" s="464"/>
      <c r="D4" s="464"/>
      <c r="E4" s="464"/>
      <c r="F4" s="464"/>
      <c r="G4" s="464"/>
      <c r="H4" s="1566"/>
    </row>
    <row r="5" spans="1:8" ht="13.5" customHeight="1">
      <c r="A5" s="736" t="s">
        <v>156</v>
      </c>
      <c r="B5" s="464"/>
      <c r="C5" s="464"/>
      <c r="D5" s="464"/>
      <c r="E5" s="464"/>
      <c r="F5" s="464"/>
      <c r="G5" s="464"/>
      <c r="H5" s="1566"/>
    </row>
    <row r="6" spans="1:8" ht="12.75">
      <c r="A6" s="737"/>
      <c r="B6" s="464"/>
      <c r="C6" s="464"/>
      <c r="D6" s="464"/>
      <c r="E6" s="464"/>
      <c r="F6" s="464"/>
      <c r="G6" s="464"/>
      <c r="H6" s="1566"/>
    </row>
    <row r="7" spans="1:8" ht="12.75">
      <c r="A7" s="738"/>
      <c r="B7" s="466" t="s">
        <v>842</v>
      </c>
      <c r="C7" s="467"/>
      <c r="D7" s="468" t="s">
        <v>843</v>
      </c>
      <c r="E7" s="468" t="s">
        <v>1282</v>
      </c>
      <c r="F7" s="1590" t="s">
        <v>951</v>
      </c>
      <c r="G7" s="464"/>
      <c r="H7" s="1566"/>
    </row>
    <row r="8" spans="1:8" ht="12.75">
      <c r="A8" s="739" t="s">
        <v>846</v>
      </c>
      <c r="B8" s="469" t="s">
        <v>844</v>
      </c>
      <c r="C8" s="469" t="s">
        <v>845</v>
      </c>
      <c r="D8" s="470"/>
      <c r="E8" s="882" t="s">
        <v>1283</v>
      </c>
      <c r="F8" s="1591"/>
      <c r="G8" s="464"/>
      <c r="H8" s="1566"/>
    </row>
    <row r="9" spans="1:8" ht="12.75">
      <c r="A9" s="756"/>
      <c r="B9" s="757"/>
      <c r="C9" s="757"/>
      <c r="D9" s="758"/>
      <c r="E9" s="758"/>
      <c r="F9" s="758"/>
      <c r="G9" s="464"/>
      <c r="H9" s="1566"/>
    </row>
    <row r="10" spans="1:8" ht="12.75">
      <c r="A10" s="740">
        <v>303</v>
      </c>
      <c r="B10" s="465" t="s">
        <v>804</v>
      </c>
      <c r="C10" s="465" t="s">
        <v>847</v>
      </c>
      <c r="D10" s="759" t="s">
        <v>1052</v>
      </c>
      <c r="E10" s="1589" t="s">
        <v>1283</v>
      </c>
      <c r="F10" s="758"/>
      <c r="G10" s="1239" t="b">
        <f>IF(E10="NO",FALSE,TRUE)</f>
        <v>0</v>
      </c>
      <c r="H10" s="1566"/>
    </row>
    <row r="11" spans="1:8" ht="12.75">
      <c r="A11" s="740">
        <v>5812</v>
      </c>
      <c r="B11" s="465" t="s">
        <v>1906</v>
      </c>
      <c r="C11" s="465" t="s">
        <v>1908</v>
      </c>
      <c r="D11" s="758"/>
      <c r="E11" s="1589"/>
      <c r="F11" s="758"/>
      <c r="G11" s="464"/>
      <c r="H11" s="1566"/>
    </row>
    <row r="12" spans="1:8" ht="12.75">
      <c r="A12" s="737"/>
      <c r="B12" s="464"/>
      <c r="C12" s="464"/>
      <c r="D12" s="464"/>
      <c r="E12" s="464"/>
      <c r="F12" s="464"/>
      <c r="G12" s="464"/>
      <c r="H12" s="1566"/>
    </row>
    <row r="13" spans="1:8" ht="12.75">
      <c r="A13" s="740">
        <v>305</v>
      </c>
      <c r="B13" s="465" t="s">
        <v>804</v>
      </c>
      <c r="C13" s="465" t="s">
        <v>847</v>
      </c>
      <c r="D13" s="465" t="s">
        <v>1718</v>
      </c>
      <c r="E13" s="1592" t="s">
        <v>1283</v>
      </c>
      <c r="F13" s="464"/>
      <c r="G13" s="1239" t="b">
        <f>IF(E13="NO",FALSE,TRUE)</f>
        <v>0</v>
      </c>
      <c r="H13" s="1566"/>
    </row>
    <row r="14" spans="1:8" ht="12.75">
      <c r="A14" s="740">
        <v>5816</v>
      </c>
      <c r="B14" s="465" t="s">
        <v>1906</v>
      </c>
      <c r="C14" s="465" t="s">
        <v>1908</v>
      </c>
      <c r="D14" s="465"/>
      <c r="E14" s="1593"/>
      <c r="F14" s="464"/>
      <c r="G14" s="1242"/>
      <c r="H14" s="1566"/>
    </row>
    <row r="15" spans="1:8" ht="12.75">
      <c r="A15" s="740"/>
      <c r="B15" s="465"/>
      <c r="C15" s="465"/>
      <c r="D15" s="465"/>
      <c r="E15" s="471"/>
      <c r="F15" s="464"/>
      <c r="G15" s="1242"/>
      <c r="H15" s="1566"/>
    </row>
    <row r="16" spans="1:8" ht="12.75">
      <c r="A16" s="740">
        <v>306</v>
      </c>
      <c r="B16" s="465" t="s">
        <v>804</v>
      </c>
      <c r="C16" s="465" t="s">
        <v>847</v>
      </c>
      <c r="D16" s="465" t="s">
        <v>1907</v>
      </c>
      <c r="E16" s="1592" t="s">
        <v>1283</v>
      </c>
      <c r="F16" s="464"/>
      <c r="G16" s="1239" t="b">
        <f>IF(E16="NO",FALSE,TRUE)</f>
        <v>0</v>
      </c>
      <c r="H16" s="1566"/>
    </row>
    <row r="17" spans="1:8" ht="12.75" customHeight="1">
      <c r="A17" s="740">
        <v>5820</v>
      </c>
      <c r="B17" s="465" t="s">
        <v>1906</v>
      </c>
      <c r="C17" s="465" t="s">
        <v>1908</v>
      </c>
      <c r="D17" s="465"/>
      <c r="E17" s="1593"/>
      <c r="F17" s="464"/>
      <c r="G17" s="1242"/>
      <c r="H17" s="1566"/>
    </row>
    <row r="18" spans="1:8" ht="12.75">
      <c r="A18" s="737"/>
      <c r="B18" s="464"/>
      <c r="C18" s="464"/>
      <c r="D18" s="464"/>
      <c r="E18" s="471"/>
      <c r="F18" s="464"/>
      <c r="G18" s="1242"/>
      <c r="H18" s="1566"/>
    </row>
    <row r="19" spans="1:8" ht="12.75">
      <c r="A19" s="740">
        <v>315</v>
      </c>
      <c r="B19" s="465" t="s">
        <v>804</v>
      </c>
      <c r="C19" s="465" t="s">
        <v>847</v>
      </c>
      <c r="D19" s="465" t="s">
        <v>1374</v>
      </c>
      <c r="E19" s="1592" t="s">
        <v>1283</v>
      </c>
      <c r="F19" s="464"/>
      <c r="G19" s="1239" t="b">
        <f>IF(E19="NO",FALSE,TRUE)</f>
        <v>0</v>
      </c>
      <c r="H19" s="1566"/>
    </row>
    <row r="20" spans="1:8" ht="12.75" customHeight="1">
      <c r="A20" s="740">
        <v>5840</v>
      </c>
      <c r="B20" s="465" t="s">
        <v>1906</v>
      </c>
      <c r="C20" s="465" t="s">
        <v>1908</v>
      </c>
      <c r="D20" s="465"/>
      <c r="E20" s="1593"/>
      <c r="F20" s="464"/>
      <c r="G20" s="1241"/>
      <c r="H20" s="1566"/>
    </row>
    <row r="21" spans="1:8" ht="12.75">
      <c r="A21" s="737"/>
      <c r="B21" s="464"/>
      <c r="C21" s="464"/>
      <c r="D21" s="464"/>
      <c r="E21" s="471"/>
      <c r="F21" s="464"/>
      <c r="G21" s="1241"/>
      <c r="H21" s="1566"/>
    </row>
    <row r="22" spans="1:8" ht="12.75">
      <c r="A22" s="740">
        <v>316</v>
      </c>
      <c r="B22" s="465" t="s">
        <v>804</v>
      </c>
      <c r="C22" s="465" t="s">
        <v>847</v>
      </c>
      <c r="D22" s="465" t="s">
        <v>1375</v>
      </c>
      <c r="E22" s="1592" t="s">
        <v>1283</v>
      </c>
      <c r="F22" s="464"/>
      <c r="G22" s="1239" t="b">
        <f>IF(E22="NO",FALSE,TRUE)</f>
        <v>0</v>
      </c>
      <c r="H22" s="1566"/>
    </row>
    <row r="23" spans="1:8" ht="12.75" customHeight="1">
      <c r="A23" s="740">
        <v>5844</v>
      </c>
      <c r="B23" s="465" t="s">
        <v>1906</v>
      </c>
      <c r="C23" s="465" t="s">
        <v>1908</v>
      </c>
      <c r="D23" s="464"/>
      <c r="E23" s="1593"/>
      <c r="F23" s="464"/>
      <c r="G23" s="1241"/>
      <c r="H23" s="1566"/>
    </row>
    <row r="24" spans="1:8" ht="12.75">
      <c r="A24" s="737"/>
      <c r="B24" s="464"/>
      <c r="C24" s="464"/>
      <c r="D24" s="464"/>
      <c r="E24" s="464"/>
      <c r="F24" s="464"/>
      <c r="G24" s="1241"/>
      <c r="H24" s="1566"/>
    </row>
    <row r="25" spans="1:8" ht="12.75">
      <c r="A25" s="740">
        <v>318</v>
      </c>
      <c r="B25" s="465" t="s">
        <v>804</v>
      </c>
      <c r="C25" s="465" t="s">
        <v>847</v>
      </c>
      <c r="D25" s="465" t="s">
        <v>42</v>
      </c>
      <c r="E25" s="1592" t="s">
        <v>1283</v>
      </c>
      <c r="F25" s="464"/>
      <c r="G25" s="1239" t="b">
        <f>IF(E25="NO",FALSE,TRUE)</f>
        <v>0</v>
      </c>
      <c r="H25" s="1566"/>
    </row>
    <row r="26" spans="1:8" ht="12.75" customHeight="1">
      <c r="A26" s="740">
        <v>5848</v>
      </c>
      <c r="B26" s="465" t="s">
        <v>1906</v>
      </c>
      <c r="C26" s="465" t="s">
        <v>1908</v>
      </c>
      <c r="D26" s="464"/>
      <c r="E26" s="1593"/>
      <c r="F26" s="464"/>
      <c r="G26" s="1241"/>
      <c r="H26" s="1566"/>
    </row>
    <row r="27" spans="1:8" ht="12.75">
      <c r="A27" s="737"/>
      <c r="B27" s="464"/>
      <c r="C27" s="464"/>
      <c r="D27" s="464"/>
      <c r="E27" s="464"/>
      <c r="F27" s="464"/>
      <c r="G27" s="1241"/>
      <c r="H27" s="1566"/>
    </row>
    <row r="28" spans="1:8" ht="12.75" customHeight="1">
      <c r="A28" s="740">
        <v>452</v>
      </c>
      <c r="B28" s="465" t="s">
        <v>804</v>
      </c>
      <c r="C28" s="465" t="s">
        <v>895</v>
      </c>
      <c r="D28" s="465" t="str">
        <f>"Resident in Canada throughout "&amp;yeartext</f>
        <v>Resident in Canada throughout 2009</v>
      </c>
      <c r="E28" s="1592" t="s">
        <v>1282</v>
      </c>
      <c r="F28" s="737"/>
      <c r="G28" s="1239" t="b">
        <f>IF(E28="NO",FALSE,TRUE)</f>
        <v>1</v>
      </c>
      <c r="H28" s="1566"/>
    </row>
    <row r="29" spans="1:8" ht="12.75" customHeight="1">
      <c r="A29" s="737"/>
      <c r="B29" s="737"/>
      <c r="C29" s="737"/>
      <c r="D29" s="737"/>
      <c r="E29" s="1593"/>
      <c r="F29" s="737"/>
      <c r="G29" s="1243"/>
      <c r="H29" s="1566"/>
    </row>
    <row r="30" spans="1:8" ht="12.75">
      <c r="A30" s="464"/>
      <c r="B30" s="464"/>
      <c r="C30" s="464"/>
      <c r="D30" s="464"/>
      <c r="E30" s="464"/>
      <c r="F30" s="464"/>
      <c r="G30" s="1243"/>
      <c r="H30" s="1566"/>
    </row>
  </sheetData>
  <sheetProtection password="EC35" sheet="1" objects="1" scenarios="1"/>
  <mergeCells count="9">
    <mergeCell ref="H1:H30"/>
    <mergeCell ref="E10:E11"/>
    <mergeCell ref="F7:F8"/>
    <mergeCell ref="E13:E14"/>
    <mergeCell ref="E16:E17"/>
    <mergeCell ref="E19:E20"/>
    <mergeCell ref="E22:E23"/>
    <mergeCell ref="E25:E26"/>
    <mergeCell ref="E28:E29"/>
  </mergeCells>
  <dataValidations count="1">
    <dataValidation type="list" allowBlank="1" showInputMessage="1" showErrorMessage="1" sqref="E10:E11 E13:E14 E16:E17 E19:E20 E22:E23 E25:E26 E28:E29">
      <formula1>$E$7:$E$8</formula1>
    </dataValidation>
  </dataValidations>
  <printOptions/>
  <pageMargins left="0.75" right="0.75" top="1" bottom="1" header="0.5" footer="0.5"/>
  <pageSetup fitToHeight="0" fitToWidth="1" horizontalDpi="600" verticalDpi="600" orientation="portrait" scale="84" r:id="rId1"/>
</worksheet>
</file>

<file path=xl/worksheets/sheet6.xml><?xml version="1.0" encoding="utf-8"?>
<worksheet xmlns="http://schemas.openxmlformats.org/spreadsheetml/2006/main" xmlns:r="http://schemas.openxmlformats.org/officeDocument/2006/relationships">
  <sheetPr>
    <pageSetUpPr fitToPage="1"/>
  </sheetPr>
  <dimension ref="A2:AD63"/>
  <sheetViews>
    <sheetView showGridLines="0" zoomScalePageLayoutView="0" workbookViewId="0" topLeftCell="A1">
      <selection activeCell="A1" sqref="A1"/>
    </sheetView>
  </sheetViews>
  <sheetFormatPr defaultColWidth="7.10546875" defaultRowHeight="15"/>
  <cols>
    <col min="1" max="1" width="1.77734375" style="10" customWidth="1"/>
    <col min="2" max="2" width="1.33203125" style="10" customWidth="1"/>
    <col min="3" max="3" width="10.10546875" style="10" customWidth="1"/>
    <col min="4" max="4" width="3.88671875" style="10" customWidth="1"/>
    <col min="5" max="6" width="5.10546875" style="10" customWidth="1"/>
    <col min="7" max="7" width="9.21484375" style="10" customWidth="1"/>
    <col min="8" max="9" width="5.21484375" style="10" customWidth="1"/>
    <col min="10" max="10" width="8.77734375" style="10" customWidth="1"/>
    <col min="11" max="12" width="1.33203125" style="10" customWidth="1"/>
    <col min="13" max="13" width="1.4375" style="10" customWidth="1"/>
    <col min="14" max="14" width="1.88671875" style="10" customWidth="1"/>
    <col min="15" max="15" width="4.4453125" style="10" customWidth="1"/>
    <col min="16" max="16" width="10.77734375" style="10" customWidth="1"/>
    <col min="17" max="17" width="1.99609375" style="10" customWidth="1"/>
    <col min="18" max="18" width="4.4453125" style="10" customWidth="1"/>
    <col min="19" max="20" width="7.10546875" style="10" customWidth="1"/>
    <col min="21" max="21" width="1.99609375" style="10" customWidth="1"/>
    <col min="22" max="22" width="4.99609375" style="10" customWidth="1"/>
    <col min="23" max="23" width="1.88671875" style="10" customWidth="1"/>
    <col min="24" max="24" width="7.10546875" style="10" customWidth="1"/>
    <col min="25" max="25" width="1.33203125" style="10" customWidth="1"/>
    <col min="26" max="26" width="1.77734375" style="10" customWidth="1"/>
    <col min="27" max="27" width="7.10546875" style="10" customWidth="1"/>
    <col min="28" max="28" width="11.4453125" style="10" bestFit="1" customWidth="1"/>
    <col min="29" max="16384" width="7.10546875" style="10" customWidth="1"/>
  </cols>
  <sheetData>
    <row r="2" spans="1:26" ht="12.75" hidden="1">
      <c r="A2" s="9"/>
      <c r="B2" s="9"/>
      <c r="C2" s="9"/>
      <c r="D2" s="9"/>
      <c r="E2" s="9"/>
      <c r="F2" s="9"/>
      <c r="G2" s="9"/>
      <c r="H2" s="9"/>
      <c r="I2" s="9"/>
      <c r="J2" s="9"/>
      <c r="K2" s="9"/>
      <c r="L2" s="9"/>
      <c r="M2" s="9"/>
      <c r="N2" s="9"/>
      <c r="O2" s="9"/>
      <c r="P2" s="9"/>
      <c r="Q2" s="9"/>
      <c r="R2" s="9"/>
      <c r="S2" s="9"/>
      <c r="T2" s="9"/>
      <c r="U2" s="9"/>
      <c r="V2" s="9"/>
      <c r="W2" s="9"/>
      <c r="X2" s="9"/>
      <c r="Y2" s="9"/>
      <c r="Z2" s="9"/>
    </row>
    <row r="3" spans="1:26" ht="12.75">
      <c r="A3" s="1416"/>
      <c r="B3" s="1406"/>
      <c r="C3" s="1406"/>
      <c r="D3" s="1407" t="s">
        <v>2397</v>
      </c>
      <c r="E3" s="1406"/>
      <c r="F3" s="1406"/>
      <c r="G3" s="1406"/>
      <c r="H3" s="1407" t="s">
        <v>2399</v>
      </c>
      <c r="I3" s="1406"/>
      <c r="J3" s="1406"/>
      <c r="K3" s="1406"/>
      <c r="L3" s="1406"/>
      <c r="M3" s="1406"/>
      <c r="N3" s="1406"/>
      <c r="O3" s="1406"/>
      <c r="P3" s="1406"/>
      <c r="Q3" s="1406"/>
      <c r="R3" s="1406"/>
      <c r="S3" s="1406"/>
      <c r="T3" s="1406"/>
      <c r="U3" s="1406"/>
      <c r="V3" s="1406"/>
      <c r="W3" s="1406"/>
      <c r="X3" s="1408"/>
      <c r="Y3" s="9"/>
      <c r="Z3" s="9"/>
    </row>
    <row r="4" spans="1:30" ht="31.5" customHeight="1">
      <c r="A4" s="1417"/>
      <c r="B4" s="943"/>
      <c r="C4" s="943"/>
      <c r="D4" s="1409" t="s">
        <v>2398</v>
      </c>
      <c r="E4" s="943"/>
      <c r="F4" s="943"/>
      <c r="G4" s="943"/>
      <c r="H4" s="1409" t="s">
        <v>2400</v>
      </c>
      <c r="I4" s="943"/>
      <c r="J4" s="943"/>
      <c r="K4" s="943"/>
      <c r="L4" s="943"/>
      <c r="M4" s="943"/>
      <c r="N4" s="943"/>
      <c r="O4" s="943"/>
      <c r="P4" s="943"/>
      <c r="Q4" s="943"/>
      <c r="R4" s="943"/>
      <c r="S4" s="943"/>
      <c r="T4" s="943"/>
      <c r="U4" s="1410" t="s">
        <v>2450</v>
      </c>
      <c r="V4" s="1606">
        <v>2009</v>
      </c>
      <c r="W4" s="1606"/>
      <c r="X4" s="1607"/>
      <c r="Y4" s="12"/>
      <c r="Z4" s="9"/>
      <c r="AA4" s="1566" t="s">
        <v>35</v>
      </c>
      <c r="AC4" s="1439"/>
      <c r="AD4" s="1439"/>
    </row>
    <row r="5" spans="1:30" ht="33" customHeight="1">
      <c r="A5" s="1417"/>
      <c r="B5" s="1411"/>
      <c r="C5" s="1411"/>
      <c r="D5" s="1412"/>
      <c r="E5" s="1411"/>
      <c r="F5" s="1411"/>
      <c r="G5" s="1411"/>
      <c r="H5" s="1412"/>
      <c r="I5" s="1411"/>
      <c r="J5" s="1411"/>
      <c r="K5" s="1500" t="s">
        <v>1242</v>
      </c>
      <c r="L5" s="1411"/>
      <c r="M5" s="1411"/>
      <c r="N5" s="1411"/>
      <c r="O5" s="1411"/>
      <c r="P5" s="1411"/>
      <c r="Q5" s="1411"/>
      <c r="R5" s="1411"/>
      <c r="S5" s="1411"/>
      <c r="T5" s="1411"/>
      <c r="U5" s="1413"/>
      <c r="V5" s="1414"/>
      <c r="W5" s="1414"/>
      <c r="X5" s="1415"/>
      <c r="Y5" s="12"/>
      <c r="Z5" s="9"/>
      <c r="AA5" s="1566"/>
      <c r="AC5" s="1439"/>
      <c r="AD5" s="1439"/>
    </row>
    <row r="6" spans="1:30" ht="14.25">
      <c r="A6" s="9"/>
      <c r="B6" s="9"/>
      <c r="C6" s="9"/>
      <c r="D6" s="9"/>
      <c r="E6" s="9"/>
      <c r="F6" s="9"/>
      <c r="G6" s="9"/>
      <c r="H6" s="9"/>
      <c r="I6" s="9"/>
      <c r="J6" s="11"/>
      <c r="K6" s="998" t="s">
        <v>261</v>
      </c>
      <c r="L6" s="9"/>
      <c r="M6" s="997"/>
      <c r="N6" s="9"/>
      <c r="O6" s="9"/>
      <c r="P6" s="9"/>
      <c r="Q6" s="9"/>
      <c r="R6" s="9"/>
      <c r="S6" s="9"/>
      <c r="T6" s="9"/>
      <c r="U6" s="9"/>
      <c r="V6" s="9"/>
      <c r="W6" s="9"/>
      <c r="X6" s="9"/>
      <c r="Y6" s="9"/>
      <c r="Z6" s="9"/>
      <c r="AA6" s="1566"/>
      <c r="AB6" s="1440"/>
      <c r="AC6" s="1439"/>
      <c r="AD6" s="1439"/>
    </row>
    <row r="7" spans="1:30" ht="16.5" customHeight="1">
      <c r="A7" s="9"/>
      <c r="B7" s="1156" t="s">
        <v>1243</v>
      </c>
      <c r="C7" s="9"/>
      <c r="D7" s="9"/>
      <c r="E7" s="9"/>
      <c r="F7" s="9"/>
      <c r="G7" s="9"/>
      <c r="H7" s="9"/>
      <c r="I7" s="9"/>
      <c r="J7" s="9"/>
      <c r="K7" s="9"/>
      <c r="L7" s="9"/>
      <c r="M7" s="9"/>
      <c r="N7" s="9"/>
      <c r="O7" s="9"/>
      <c r="P7" s="9"/>
      <c r="Q7" s="9"/>
      <c r="R7" s="9"/>
      <c r="S7" s="915"/>
      <c r="T7" s="915"/>
      <c r="U7" s="9"/>
      <c r="V7" s="1637" t="s">
        <v>136</v>
      </c>
      <c r="W7" s="1638"/>
      <c r="X7" s="1633">
        <v>1</v>
      </c>
      <c r="Y7" s="1634"/>
      <c r="Z7" s="9"/>
      <c r="AA7" s="1566"/>
      <c r="AC7" s="1439"/>
      <c r="AD7" s="1439"/>
    </row>
    <row r="8" spans="1:30" ht="8.25" customHeight="1">
      <c r="A8" s="9"/>
      <c r="B8" s="9"/>
      <c r="C8" s="9"/>
      <c r="D8" s="9"/>
      <c r="E8" s="9"/>
      <c r="F8" s="9"/>
      <c r="G8" s="9"/>
      <c r="H8" s="9"/>
      <c r="I8" s="9"/>
      <c r="J8" s="9"/>
      <c r="K8" s="9"/>
      <c r="L8" s="9"/>
      <c r="M8" s="9"/>
      <c r="N8" s="9"/>
      <c r="O8" s="9"/>
      <c r="P8" s="9"/>
      <c r="Q8" s="9"/>
      <c r="R8" s="9"/>
      <c r="S8" s="9"/>
      <c r="T8" s="9"/>
      <c r="U8" s="9"/>
      <c r="V8" s="1639"/>
      <c r="W8" s="1640"/>
      <c r="X8" s="1635"/>
      <c r="Y8" s="1636"/>
      <c r="Z8" s="9"/>
      <c r="AA8" s="1566"/>
      <c r="AB8" s="1440"/>
      <c r="AC8" s="1439"/>
      <c r="AD8" s="1439"/>
    </row>
    <row r="9" spans="1:30" ht="16.5">
      <c r="A9" s="9"/>
      <c r="B9" s="13"/>
      <c r="C9" s="1001" t="s">
        <v>2410</v>
      </c>
      <c r="D9" s="14"/>
      <c r="E9" s="14"/>
      <c r="F9" s="14"/>
      <c r="G9" s="14"/>
      <c r="H9" s="14"/>
      <c r="I9" s="14"/>
      <c r="J9" s="14"/>
      <c r="K9" s="15"/>
      <c r="L9" s="9"/>
      <c r="M9" s="958"/>
      <c r="N9" s="959"/>
      <c r="O9" s="959"/>
      <c r="P9" s="959"/>
      <c r="Q9" s="959"/>
      <c r="R9" s="962" t="s">
        <v>1851</v>
      </c>
      <c r="S9" s="959"/>
      <c r="T9" s="959"/>
      <c r="U9" s="959"/>
      <c r="V9" s="959"/>
      <c r="W9" s="959"/>
      <c r="X9" s="959"/>
      <c r="Y9" s="961"/>
      <c r="Z9" s="9"/>
      <c r="AA9" s="1566"/>
      <c r="AC9" s="1439"/>
      <c r="AD9" s="1439"/>
    </row>
    <row r="10" spans="1:30" ht="12.75">
      <c r="A10" s="9"/>
      <c r="B10" s="16"/>
      <c r="C10" s="769" t="s">
        <v>1047</v>
      </c>
      <c r="D10" s="17"/>
      <c r="E10" s="17"/>
      <c r="F10" s="17"/>
      <c r="G10" s="17"/>
      <c r="H10" s="17"/>
      <c r="I10" s="17"/>
      <c r="J10" s="17"/>
      <c r="K10" s="18"/>
      <c r="L10" s="9"/>
      <c r="M10" s="16"/>
      <c r="N10" s="68" t="s">
        <v>514</v>
      </c>
      <c r="O10" s="17"/>
      <c r="P10" s="17"/>
      <c r="Q10" s="17"/>
      <c r="R10" s="17"/>
      <c r="S10" s="17"/>
      <c r="T10" s="17"/>
      <c r="U10" s="17"/>
      <c r="V10" s="17"/>
      <c r="W10" s="17"/>
      <c r="X10" s="17"/>
      <c r="Y10" s="18"/>
      <c r="Z10" s="9"/>
      <c r="AA10" s="1566"/>
      <c r="AC10" s="1439"/>
      <c r="AD10" s="1439"/>
    </row>
    <row r="11" spans="1:30" ht="14.25" customHeight="1">
      <c r="A11" s="9"/>
      <c r="B11" s="16"/>
      <c r="C11" s="17" t="s">
        <v>623</v>
      </c>
      <c r="D11" s="17"/>
      <c r="E11" s="17"/>
      <c r="F11" s="17"/>
      <c r="G11" s="17"/>
      <c r="H11" s="17"/>
      <c r="I11" s="17"/>
      <c r="J11" s="17"/>
      <c r="K11" s="18"/>
      <c r="L11" s="9"/>
      <c r="M11" s="16"/>
      <c r="N11" s="68" t="s">
        <v>2179</v>
      </c>
      <c r="O11" s="17"/>
      <c r="P11" s="17"/>
      <c r="Q11" s="17"/>
      <c r="R11" s="17"/>
      <c r="S11" s="786">
        <f>IF(T12&gt;0,"","SIN # Required")</f>
      </c>
      <c r="T11" s="786"/>
      <c r="U11" s="786"/>
      <c r="V11" s="786"/>
      <c r="W11" s="786"/>
      <c r="X11" s="786"/>
      <c r="Y11" s="18"/>
      <c r="Z11" s="9"/>
      <c r="AA11" s="1566"/>
      <c r="AC11" s="1439"/>
      <c r="AD11" s="1439"/>
    </row>
    <row r="12" spans="1:30" ht="22.5" customHeight="1">
      <c r="A12" s="9"/>
      <c r="B12" s="16"/>
      <c r="C12" s="19"/>
      <c r="D12" s="1641"/>
      <c r="E12" s="1641"/>
      <c r="F12" s="1641"/>
      <c r="G12" s="1641"/>
      <c r="H12" s="1641"/>
      <c r="I12" s="1641"/>
      <c r="J12" s="1641"/>
      <c r="K12" s="18"/>
      <c r="L12" s="9"/>
      <c r="M12" s="16"/>
      <c r="N12" s="770" t="s">
        <v>2180</v>
      </c>
      <c r="O12" s="17"/>
      <c r="P12" s="17"/>
      <c r="Q12" s="17"/>
      <c r="R12" s="23"/>
      <c r="S12" s="17"/>
      <c r="T12" s="1647">
        <v>1</v>
      </c>
      <c r="U12" s="1648"/>
      <c r="V12" s="1648"/>
      <c r="W12" s="1648"/>
      <c r="X12" s="1648"/>
      <c r="Y12" s="18"/>
      <c r="Z12" s="9"/>
      <c r="AA12" s="1566"/>
      <c r="AC12" s="1439"/>
      <c r="AD12" s="1439"/>
    </row>
    <row r="13" spans="1:30" ht="12.75">
      <c r="A13" s="9"/>
      <c r="B13" s="16"/>
      <c r="C13" s="17" t="s">
        <v>636</v>
      </c>
      <c r="D13" s="17"/>
      <c r="E13" s="17"/>
      <c r="F13" s="17"/>
      <c r="G13" s="17"/>
      <c r="H13" s="17"/>
      <c r="I13" s="17"/>
      <c r="J13" s="17"/>
      <c r="K13" s="18"/>
      <c r="L13" s="9"/>
      <c r="M13" s="16"/>
      <c r="N13" s="17"/>
      <c r="O13" s="17"/>
      <c r="P13" s="17"/>
      <c r="Q13" s="17"/>
      <c r="R13" s="17"/>
      <c r="S13" s="17"/>
      <c r="T13" s="20" t="s">
        <v>624</v>
      </c>
      <c r="U13" s="1643" t="s">
        <v>625</v>
      </c>
      <c r="V13" s="1643"/>
      <c r="W13" s="1642" t="s">
        <v>626</v>
      </c>
      <c r="X13" s="1642"/>
      <c r="Y13" s="18"/>
      <c r="Z13" s="9"/>
      <c r="AA13" s="1566"/>
      <c r="AB13" s="1440"/>
      <c r="AC13" s="1439"/>
      <c r="AD13" s="1439"/>
    </row>
    <row r="14" spans="1:30" ht="21" customHeight="1">
      <c r="A14" s="9"/>
      <c r="B14" s="16"/>
      <c r="C14" s="21"/>
      <c r="D14" s="1617"/>
      <c r="E14" s="1617"/>
      <c r="F14" s="1617"/>
      <c r="G14" s="1617"/>
      <c r="H14" s="1617"/>
      <c r="I14" s="1617"/>
      <c r="J14" s="1617"/>
      <c r="K14" s="18"/>
      <c r="L14" s="9"/>
      <c r="M14" s="16"/>
      <c r="N14" s="22" t="s">
        <v>1883</v>
      </c>
      <c r="O14" s="17"/>
      <c r="P14" s="17"/>
      <c r="Q14" s="17"/>
      <c r="R14" s="23"/>
      <c r="S14" s="57">
        <f>IF(OR(T14&lt;1880,U14&lt;1,U14&gt;12,W14&lt;1,W14&gt;31),"Error in month or day","")</f>
      </c>
      <c r="T14" s="58">
        <v>1970</v>
      </c>
      <c r="U14" s="1622">
        <v>2</v>
      </c>
      <c r="V14" s="1623"/>
      <c r="W14" s="1622">
        <v>2</v>
      </c>
      <c r="X14" s="1623"/>
      <c r="Y14" s="18"/>
      <c r="Z14" s="9"/>
      <c r="AA14" s="1566"/>
      <c r="AC14" s="1439"/>
      <c r="AD14" s="1439"/>
    </row>
    <row r="15" spans="1:30" ht="12.75">
      <c r="A15" s="9"/>
      <c r="B15" s="16"/>
      <c r="C15" s="68" t="s">
        <v>1413</v>
      </c>
      <c r="D15" s="17"/>
      <c r="E15" s="17"/>
      <c r="F15" s="17"/>
      <c r="G15" s="17"/>
      <c r="H15" s="17"/>
      <c r="I15" s="17"/>
      <c r="J15" s="17"/>
      <c r="K15" s="18"/>
      <c r="L15" s="9"/>
      <c r="M15" s="16"/>
      <c r="N15" s="17" t="s">
        <v>2375</v>
      </c>
      <c r="O15" s="17"/>
      <c r="P15" s="17"/>
      <c r="Q15" s="17"/>
      <c r="R15" s="17"/>
      <c r="S15" s="17"/>
      <c r="T15" s="17" t="s">
        <v>1155</v>
      </c>
      <c r="U15" s="17"/>
      <c r="V15" s="9"/>
      <c r="W15" s="9"/>
      <c r="X15" s="17" t="s">
        <v>1156</v>
      </c>
      <c r="Y15" s="18"/>
      <c r="Z15" s="9"/>
      <c r="AA15" s="1566"/>
      <c r="AB15" s="1440"/>
      <c r="AC15" s="1439"/>
      <c r="AD15" s="1439"/>
    </row>
    <row r="16" spans="1:30" ht="20.25" customHeight="1">
      <c r="A16" s="9"/>
      <c r="B16" s="16"/>
      <c r="C16" s="21"/>
      <c r="D16" s="1617"/>
      <c r="E16" s="1617"/>
      <c r="F16" s="1617"/>
      <c r="G16" s="1617"/>
      <c r="H16" s="1617"/>
      <c r="I16" s="1617"/>
      <c r="J16" s="1617"/>
      <c r="K16" s="18"/>
      <c r="L16" s="9"/>
      <c r="M16" s="16"/>
      <c r="N16" s="23" t="s">
        <v>1157</v>
      </c>
      <c r="O16" s="17"/>
      <c r="P16" s="17"/>
      <c r="Q16" s="17"/>
      <c r="R16" s="17"/>
      <c r="S16" s="17"/>
      <c r="T16" s="266" t="s">
        <v>586</v>
      </c>
      <c r="U16" s="17"/>
      <c r="V16" s="17"/>
      <c r="W16" s="24"/>
      <c r="X16" s="555" t="s">
        <v>1019</v>
      </c>
      <c r="Y16" s="18"/>
      <c r="Z16" s="9"/>
      <c r="AA16" s="1566"/>
      <c r="AC16" s="1439"/>
      <c r="AD16" s="1439"/>
    </row>
    <row r="17" spans="1:30" ht="12.75">
      <c r="A17" s="9"/>
      <c r="B17" s="16"/>
      <c r="C17" s="68" t="s">
        <v>254</v>
      </c>
      <c r="D17" s="17"/>
      <c r="E17" s="17"/>
      <c r="F17" s="17"/>
      <c r="G17" s="68"/>
      <c r="H17" s="1002" t="s">
        <v>1414</v>
      </c>
      <c r="I17" s="17"/>
      <c r="J17" s="17"/>
      <c r="K17" s="18"/>
      <c r="L17" s="9"/>
      <c r="M17" s="16"/>
      <c r="N17" s="17"/>
      <c r="O17" s="17"/>
      <c r="P17" s="17"/>
      <c r="Q17" s="17"/>
      <c r="R17" s="17"/>
      <c r="S17" s="17"/>
      <c r="T17" s="17"/>
      <c r="U17" s="17"/>
      <c r="V17" s="17"/>
      <c r="W17" s="17"/>
      <c r="X17" s="17"/>
      <c r="Y17" s="18"/>
      <c r="Z17" s="9"/>
      <c r="AA17" s="1566"/>
      <c r="AC17" s="1439"/>
      <c r="AD17" s="1439"/>
    </row>
    <row r="18" spans="1:30" ht="21" customHeight="1">
      <c r="A18" s="9"/>
      <c r="B18" s="16"/>
      <c r="C18" s="21"/>
      <c r="D18" s="1617"/>
      <c r="E18" s="1617"/>
      <c r="F18" s="1617"/>
      <c r="G18" s="1629"/>
      <c r="H18" s="1646"/>
      <c r="I18" s="1617"/>
      <c r="J18" s="1617"/>
      <c r="K18" s="18"/>
      <c r="L18" s="9"/>
      <c r="M18" s="963"/>
      <c r="N18" s="1162" t="str">
        <f>"Tick the box that applies to your marital status on December 31, "&amp;yeartext&amp;":"</f>
        <v>Tick the box that applies to your marital status on December 31, 2009:</v>
      </c>
      <c r="O18" s="964"/>
      <c r="P18" s="964"/>
      <c r="Q18" s="964"/>
      <c r="R18" s="964"/>
      <c r="S18" s="964"/>
      <c r="T18" s="964"/>
      <c r="U18" s="964"/>
      <c r="V18" s="964"/>
      <c r="W18" s="964"/>
      <c r="X18" s="964"/>
      <c r="Y18" s="965"/>
      <c r="Z18" s="9"/>
      <c r="AA18" s="1566"/>
      <c r="AC18" s="1439"/>
      <c r="AD18" s="1439"/>
    </row>
    <row r="19" spans="1:30" ht="13.5" customHeight="1">
      <c r="A19" s="9"/>
      <c r="B19" s="16"/>
      <c r="C19" s="17" t="s">
        <v>575</v>
      </c>
      <c r="D19" s="17"/>
      <c r="E19" s="17"/>
      <c r="F19" s="1651" t="s">
        <v>2172</v>
      </c>
      <c r="G19" s="1652"/>
      <c r="H19" s="17"/>
      <c r="I19" s="17" t="s">
        <v>576</v>
      </c>
      <c r="J19" s="17"/>
      <c r="K19" s="18"/>
      <c r="L19" s="9"/>
      <c r="M19" s="1495"/>
      <c r="N19" s="1498" t="str">
        <f>CHOOSE(AB23+1,"MyTAX User Error: Marital Status Not Specified!!!!","(see the Marital status section in the guide)","MyTAX Userr Error: More Than One Marital Status!!!!")</f>
        <v>(see the Marital status section in the guide)</v>
      </c>
      <c r="O19" s="1496"/>
      <c r="P19" s="1496"/>
      <c r="Q19" s="1496"/>
      <c r="R19" s="1496"/>
      <c r="S19" s="1496"/>
      <c r="T19" s="1496"/>
      <c r="U19" s="1496"/>
      <c r="V19" s="1496"/>
      <c r="W19" s="1496"/>
      <c r="X19" s="1496"/>
      <c r="Y19" s="1497"/>
      <c r="Z19" s="9"/>
      <c r="AA19" s="1566"/>
      <c r="AC19" s="1439"/>
      <c r="AD19" s="1439"/>
    </row>
    <row r="20" spans="1:30" ht="20.25" customHeight="1">
      <c r="A20" s="9"/>
      <c r="B20" s="16"/>
      <c r="C20" s="1625"/>
      <c r="D20" s="1626"/>
      <c r="E20" s="268"/>
      <c r="F20" s="1627" t="s">
        <v>2688</v>
      </c>
      <c r="G20" s="1628"/>
      <c r="H20" s="25"/>
      <c r="I20" s="1617"/>
      <c r="J20" s="1617"/>
      <c r="K20" s="18"/>
      <c r="L20" s="9"/>
      <c r="M20" s="16"/>
      <c r="N20" s="1163">
        <v>1</v>
      </c>
      <c r="O20" s="555" t="s">
        <v>1019</v>
      </c>
      <c r="P20" s="22" t="s">
        <v>2111</v>
      </c>
      <c r="Q20" s="1163">
        <v>2</v>
      </c>
      <c r="R20" s="555" t="s">
        <v>1019</v>
      </c>
      <c r="S20" s="67" t="s">
        <v>493</v>
      </c>
      <c r="T20" s="22"/>
      <c r="U20" s="1163">
        <v>3</v>
      </c>
      <c r="V20" s="555" t="s">
        <v>1019</v>
      </c>
      <c r="W20" s="22" t="s">
        <v>2112</v>
      </c>
      <c r="X20" s="17"/>
      <c r="Y20" s="18"/>
      <c r="Z20" s="9"/>
      <c r="AA20" s="1566"/>
      <c r="AC20" s="1439"/>
      <c r="AD20" s="1439"/>
    </row>
    <row r="21" spans="1:30" ht="20.25" customHeight="1">
      <c r="A21" s="9"/>
      <c r="B21" s="26"/>
      <c r="C21" s="19"/>
      <c r="D21" s="19"/>
      <c r="E21" s="19"/>
      <c r="F21" s="21"/>
      <c r="G21" s="19"/>
      <c r="H21" s="21"/>
      <c r="I21" s="19"/>
      <c r="J21" s="21"/>
      <c r="K21" s="27"/>
      <c r="L21" s="9"/>
      <c r="M21" s="26"/>
      <c r="N21" s="1164">
        <v>4</v>
      </c>
      <c r="O21" s="555" t="s">
        <v>1019</v>
      </c>
      <c r="P21" s="28" t="s">
        <v>2113</v>
      </c>
      <c r="Q21" s="1164">
        <v>5</v>
      </c>
      <c r="R21" s="555" t="s">
        <v>1019</v>
      </c>
      <c r="S21" s="28" t="s">
        <v>2114</v>
      </c>
      <c r="T21" s="28"/>
      <c r="U21" s="1164">
        <v>6</v>
      </c>
      <c r="V21" s="266" t="s">
        <v>586</v>
      </c>
      <c r="W21" s="28" t="s">
        <v>2115</v>
      </c>
      <c r="X21" s="21"/>
      <c r="Y21" s="27"/>
      <c r="Z21" s="9"/>
      <c r="AA21" s="1566"/>
      <c r="AC21" s="1439"/>
      <c r="AD21" s="1439"/>
    </row>
    <row r="22" spans="1:30" ht="9" customHeight="1">
      <c r="A22" s="9"/>
      <c r="B22" s="9"/>
      <c r="C22" s="9"/>
      <c r="D22" s="9"/>
      <c r="E22" s="9"/>
      <c r="F22" s="9"/>
      <c r="G22" s="9"/>
      <c r="H22" s="9"/>
      <c r="I22" s="9"/>
      <c r="J22" s="9"/>
      <c r="K22" s="9"/>
      <c r="L22" s="9"/>
      <c r="M22" s="14"/>
      <c r="N22" s="14"/>
      <c r="O22" s="14"/>
      <c r="P22" s="14"/>
      <c r="Q22" s="14"/>
      <c r="R22" s="14"/>
      <c r="S22" s="14"/>
      <c r="T22" s="14"/>
      <c r="U22" s="14"/>
      <c r="V22" s="14"/>
      <c r="W22" s="14"/>
      <c r="X22" s="14"/>
      <c r="Y22" s="14"/>
      <c r="Z22" s="9"/>
      <c r="AA22" s="1566"/>
      <c r="AB22" s="1440"/>
      <c r="AC22" s="1439"/>
      <c r="AD22" s="1439"/>
    </row>
    <row r="23" spans="1:30" ht="16.5">
      <c r="A23" s="9"/>
      <c r="B23" s="17"/>
      <c r="C23" s="17"/>
      <c r="D23" s="68"/>
      <c r="E23" s="17"/>
      <c r="F23" s="17"/>
      <c r="G23" s="17"/>
      <c r="H23" s="17"/>
      <c r="I23" s="17"/>
      <c r="J23" s="17"/>
      <c r="K23" s="17"/>
      <c r="L23" s="17"/>
      <c r="M23" s="963"/>
      <c r="N23" s="964"/>
      <c r="O23" s="964"/>
      <c r="P23" s="964"/>
      <c r="Q23" s="964"/>
      <c r="R23" s="964"/>
      <c r="S23" s="966" t="s">
        <v>2117</v>
      </c>
      <c r="T23" s="964"/>
      <c r="U23" s="964"/>
      <c r="V23" s="964"/>
      <c r="W23" s="964"/>
      <c r="X23" s="964"/>
      <c r="Y23" s="965"/>
      <c r="Z23" s="9"/>
      <c r="AA23" s="1566"/>
      <c r="AB23" s="1493">
        <f>IF(COUNTIF(O20:V21,"X")&lt;2,COUNTIF(O20:V21,"X"),2)</f>
        <v>1</v>
      </c>
      <c r="AC23" s="1439"/>
      <c r="AD23" s="1439"/>
    </row>
    <row r="24" spans="1:30" ht="16.5">
      <c r="A24" s="9"/>
      <c r="B24" s="17"/>
      <c r="C24" s="17"/>
      <c r="D24" s="17"/>
      <c r="E24" s="17"/>
      <c r="F24" s="17"/>
      <c r="G24" s="17"/>
      <c r="H24" s="17"/>
      <c r="I24" s="17"/>
      <c r="J24" s="17"/>
      <c r="K24" s="17"/>
      <c r="L24" s="9"/>
      <c r="M24" s="963"/>
      <c r="N24" s="967" t="s">
        <v>1843</v>
      </c>
      <c r="O24" s="964"/>
      <c r="P24" s="964"/>
      <c r="Q24" s="964"/>
      <c r="R24" s="964"/>
      <c r="S24" s="968" t="s">
        <v>2182</v>
      </c>
      <c r="T24" s="964"/>
      <c r="U24" s="964"/>
      <c r="V24" s="964"/>
      <c r="W24" s="964"/>
      <c r="X24" s="964"/>
      <c r="Y24" s="965"/>
      <c r="Z24" s="9"/>
      <c r="AA24" s="1566"/>
      <c r="AB24" s="1439"/>
      <c r="AC24" s="1439"/>
      <c r="AD24" s="1439"/>
    </row>
    <row r="25" spans="1:30" ht="24.75" customHeight="1">
      <c r="A25" s="9"/>
      <c r="B25" s="17"/>
      <c r="C25" s="68"/>
      <c r="D25" s="17"/>
      <c r="E25" s="17"/>
      <c r="F25" s="17"/>
      <c r="G25" s="17"/>
      <c r="H25" s="17"/>
      <c r="I25" s="17"/>
      <c r="J25" s="17"/>
      <c r="K25" s="17"/>
      <c r="L25" s="9"/>
      <c r="M25" s="1630" t="s">
        <v>2181</v>
      </c>
      <c r="N25" s="1631"/>
      <c r="O25" s="1631"/>
      <c r="P25" s="1631"/>
      <c r="Q25" s="1631"/>
      <c r="R25" s="1631"/>
      <c r="S25" s="1631"/>
      <c r="T25" s="1631"/>
      <c r="U25" s="1631"/>
      <c r="V25" s="1631"/>
      <c r="W25" s="1631"/>
      <c r="X25" s="1631"/>
      <c r="Y25" s="1632"/>
      <c r="Z25" s="9"/>
      <c r="AA25" s="1566"/>
      <c r="AB25" s="1439"/>
      <c r="AC25" s="1439"/>
      <c r="AD25" s="1439"/>
    </row>
    <row r="26" spans="1:30" ht="18" customHeight="1">
      <c r="A26" s="9"/>
      <c r="B26" s="21"/>
      <c r="C26" s="68"/>
      <c r="D26" s="769"/>
      <c r="E26" s="17"/>
      <c r="F26" s="17"/>
      <c r="G26" s="17"/>
      <c r="H26" s="17"/>
      <c r="I26" s="17"/>
      <c r="J26" s="17"/>
      <c r="K26" s="17"/>
      <c r="L26" s="9"/>
      <c r="M26" s="16"/>
      <c r="N26" s="787" t="s">
        <v>255</v>
      </c>
      <c r="O26" s="22"/>
      <c r="P26" s="17"/>
      <c r="Q26" s="17"/>
      <c r="R26" s="17"/>
      <c r="S26" s="17"/>
      <c r="T26" s="1624"/>
      <c r="U26" s="1624"/>
      <c r="V26" s="1624"/>
      <c r="W26" s="1624"/>
      <c r="X26" s="1624"/>
      <c r="Y26" s="18"/>
      <c r="Z26" s="9"/>
      <c r="AA26" s="1566"/>
      <c r="AB26" s="1439"/>
      <c r="AC26" s="1439"/>
      <c r="AD26" s="1439"/>
    </row>
    <row r="27" spans="1:30" ht="16.5">
      <c r="A27" s="9"/>
      <c r="B27" s="958"/>
      <c r="C27" s="959"/>
      <c r="D27" s="960" t="s">
        <v>2116</v>
      </c>
      <c r="E27" s="959"/>
      <c r="F27" s="959"/>
      <c r="G27" s="959"/>
      <c r="H27" s="959"/>
      <c r="I27" s="959"/>
      <c r="J27" s="959"/>
      <c r="K27" s="961"/>
      <c r="L27" s="9"/>
      <c r="M27" s="16"/>
      <c r="N27" s="770" t="s">
        <v>256</v>
      </c>
      <c r="O27" s="23"/>
      <c r="P27" s="17"/>
      <c r="Q27" s="17"/>
      <c r="R27" s="17"/>
      <c r="S27" s="17"/>
      <c r="T27" s="17"/>
      <c r="U27" s="17"/>
      <c r="V27" s="17"/>
      <c r="W27" s="17"/>
      <c r="X27" s="17"/>
      <c r="Y27" s="18"/>
      <c r="Z27" s="9"/>
      <c r="AA27" s="1566"/>
      <c r="AB27" s="1439"/>
      <c r="AC27" s="1439"/>
      <c r="AD27" s="1439"/>
    </row>
    <row r="28" spans="1:30" ht="18">
      <c r="A28" s="9"/>
      <c r="B28" s="16"/>
      <c r="C28" s="9"/>
      <c r="D28" s="9"/>
      <c r="E28" s="9"/>
      <c r="F28" s="9"/>
      <c r="G28" s="9"/>
      <c r="H28" s="9"/>
      <c r="I28" s="9"/>
      <c r="J28" s="9"/>
      <c r="K28" s="18"/>
      <c r="L28" s="9"/>
      <c r="M28" s="16"/>
      <c r="N28" s="17" t="s">
        <v>414</v>
      </c>
      <c r="O28" s="17"/>
      <c r="P28" s="17"/>
      <c r="Q28" s="17"/>
      <c r="R28" s="17"/>
      <c r="S28" s="1608"/>
      <c r="T28" s="1609"/>
      <c r="U28" s="1609"/>
      <c r="V28" s="1609"/>
      <c r="W28" s="1609"/>
      <c r="X28" s="1609"/>
      <c r="Y28" s="18"/>
      <c r="Z28" s="9"/>
      <c r="AA28" s="1566"/>
      <c r="AB28" s="1439"/>
      <c r="AC28" s="1439"/>
      <c r="AD28" s="1439"/>
    </row>
    <row r="29" spans="1:30" ht="22.5" customHeight="1">
      <c r="A29" s="9"/>
      <c r="B29" s="16"/>
      <c r="C29" s="68" t="s">
        <v>833</v>
      </c>
      <c r="D29" s="17"/>
      <c r="E29" s="17"/>
      <c r="F29" s="17"/>
      <c r="G29" s="17"/>
      <c r="H29" s="17"/>
      <c r="I29" s="17"/>
      <c r="J29" s="17"/>
      <c r="K29" s="18"/>
      <c r="L29" s="9"/>
      <c r="M29" s="16"/>
      <c r="N29" s="1419" t="str">
        <f>"Enter his or her net income for "&amp;yeartext</f>
        <v>Enter his or her net income for 2009</v>
      </c>
      <c r="O29" s="23"/>
      <c r="P29" s="23"/>
      <c r="Q29" s="23"/>
      <c r="R29" s="23"/>
      <c r="S29" s="23"/>
      <c r="T29" s="23"/>
      <c r="U29" s="17"/>
      <c r="V29" s="17"/>
      <c r="W29" s="17"/>
      <c r="X29" s="17"/>
      <c r="Y29" s="18"/>
      <c r="Z29" s="9"/>
      <c r="AA29" s="1566"/>
      <c r="AB29" s="1439"/>
      <c r="AC29" s="1439"/>
      <c r="AD29" s="1439"/>
    </row>
    <row r="30" spans="1:30" ht="20.25">
      <c r="A30" s="9"/>
      <c r="B30" s="16"/>
      <c r="C30" s="68" t="str">
        <f>"residence on"</f>
        <v>residence on</v>
      </c>
      <c r="D30" s="769" t="str">
        <f>"December 31, "&amp;yeartext&amp;":"</f>
        <v>December 31, 2009:</v>
      </c>
      <c r="E30" s="17"/>
      <c r="F30" s="17"/>
      <c r="G30" s="17"/>
      <c r="H30" s="1617" t="s">
        <v>2688</v>
      </c>
      <c r="I30" s="1617"/>
      <c r="J30" s="1617"/>
      <c r="K30" s="18"/>
      <c r="L30" s="9"/>
      <c r="M30" s="16"/>
      <c r="N30" s="22" t="s">
        <v>2185</v>
      </c>
      <c r="O30" s="23"/>
      <c r="P30" s="23"/>
      <c r="Q30" s="23"/>
      <c r="R30" s="23"/>
      <c r="S30" s="23"/>
      <c r="T30" s="23"/>
      <c r="U30" s="1649"/>
      <c r="V30" s="1650"/>
      <c r="W30" s="1650"/>
      <c r="X30" s="1650"/>
      <c r="Y30" s="18"/>
      <c r="Z30" s="9"/>
      <c r="AA30" s="1566"/>
      <c r="AB30" s="1439"/>
      <c r="AC30" s="1439"/>
      <c r="AD30" s="1439"/>
    </row>
    <row r="31" spans="1:27" ht="20.25">
      <c r="A31" s="9"/>
      <c r="B31" s="16"/>
      <c r="C31" s="22"/>
      <c r="D31" s="17"/>
      <c r="E31" s="17"/>
      <c r="F31" s="17"/>
      <c r="G31" s="17"/>
      <c r="H31" s="9"/>
      <c r="I31" s="9"/>
      <c r="J31" s="9"/>
      <c r="K31" s="18"/>
      <c r="L31" s="9"/>
      <c r="M31" s="16"/>
      <c r="N31" s="68" t="s">
        <v>2183</v>
      </c>
      <c r="O31" s="17"/>
      <c r="P31" s="17"/>
      <c r="Q31" s="17"/>
      <c r="R31" s="17"/>
      <c r="S31" s="17"/>
      <c r="T31" s="17"/>
      <c r="U31" s="1007"/>
      <c r="V31" s="1007"/>
      <c r="W31" s="1007"/>
      <c r="X31" s="1007"/>
      <c r="Y31" s="18"/>
      <c r="Z31" s="9"/>
      <c r="AA31" s="1566"/>
    </row>
    <row r="32" spans="1:28" ht="18" customHeight="1">
      <c r="A32" s="9"/>
      <c r="B32" s="16"/>
      <c r="C32" s="1644" t="s">
        <v>246</v>
      </c>
      <c r="D32" s="1645"/>
      <c r="E32" s="1645"/>
      <c r="F32" s="1645"/>
      <c r="G32" s="1645"/>
      <c r="H32" s="9"/>
      <c r="I32" s="9"/>
      <c r="J32" s="17"/>
      <c r="K32" s="18"/>
      <c r="L32" s="9"/>
      <c r="M32" s="16"/>
      <c r="N32" s="67" t="s">
        <v>2184</v>
      </c>
      <c r="O32" s="17"/>
      <c r="P32" s="17"/>
      <c r="Q32" s="17"/>
      <c r="R32" s="17"/>
      <c r="S32" s="17"/>
      <c r="T32" s="17"/>
      <c r="U32" s="1611"/>
      <c r="V32" s="1611"/>
      <c r="W32" s="1611"/>
      <c r="X32" s="1611"/>
      <c r="Y32" s="18"/>
      <c r="Z32" s="9"/>
      <c r="AA32" s="1566"/>
      <c r="AB32" s="1171"/>
    </row>
    <row r="33" spans="1:28" ht="27.75" customHeight="1">
      <c r="A33" s="9"/>
      <c r="B33" s="16"/>
      <c r="C33" s="1645"/>
      <c r="D33" s="1645"/>
      <c r="E33" s="1645"/>
      <c r="F33" s="1645"/>
      <c r="G33" s="1645"/>
      <c r="H33" s="1617"/>
      <c r="I33" s="1617"/>
      <c r="J33" s="1617"/>
      <c r="K33" s="18"/>
      <c r="L33" s="9"/>
      <c r="M33" s="16"/>
      <c r="N33" s="1616" t="s">
        <v>2186</v>
      </c>
      <c r="O33" s="1579"/>
      <c r="P33" s="1579"/>
      <c r="Q33" s="1579"/>
      <c r="R33" s="1579"/>
      <c r="S33" s="1579"/>
      <c r="T33" s="1579"/>
      <c r="U33" s="1007"/>
      <c r="V33" s="1007"/>
      <c r="W33" s="1007"/>
      <c r="X33" s="1007"/>
      <c r="Y33" s="18"/>
      <c r="Z33" s="9"/>
      <c r="AA33" s="1566"/>
      <c r="AB33" s="1171"/>
    </row>
    <row r="34" spans="1:28" ht="18" customHeight="1">
      <c r="A34" s="9"/>
      <c r="B34" s="16"/>
      <c r="C34" s="1616" t="str">
        <f>"If your were self-employed in "&amp;yeartext&amp;",
enter the province or territory of
self-employment:"</f>
        <v>If your were self-employed in 2009,
enter the province or territory of
self-employment:</v>
      </c>
      <c r="D34" s="1579"/>
      <c r="E34" s="1579"/>
      <c r="F34" s="1579"/>
      <c r="G34" s="1579"/>
      <c r="H34" s="17"/>
      <c r="I34" s="17"/>
      <c r="J34" s="17"/>
      <c r="K34" s="18"/>
      <c r="L34" s="9"/>
      <c r="M34" s="16"/>
      <c r="N34" s="1579"/>
      <c r="O34" s="1579"/>
      <c r="P34" s="1579"/>
      <c r="Q34" s="1579"/>
      <c r="R34" s="1579"/>
      <c r="S34" s="1579"/>
      <c r="T34" s="1579"/>
      <c r="U34" s="1611"/>
      <c r="V34" s="1611"/>
      <c r="W34" s="1611"/>
      <c r="X34" s="1611"/>
      <c r="Y34" s="18"/>
      <c r="Z34" s="9"/>
      <c r="AA34" s="1566"/>
      <c r="AB34" s="1171"/>
    </row>
    <row r="35" spans="1:27" ht="9.75" customHeight="1">
      <c r="A35" s="9"/>
      <c r="B35" s="16"/>
      <c r="C35" s="1579"/>
      <c r="D35" s="1579"/>
      <c r="E35" s="1579"/>
      <c r="F35" s="1579"/>
      <c r="G35" s="1579"/>
      <c r="H35" s="17"/>
      <c r="I35" s="17"/>
      <c r="J35" s="17"/>
      <c r="K35" s="18"/>
      <c r="L35" s="9"/>
      <c r="M35" s="16"/>
      <c r="N35" s="23"/>
      <c r="O35" s="23"/>
      <c r="P35" s="23"/>
      <c r="Q35" s="23"/>
      <c r="R35" s="23"/>
      <c r="S35" s="23"/>
      <c r="T35" s="23"/>
      <c r="U35" s="1007"/>
      <c r="V35" s="1007"/>
      <c r="W35" s="1007"/>
      <c r="X35" s="1007"/>
      <c r="Y35" s="18"/>
      <c r="Z35" s="9"/>
      <c r="AA35" s="1566"/>
    </row>
    <row r="36" spans="1:27" ht="20.25">
      <c r="A36" s="9"/>
      <c r="B36" s="16"/>
      <c r="C36" s="1579"/>
      <c r="D36" s="1579"/>
      <c r="E36" s="1579"/>
      <c r="F36" s="1579"/>
      <c r="G36" s="1579"/>
      <c r="H36" s="1617"/>
      <c r="I36" s="1617"/>
      <c r="J36" s="1617"/>
      <c r="K36" s="18"/>
      <c r="L36" s="9"/>
      <c r="M36" s="26"/>
      <c r="N36" s="21" t="str">
        <f>"Tick this box if he or she was self-employed in "&amp;yeartext&amp;":"</f>
        <v>Tick this box if he or she was self-employed in 2009:</v>
      </c>
      <c r="O36" s="21"/>
      <c r="P36" s="21"/>
      <c r="Q36" s="21"/>
      <c r="R36" s="21"/>
      <c r="S36" s="21"/>
      <c r="T36" s="21"/>
      <c r="U36" s="21"/>
      <c r="V36" s="21"/>
      <c r="W36" s="29" t="s">
        <v>1281</v>
      </c>
      <c r="X36" s="555" t="s">
        <v>1019</v>
      </c>
      <c r="Y36" s="27"/>
      <c r="Z36" s="9"/>
      <c r="AA36" s="1566"/>
    </row>
    <row r="37" spans="1:27" ht="9" customHeight="1">
      <c r="A37" s="9"/>
      <c r="B37" s="16"/>
      <c r="C37" s="770"/>
      <c r="D37" s="17"/>
      <c r="E37" s="17"/>
      <c r="F37" s="17"/>
      <c r="G37" s="17"/>
      <c r="H37" s="1008"/>
      <c r="I37" s="1008"/>
      <c r="J37" s="1008"/>
      <c r="K37" s="18"/>
      <c r="L37" s="9"/>
      <c r="M37" s="17"/>
      <c r="N37" s="17"/>
      <c r="O37" s="17"/>
      <c r="P37" s="17"/>
      <c r="Q37" s="17"/>
      <c r="R37" s="17"/>
      <c r="S37" s="17"/>
      <c r="T37" s="17"/>
      <c r="U37" s="17"/>
      <c r="V37" s="17"/>
      <c r="W37" s="969"/>
      <c r="X37" s="17"/>
      <c r="Y37" s="17"/>
      <c r="Z37" s="9"/>
      <c r="AA37" s="1566"/>
    </row>
    <row r="38" spans="1:28" ht="18" customHeight="1" thickBot="1">
      <c r="A38" s="9"/>
      <c r="B38" s="16"/>
      <c r="C38" s="573" t="str">
        <f>"If you became or ceased to be a resident of Canada in "&amp;yeartext&amp;", give the date of:"</f>
        <v>If you became or ceased to be a resident of Canada in 2009, give the date of:</v>
      </c>
      <c r="D38" s="17"/>
      <c r="E38" s="17"/>
      <c r="F38" s="17"/>
      <c r="G38" s="17"/>
      <c r="H38" s="1222"/>
      <c r="I38" s="68"/>
      <c r="J38" s="17"/>
      <c r="K38" s="18"/>
      <c r="L38" s="973"/>
      <c r="M38" s="970"/>
      <c r="N38" s="970"/>
      <c r="O38" s="970"/>
      <c r="P38" s="970"/>
      <c r="Q38" s="970"/>
      <c r="R38" s="970"/>
      <c r="S38" s="1178" t="str">
        <f>"Person deceased in "&amp;yeartext</f>
        <v>Person deceased in 2009</v>
      </c>
      <c r="T38" s="970"/>
      <c r="U38" s="970"/>
      <c r="V38" s="970"/>
      <c r="W38" s="970"/>
      <c r="X38" s="970"/>
      <c r="Y38" s="972"/>
      <c r="Z38" s="971"/>
      <c r="AA38" s="1566"/>
      <c r="AB38" s="943"/>
    </row>
    <row r="39" spans="1:28" ht="12.75">
      <c r="A39" s="9"/>
      <c r="B39" s="16"/>
      <c r="C39" s="17"/>
      <c r="D39" s="17"/>
      <c r="E39" s="31" t="s">
        <v>625</v>
      </c>
      <c r="F39" s="20" t="s">
        <v>626</v>
      </c>
      <c r="G39" s="17"/>
      <c r="H39" s="17"/>
      <c r="I39" s="31" t="s">
        <v>625</v>
      </c>
      <c r="J39" s="20" t="s">
        <v>626</v>
      </c>
      <c r="K39" s="18"/>
      <c r="L39" s="9"/>
      <c r="M39" s="574"/>
      <c r="N39" s="1166" t="s">
        <v>1291</v>
      </c>
      <c r="O39" s="575"/>
      <c r="P39" s="575"/>
      <c r="Q39" s="575"/>
      <c r="R39" s="575"/>
      <c r="S39" s="1604" t="s">
        <v>624</v>
      </c>
      <c r="T39" s="1605"/>
      <c r="U39" s="1610" t="s">
        <v>625</v>
      </c>
      <c r="V39" s="1610"/>
      <c r="W39" s="1610" t="s">
        <v>626</v>
      </c>
      <c r="X39" s="1610"/>
      <c r="Y39" s="576"/>
      <c r="Z39" s="9"/>
      <c r="AA39" s="1566"/>
      <c r="AB39" s="943"/>
    </row>
    <row r="40" spans="1:27" ht="21" customHeight="1">
      <c r="A40" s="9"/>
      <c r="B40" s="16"/>
      <c r="C40" s="17"/>
      <c r="D40" s="1165" t="s">
        <v>470</v>
      </c>
      <c r="E40" s="30"/>
      <c r="F40" s="30"/>
      <c r="G40" s="16"/>
      <c r="H40" s="974" t="s">
        <v>1289</v>
      </c>
      <c r="I40" s="30"/>
      <c r="J40" s="30"/>
      <c r="K40" s="18"/>
      <c r="L40" s="9"/>
      <c r="M40" s="976"/>
      <c r="N40" s="1167" t="s">
        <v>1290</v>
      </c>
      <c r="O40" s="21"/>
      <c r="P40" s="21"/>
      <c r="Q40" s="21"/>
      <c r="R40" s="21"/>
      <c r="S40" s="1602"/>
      <c r="T40" s="1603"/>
      <c r="U40" s="1622"/>
      <c r="V40" s="1623"/>
      <c r="W40" s="1622"/>
      <c r="X40" s="1623"/>
      <c r="Y40" s="977"/>
      <c r="Z40" s="9"/>
      <c r="AA40" s="1566"/>
    </row>
    <row r="41" spans="1:28" ht="12.75">
      <c r="A41" s="9"/>
      <c r="B41" s="26"/>
      <c r="C41" s="21"/>
      <c r="D41" s="21"/>
      <c r="E41" s="21"/>
      <c r="F41" s="21"/>
      <c r="G41" s="21"/>
      <c r="H41" s="21"/>
      <c r="I41" s="21"/>
      <c r="J41" s="21"/>
      <c r="K41" s="27"/>
      <c r="L41" s="9"/>
      <c r="M41" s="1176" t="s">
        <v>1294</v>
      </c>
      <c r="N41" s="975"/>
      <c r="O41" s="21"/>
      <c r="P41" s="21"/>
      <c r="Q41" s="1600"/>
      <c r="R41" s="1601"/>
      <c r="S41" s="999"/>
      <c r="T41" s="1000"/>
      <c r="U41" s="1600"/>
      <c r="V41" s="1601"/>
      <c r="W41" s="1600"/>
      <c r="X41" s="1621"/>
      <c r="Y41" s="1601"/>
      <c r="Z41" s="9"/>
      <c r="AA41" s="1566"/>
      <c r="AB41" s="943"/>
    </row>
    <row r="42" spans="1:29" ht="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1566"/>
      <c r="AC42" s="943"/>
    </row>
    <row r="43" spans="1:29" ht="7.5" customHeight="1" thickBot="1">
      <c r="A43" s="9"/>
      <c r="B43" s="9"/>
      <c r="C43" s="9"/>
      <c r="D43" s="9"/>
      <c r="E43" s="755"/>
      <c r="F43" s="9"/>
      <c r="G43" s="9"/>
      <c r="H43" s="9"/>
      <c r="I43" s="9"/>
      <c r="J43" s="9"/>
      <c r="K43" s="9"/>
      <c r="L43" s="9"/>
      <c r="M43" s="9"/>
      <c r="N43" s="9"/>
      <c r="O43" s="9"/>
      <c r="P43" s="755"/>
      <c r="Q43" s="9"/>
      <c r="R43" s="9"/>
      <c r="S43" s="9"/>
      <c r="T43" s="9"/>
      <c r="U43" s="9"/>
      <c r="V43" s="9"/>
      <c r="W43" s="9"/>
      <c r="X43" s="9"/>
      <c r="Y43" s="9"/>
      <c r="Z43" s="9"/>
      <c r="AA43" s="1566"/>
      <c r="AC43" s="944"/>
    </row>
    <row r="44" spans="1:29" ht="12.75">
      <c r="A44" s="9"/>
      <c r="B44" s="978"/>
      <c r="C44" s="979"/>
      <c r="D44" s="979"/>
      <c r="E44" s="979"/>
      <c r="F44" s="979"/>
      <c r="G44" s="979"/>
      <c r="H44" s="979"/>
      <c r="I44" s="979"/>
      <c r="J44" s="979"/>
      <c r="K44" s="979"/>
      <c r="L44" s="979"/>
      <c r="M44" s="979"/>
      <c r="N44" s="979"/>
      <c r="O44" s="979"/>
      <c r="P44" s="979"/>
      <c r="Q44" s="979"/>
      <c r="R44" s="979"/>
      <c r="S44" s="979"/>
      <c r="T44" s="979"/>
      <c r="U44" s="979"/>
      <c r="V44" s="979"/>
      <c r="W44" s="979"/>
      <c r="X44" s="979"/>
      <c r="Y44" s="980"/>
      <c r="Z44" s="9"/>
      <c r="AA44" s="1566"/>
      <c r="AC44" s="944"/>
    </row>
    <row r="45" spans="1:28" ht="20.25" customHeight="1">
      <c r="A45" s="9"/>
      <c r="B45" s="981"/>
      <c r="C45" s="943"/>
      <c r="D45" s="1418" t="s">
        <v>257</v>
      </c>
      <c r="F45" s="994"/>
      <c r="G45" s="943"/>
      <c r="H45" s="983"/>
      <c r="I45" s="943"/>
      <c r="J45" s="943"/>
      <c r="K45" s="943"/>
      <c r="L45" s="943"/>
      <c r="M45" s="943"/>
      <c r="N45" s="943"/>
      <c r="O45" s="943"/>
      <c r="P45" s="943"/>
      <c r="Q45" s="943"/>
      <c r="R45" s="943"/>
      <c r="S45" s="943"/>
      <c r="T45" s="943"/>
      <c r="U45" s="943"/>
      <c r="V45" s="943"/>
      <c r="W45" s="943"/>
      <c r="X45" s="943"/>
      <c r="Y45" s="984"/>
      <c r="Z45" s="9"/>
      <c r="AA45" s="1566"/>
      <c r="AB45" s="943"/>
    </row>
    <row r="46" spans="1:28" ht="18" customHeight="1">
      <c r="A46" s="9"/>
      <c r="B46" s="1170"/>
      <c r="C46" s="1172" t="s">
        <v>1292</v>
      </c>
      <c r="D46" s="982"/>
      <c r="E46" s="1168"/>
      <c r="F46" s="994"/>
      <c r="G46" s="986"/>
      <c r="H46" s="1177"/>
      <c r="I46" s="986"/>
      <c r="J46" s="986"/>
      <c r="K46" s="986"/>
      <c r="L46" s="986"/>
      <c r="M46" s="986"/>
      <c r="N46" s="986"/>
      <c r="O46" s="986"/>
      <c r="P46" s="986"/>
      <c r="Q46" s="986"/>
      <c r="R46" s="986"/>
      <c r="S46" s="986"/>
      <c r="T46" s="987" t="s">
        <v>985</v>
      </c>
      <c r="U46" s="266" t="s">
        <v>586</v>
      </c>
      <c r="V46" s="987" t="s">
        <v>1293</v>
      </c>
      <c r="W46" s="555" t="s">
        <v>1019</v>
      </c>
      <c r="X46" s="988" t="s">
        <v>986</v>
      </c>
      <c r="Y46" s="984"/>
      <c r="Z46" s="9"/>
      <c r="AA46" s="1566"/>
      <c r="AB46" s="943"/>
    </row>
    <row r="47" spans="1:27" ht="26.25" customHeight="1">
      <c r="A47" s="9"/>
      <c r="B47" s="981"/>
      <c r="C47" s="996" t="s">
        <v>700</v>
      </c>
      <c r="D47" s="982"/>
      <c r="E47" s="943"/>
      <c r="F47" s="943"/>
      <c r="G47" s="943"/>
      <c r="H47" s="983"/>
      <c r="I47" s="943"/>
      <c r="J47" s="943"/>
      <c r="K47" s="943"/>
      <c r="L47" s="943"/>
      <c r="M47" s="943"/>
      <c r="N47" s="943"/>
      <c r="O47" s="943"/>
      <c r="P47" s="943"/>
      <c r="Q47" s="943"/>
      <c r="R47" s="943"/>
      <c r="S47" s="943"/>
      <c r="T47" s="943"/>
      <c r="U47" s="943"/>
      <c r="V47" s="943"/>
      <c r="W47" s="943"/>
      <c r="X47" s="943"/>
      <c r="Y47" s="984"/>
      <c r="Z47" s="9"/>
      <c r="AA47" s="1566"/>
    </row>
    <row r="48" spans="1:27" ht="24" customHeight="1">
      <c r="A48" s="9"/>
      <c r="B48" s="1169"/>
      <c r="C48" s="985" t="s">
        <v>258</v>
      </c>
      <c r="D48" s="943"/>
      <c r="E48" s="943"/>
      <c r="F48" s="943"/>
      <c r="G48" s="943"/>
      <c r="H48" s="943"/>
      <c r="I48" s="943"/>
      <c r="J48" s="943"/>
      <c r="K48" s="943"/>
      <c r="L48" s="943"/>
      <c r="M48" s="943"/>
      <c r="N48" s="943"/>
      <c r="O48" s="943"/>
      <c r="P48" s="943"/>
      <c r="Q48" s="943"/>
      <c r="R48" s="943"/>
      <c r="S48" s="943"/>
      <c r="T48" s="943"/>
      <c r="U48" s="943"/>
      <c r="V48" s="943"/>
      <c r="W48" s="943"/>
      <c r="X48" s="943"/>
      <c r="Y48" s="984"/>
      <c r="Z48" s="9"/>
      <c r="AA48" s="1566"/>
    </row>
    <row r="49" spans="1:27" ht="20.25">
      <c r="A49" s="9"/>
      <c r="B49" s="981"/>
      <c r="C49" s="1499" t="s">
        <v>1332</v>
      </c>
      <c r="D49" s="943"/>
      <c r="E49" s="943"/>
      <c r="F49" s="943"/>
      <c r="G49" s="943"/>
      <c r="H49" s="943"/>
      <c r="I49" s="943"/>
      <c r="J49" s="943"/>
      <c r="K49" s="943"/>
      <c r="L49" s="943"/>
      <c r="M49" s="943"/>
      <c r="N49" s="943"/>
      <c r="O49" s="943"/>
      <c r="P49" s="943"/>
      <c r="Q49" s="943"/>
      <c r="R49" s="943"/>
      <c r="S49" s="986"/>
      <c r="T49" s="987" t="s">
        <v>985</v>
      </c>
      <c r="U49" s="555" t="s">
        <v>1019</v>
      </c>
      <c r="V49" s="987" t="s">
        <v>1293</v>
      </c>
      <c r="W49" s="555" t="s">
        <v>1019</v>
      </c>
      <c r="X49" s="988" t="s">
        <v>986</v>
      </c>
      <c r="Y49" s="984"/>
      <c r="Z49" s="9"/>
      <c r="AA49" s="1566"/>
    </row>
    <row r="50" spans="1:27" ht="18">
      <c r="A50" s="9"/>
      <c r="B50" s="981"/>
      <c r="C50" s="985" t="s">
        <v>262</v>
      </c>
      <c r="D50" s="943"/>
      <c r="E50" s="943"/>
      <c r="F50" s="943"/>
      <c r="G50" s="943"/>
      <c r="H50" s="943"/>
      <c r="I50" s="943"/>
      <c r="J50" s="943"/>
      <c r="K50" s="943"/>
      <c r="L50" s="943"/>
      <c r="M50" s="943"/>
      <c r="N50" s="943"/>
      <c r="O50" s="943"/>
      <c r="P50" s="943"/>
      <c r="Q50" s="943"/>
      <c r="R50" s="943"/>
      <c r="S50" s="943"/>
      <c r="T50" s="987"/>
      <c r="U50" s="1009"/>
      <c r="V50" s="987"/>
      <c r="W50" s="1009"/>
      <c r="X50" s="988"/>
      <c r="Y50" s="984"/>
      <c r="Z50" s="9"/>
      <c r="AA50" s="1566"/>
    </row>
    <row r="51" spans="1:27" ht="18">
      <c r="A51" s="9"/>
      <c r="B51" s="981"/>
      <c r="C51" s="985" t="s">
        <v>263</v>
      </c>
      <c r="D51" s="943"/>
      <c r="E51" s="943"/>
      <c r="F51" s="943"/>
      <c r="G51" s="943"/>
      <c r="H51" s="943"/>
      <c r="I51" s="943"/>
      <c r="J51" s="943"/>
      <c r="K51" s="943"/>
      <c r="L51" s="943"/>
      <c r="M51" s="943"/>
      <c r="N51" s="943"/>
      <c r="O51" s="943"/>
      <c r="P51" s="943"/>
      <c r="Q51" s="943"/>
      <c r="R51" s="943"/>
      <c r="S51" s="943"/>
      <c r="T51" s="987"/>
      <c r="U51" s="1009"/>
      <c r="V51" s="987"/>
      <c r="W51" s="1009"/>
      <c r="X51" s="988"/>
      <c r="Y51" s="984"/>
      <c r="Z51" s="9"/>
      <c r="AA51" s="1566"/>
    </row>
    <row r="52" spans="1:27" ht="15.75" thickBot="1">
      <c r="A52" s="9"/>
      <c r="B52" s="989"/>
      <c r="C52" s="1173" t="s">
        <v>259</v>
      </c>
      <c r="D52" s="991"/>
      <c r="E52" s="991"/>
      <c r="F52" s="991"/>
      <c r="G52" s="991"/>
      <c r="H52" s="991"/>
      <c r="I52" s="991"/>
      <c r="J52" s="991"/>
      <c r="K52" s="991"/>
      <c r="L52" s="991"/>
      <c r="M52" s="991"/>
      <c r="N52" s="991"/>
      <c r="O52" s="991"/>
      <c r="P52" s="991"/>
      <c r="Q52" s="991"/>
      <c r="R52" s="991"/>
      <c r="S52" s="991"/>
      <c r="T52" s="991"/>
      <c r="U52" s="991"/>
      <c r="V52" s="991"/>
      <c r="W52" s="991"/>
      <c r="X52" s="991"/>
      <c r="Y52" s="992"/>
      <c r="Z52" s="9"/>
      <c r="AA52" s="1566"/>
    </row>
    <row r="53" spans="1:27" ht="13.5" thickBot="1">
      <c r="A53" s="9"/>
      <c r="B53" s="9"/>
      <c r="C53" s="9"/>
      <c r="D53" s="9"/>
      <c r="E53" s="9"/>
      <c r="F53" s="9"/>
      <c r="G53" s="9"/>
      <c r="H53" s="9"/>
      <c r="I53" s="9"/>
      <c r="J53" s="9"/>
      <c r="K53" s="9"/>
      <c r="L53" s="9"/>
      <c r="M53" s="9"/>
      <c r="N53" s="9"/>
      <c r="O53" s="9"/>
      <c r="P53" s="9"/>
      <c r="Q53" s="9"/>
      <c r="R53" s="9"/>
      <c r="S53" s="9"/>
      <c r="T53" s="9"/>
      <c r="U53" s="9"/>
      <c r="V53" s="9"/>
      <c r="W53" s="9"/>
      <c r="X53" s="9"/>
      <c r="Y53" s="9"/>
      <c r="Z53" s="9"/>
      <c r="AA53" s="1566"/>
    </row>
    <row r="54" spans="1:27" ht="7.5" customHeight="1">
      <c r="A54" s="9"/>
      <c r="B54" s="978"/>
      <c r="C54" s="979"/>
      <c r="D54" s="979"/>
      <c r="E54" s="979"/>
      <c r="F54" s="979"/>
      <c r="G54" s="979"/>
      <c r="H54" s="979"/>
      <c r="I54" s="979"/>
      <c r="J54" s="979"/>
      <c r="K54" s="979"/>
      <c r="L54" s="979"/>
      <c r="M54" s="979"/>
      <c r="N54" s="979"/>
      <c r="O54" s="979"/>
      <c r="P54" s="979"/>
      <c r="Q54" s="979"/>
      <c r="R54" s="979"/>
      <c r="S54" s="979"/>
      <c r="T54" s="979"/>
      <c r="U54" s="979"/>
      <c r="V54" s="979"/>
      <c r="W54" s="979"/>
      <c r="X54" s="979"/>
      <c r="Y54" s="980"/>
      <c r="Z54" s="9"/>
      <c r="AA54" s="1566"/>
    </row>
    <row r="55" spans="1:27" ht="20.25">
      <c r="A55" s="9"/>
      <c r="B55" s="981"/>
      <c r="C55" s="1157" t="s">
        <v>2062</v>
      </c>
      <c r="D55" s="943"/>
      <c r="E55" s="943"/>
      <c r="F55" s="943"/>
      <c r="G55" s="943"/>
      <c r="H55" s="943"/>
      <c r="I55" s="943"/>
      <c r="J55" s="943"/>
      <c r="K55" s="943"/>
      <c r="L55" s="943"/>
      <c r="M55" s="943"/>
      <c r="N55" s="943"/>
      <c r="O55" s="943"/>
      <c r="P55" s="943"/>
      <c r="Q55" s="943"/>
      <c r="R55" s="943"/>
      <c r="S55" s="943"/>
      <c r="T55" s="943"/>
      <c r="U55" s="943"/>
      <c r="V55" s="943"/>
      <c r="W55" s="943"/>
      <c r="X55" s="943"/>
      <c r="Y55" s="984"/>
      <c r="Z55" s="9"/>
      <c r="AA55" s="1566"/>
    </row>
    <row r="56" spans="1:27" ht="16.5" customHeight="1">
      <c r="A56" s="9"/>
      <c r="B56" s="981"/>
      <c r="C56" s="996" t="s">
        <v>260</v>
      </c>
      <c r="D56" s="943"/>
      <c r="E56" s="943"/>
      <c r="F56" s="943"/>
      <c r="G56" s="943"/>
      <c r="H56" s="943"/>
      <c r="I56" s="943"/>
      <c r="J56" s="943"/>
      <c r="K56" s="943"/>
      <c r="L56" s="943"/>
      <c r="M56" s="943"/>
      <c r="N56" s="943"/>
      <c r="O56" s="943"/>
      <c r="P56" s="943"/>
      <c r="Q56" s="943"/>
      <c r="R56" s="943"/>
      <c r="S56" s="943"/>
      <c r="T56" s="943"/>
      <c r="U56" s="943"/>
      <c r="V56" s="943"/>
      <c r="W56" s="943"/>
      <c r="X56" s="993"/>
      <c r="Y56" s="984"/>
      <c r="Z56" s="9"/>
      <c r="AA56" s="1566"/>
    </row>
    <row r="57" spans="1:27" ht="20.25">
      <c r="A57" s="9"/>
      <c r="B57" s="981"/>
      <c r="C57" s="985" t="str">
        <f>PG1TEXT</f>
        <v>Are you applying for the GST/HST credit?</v>
      </c>
      <c r="D57" s="943"/>
      <c r="E57" s="943"/>
      <c r="F57" s="943"/>
      <c r="G57" s="943"/>
      <c r="H57" s="943"/>
      <c r="I57" s="943"/>
      <c r="J57" s="943"/>
      <c r="K57" s="943"/>
      <c r="L57" s="943"/>
      <c r="M57" s="943"/>
      <c r="N57" s="943"/>
      <c r="O57" s="943"/>
      <c r="P57" s="986"/>
      <c r="Q57" s="986"/>
      <c r="R57" s="986"/>
      <c r="S57" s="986"/>
      <c r="T57" s="987" t="s">
        <v>985</v>
      </c>
      <c r="U57" s="266" t="s">
        <v>586</v>
      </c>
      <c r="V57" s="987" t="s">
        <v>198</v>
      </c>
      <c r="W57" s="555" t="s">
        <v>1019</v>
      </c>
      <c r="X57" s="988" t="s">
        <v>986</v>
      </c>
      <c r="Y57" s="984"/>
      <c r="Z57" s="9"/>
      <c r="AA57" s="1566"/>
    </row>
    <row r="58" spans="1:27" ht="15.75" thickBot="1">
      <c r="A58" s="9"/>
      <c r="B58" s="989"/>
      <c r="C58" s="990"/>
      <c r="D58" s="991"/>
      <c r="E58" s="991"/>
      <c r="F58" s="991"/>
      <c r="G58" s="991"/>
      <c r="H58" s="991"/>
      <c r="I58" s="991"/>
      <c r="J58" s="991"/>
      <c r="K58" s="991"/>
      <c r="L58" s="991"/>
      <c r="M58" s="991"/>
      <c r="N58" s="991"/>
      <c r="O58" s="991"/>
      <c r="P58" s="991"/>
      <c r="Q58" s="991"/>
      <c r="R58" s="991"/>
      <c r="S58" s="991"/>
      <c r="T58" s="991"/>
      <c r="U58" s="991"/>
      <c r="V58" s="991"/>
      <c r="W58" s="991"/>
      <c r="X58" s="991"/>
      <c r="Y58" s="992"/>
      <c r="Z58" s="9"/>
      <c r="AA58" s="1566"/>
    </row>
    <row r="59" spans="1:27" ht="15.75">
      <c r="A59" s="9"/>
      <c r="B59" s="9"/>
      <c r="C59" s="9"/>
      <c r="D59" s="9"/>
      <c r="E59" s="9"/>
      <c r="F59" s="9"/>
      <c r="G59" s="9"/>
      <c r="H59" s="9"/>
      <c r="I59" s="9"/>
      <c r="J59" s="9"/>
      <c r="K59" s="9"/>
      <c r="L59" s="9"/>
      <c r="M59" s="9"/>
      <c r="N59" s="9"/>
      <c r="O59" s="9"/>
      <c r="P59" s="9"/>
      <c r="Q59" s="9"/>
      <c r="R59" s="9"/>
      <c r="S59" s="9"/>
      <c r="T59" s="9"/>
      <c r="U59" s="9"/>
      <c r="V59" s="9"/>
      <c r="W59" s="9"/>
      <c r="X59" s="741"/>
      <c r="Y59" s="9"/>
      <c r="Z59" s="9"/>
      <c r="AA59" s="1566"/>
    </row>
    <row r="60" spans="1:27" ht="12.75" customHeight="1">
      <c r="A60" s="9"/>
      <c r="B60" s="9"/>
      <c r="C60" s="9"/>
      <c r="D60" s="9"/>
      <c r="E60" s="9"/>
      <c r="F60" s="9"/>
      <c r="G60" s="9"/>
      <c r="H60" s="9"/>
      <c r="I60" s="9"/>
      <c r="J60" s="9"/>
      <c r="K60" s="9"/>
      <c r="L60" s="9"/>
      <c r="M60" s="9"/>
      <c r="N60" s="9"/>
      <c r="O60" s="9"/>
      <c r="P60" s="21"/>
      <c r="Q60" s="21"/>
      <c r="R60" s="21"/>
      <c r="S60" s="21"/>
      <c r="T60" s="21"/>
      <c r="U60" s="21"/>
      <c r="V60" s="21"/>
      <c r="W60" s="21"/>
      <c r="X60" s="21"/>
      <c r="Y60" s="21"/>
      <c r="Z60" s="9"/>
      <c r="AA60" s="1566"/>
    </row>
    <row r="61" spans="1:27" ht="15" customHeight="1">
      <c r="A61" s="9"/>
      <c r="B61" s="1612" t="s">
        <v>1525</v>
      </c>
      <c r="C61" s="1613"/>
      <c r="D61" s="1594">
        <v>172</v>
      </c>
      <c r="E61" s="1619"/>
      <c r="F61" s="1620"/>
      <c r="G61" s="32"/>
      <c r="H61" s="1618"/>
      <c r="I61" s="1618"/>
      <c r="J61" s="1174"/>
      <c r="K61" s="1175"/>
      <c r="L61" s="1594">
        <v>171</v>
      </c>
      <c r="M61" s="1595"/>
      <c r="N61" s="1595"/>
      <c r="O61" s="1596"/>
      <c r="P61" s="1153"/>
      <c r="Q61" s="1154"/>
      <c r="R61" s="1153"/>
      <c r="S61" s="1154"/>
      <c r="T61" s="1153"/>
      <c r="U61" s="1155"/>
      <c r="V61" s="1154"/>
      <c r="W61" s="1153"/>
      <c r="X61" s="1155"/>
      <c r="Y61" s="1154"/>
      <c r="Z61" s="9"/>
      <c r="AA61" s="1566"/>
    </row>
    <row r="62" spans="1:27" ht="15" customHeight="1">
      <c r="A62" s="9"/>
      <c r="B62" s="1614" t="s">
        <v>1526</v>
      </c>
      <c r="C62" s="1615"/>
      <c r="D62" s="1597"/>
      <c r="E62" s="1619"/>
      <c r="F62" s="1620"/>
      <c r="G62" s="32"/>
      <c r="H62" s="1618"/>
      <c r="I62" s="1618"/>
      <c r="J62" s="1174"/>
      <c r="K62" s="1175"/>
      <c r="L62" s="1597"/>
      <c r="M62" s="1598"/>
      <c r="N62" s="1598"/>
      <c r="O62" s="1599"/>
      <c r="P62" s="1153"/>
      <c r="Q62" s="1154"/>
      <c r="R62" s="1153"/>
      <c r="S62" s="1154"/>
      <c r="T62" s="1153"/>
      <c r="U62" s="1155"/>
      <c r="V62" s="1154"/>
      <c r="W62" s="1153"/>
      <c r="X62" s="1155"/>
      <c r="Y62" s="1154"/>
      <c r="Z62" s="9"/>
      <c r="AA62" s="1566"/>
    </row>
    <row r="63" spans="1:27" ht="18.75" customHeight="1">
      <c r="A63" s="9"/>
      <c r="B63" s="59" t="s">
        <v>1716</v>
      </c>
      <c r="C63" s="9"/>
      <c r="D63" s="9"/>
      <c r="E63" s="9"/>
      <c r="F63" s="9"/>
      <c r="G63" s="9"/>
      <c r="H63" s="9"/>
      <c r="I63" s="9"/>
      <c r="J63" s="9"/>
      <c r="K63" s="9"/>
      <c r="L63" s="9"/>
      <c r="M63" s="9"/>
      <c r="N63" s="9"/>
      <c r="O63" s="9"/>
      <c r="P63" s="9"/>
      <c r="Q63" s="9"/>
      <c r="R63" s="9"/>
      <c r="S63" s="9"/>
      <c r="T63" s="9"/>
      <c r="U63" s="9"/>
      <c r="V63" s="9"/>
      <c r="W63" s="9"/>
      <c r="X63" s="9"/>
      <c r="Y63" s="9"/>
      <c r="Z63" s="9"/>
      <c r="AA63" s="1566"/>
    </row>
  </sheetData>
  <sheetProtection password="EC35" sheet="1" objects="1" scenarios="1"/>
  <mergeCells count="47">
    <mergeCell ref="C32:G33"/>
    <mergeCell ref="H18:J18"/>
    <mergeCell ref="T12:X12"/>
    <mergeCell ref="H30:J30"/>
    <mergeCell ref="U30:X30"/>
    <mergeCell ref="H33:J33"/>
    <mergeCell ref="N33:T34"/>
    <mergeCell ref="F19:G19"/>
    <mergeCell ref="AA4:AA63"/>
    <mergeCell ref="X7:Y8"/>
    <mergeCell ref="V7:W8"/>
    <mergeCell ref="D12:J12"/>
    <mergeCell ref="D14:J14"/>
    <mergeCell ref="W13:X13"/>
    <mergeCell ref="W14:X14"/>
    <mergeCell ref="U13:V13"/>
    <mergeCell ref="U14:V14"/>
    <mergeCell ref="U41:V41"/>
    <mergeCell ref="W41:Y41"/>
    <mergeCell ref="U40:V40"/>
    <mergeCell ref="W40:X40"/>
    <mergeCell ref="D16:J16"/>
    <mergeCell ref="T26:X26"/>
    <mergeCell ref="I20:J20"/>
    <mergeCell ref="C20:D20"/>
    <mergeCell ref="F20:G20"/>
    <mergeCell ref="D18:G18"/>
    <mergeCell ref="M25:Y25"/>
    <mergeCell ref="B61:C61"/>
    <mergeCell ref="B62:C62"/>
    <mergeCell ref="C34:G36"/>
    <mergeCell ref="H36:J36"/>
    <mergeCell ref="H61:I61"/>
    <mergeCell ref="H62:I62"/>
    <mergeCell ref="D61:D62"/>
    <mergeCell ref="E61:F61"/>
    <mergeCell ref="E62:F62"/>
    <mergeCell ref="L61:O62"/>
    <mergeCell ref="Q41:R41"/>
    <mergeCell ref="S40:T40"/>
    <mergeCell ref="S39:T39"/>
    <mergeCell ref="V4:X4"/>
    <mergeCell ref="S28:X28"/>
    <mergeCell ref="U39:V39"/>
    <mergeCell ref="W39:X39"/>
    <mergeCell ref="U34:X34"/>
    <mergeCell ref="U32:X32"/>
  </mergeCells>
  <dataValidations count="13">
    <dataValidation type="whole" operator="greaterThan" allowBlank="1" showInputMessage="1" showErrorMessage="1" errorTitle="SOCIAL INSURANCE NUMBER FORMAT" error="Enter a number without any  - or blanks&#10;Example:  012034056&#10;" sqref="T12">
      <formula1>0</formula1>
    </dataValidation>
    <dataValidation allowBlank="1" showErrorMessage="1" prompt="&#10;" sqref="F20:G20"/>
    <dataValidation allowBlank="1" showErrorMessage="1" sqref="C20:D20"/>
    <dataValidation allowBlank="1" showInputMessage="1" showErrorMessage="1" promptTitle="$ DONATION REQUEST:" prompt="Please support this software&#10;by mailing a $10. cheque or cash to:&#10;&#10;Peel Technologies&#10;11025 Miller Road, RR # 1&#10;Dutton, ON, N0L 1J0 &#10;&#10;or use the Paypal button on our web site:&#10;www.peeltech.ca&#10;&#10;Sincerely, &#10;Egbert Verbrugge  P.Eng., B.E.Sc., Ph.D." sqref="I20:J20"/>
    <dataValidation type="whole" operator="greaterThan" allowBlank="1" showInputMessage="1" showErrorMessage="1" errorTitle="SOCIAL INSURANCE NUMBER FORMAT" error="Enter a number without any - or blanks&#10;Example: 012134567" sqref="T26:X26">
      <formula1>0</formula1>
    </dataValidation>
    <dataValidation type="whole" operator="greaterThan" allowBlank="1" showInputMessage="1" showErrorMessage="1" errorTitle="DATE ERROR" error="Year must be 1900 or later because of pc date limitation." sqref="T14">
      <formula1>1899</formula1>
    </dataValidation>
    <dataValidation type="whole" allowBlank="1" showInputMessage="1" showErrorMessage="1" errorTitle="DATE ERROR" error="Month must be between 1 and 12" sqref="U14:V14">
      <formula1>1</formula1>
      <formula2>12</formula2>
    </dataValidation>
    <dataValidation type="whole" allowBlank="1" showInputMessage="1" showErrorMessage="1" errorTitle="DATE ERROR" error="Day must be between 1 and 31" sqref="W14:X14">
      <formula1>1</formula1>
      <formula2>31</formula2>
    </dataValidation>
    <dataValidation type="whole" allowBlank="1" showInputMessage="1" showErrorMessage="1" errorTitle="DATE FORMAT" error="Month must be between 1 and 12" sqref="I40 U40:V40 E40">
      <formula1>1</formula1>
      <formula2>12</formula2>
    </dataValidation>
    <dataValidation type="whole" allowBlank="1" showInputMessage="1" showErrorMessage="1" errorTitle="DATE FORMAT" error="Day must be between 1 and 31" sqref="F40 W40:X40 J40">
      <formula1>1</formula1>
      <formula2>31</formula2>
    </dataValidation>
    <dataValidation type="list" showInputMessage="1" showErrorMessage="1" sqref="T16">
      <formula1>"X,'"</formula1>
    </dataValidation>
    <dataValidation type="list" allowBlank="1" showInputMessage="1" showErrorMessage="1" sqref="U57 W46 W49 U49 U46 V20:V21 R20:R21 O20:O21 X36 X16 W57">
      <formula1>"X,'"</formula1>
    </dataValidation>
    <dataValidation type="whole" allowBlank="1" showInputMessage="1" showErrorMessage="1" error="Invalid Year:  Format YYYY" sqref="S40:T40">
      <formula1>1900</formula1>
      <formula2>2100</formula2>
    </dataValidation>
  </dataValidations>
  <printOptions/>
  <pageMargins left="0" right="0" top="0" bottom="0" header="0.511811023622047" footer="0.511811023622047"/>
  <pageSetup fitToHeight="0" fitToWidth="1" horizontalDpi="600" verticalDpi="600" orientation="portrait" scale="73" r:id="rId2"/>
  <drawing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M171"/>
  <sheetViews>
    <sheetView zoomScalePageLayoutView="0" workbookViewId="0" topLeftCell="A1">
      <selection activeCell="B1" sqref="B1"/>
    </sheetView>
  </sheetViews>
  <sheetFormatPr defaultColWidth="9.77734375" defaultRowHeight="15"/>
  <cols>
    <col min="1" max="1" width="1.77734375" style="579" customWidth="1"/>
    <col min="2" max="2" width="32.4453125" style="579" customWidth="1"/>
    <col min="3" max="3" width="6.77734375" style="579" customWidth="1"/>
    <col min="4" max="4" width="4.77734375" style="579" customWidth="1"/>
    <col min="5" max="5" width="11.5546875" style="579" customWidth="1"/>
    <col min="6" max="6" width="4.77734375" style="579" customWidth="1"/>
    <col min="7" max="7" width="11.77734375" style="579" customWidth="1"/>
    <col min="8" max="8" width="4.77734375" style="579" customWidth="1"/>
    <col min="9" max="9" width="11.77734375" style="579" customWidth="1"/>
    <col min="10" max="10" width="4.77734375" style="579" customWidth="1"/>
    <col min="11" max="11" width="10.77734375" style="579" customWidth="1"/>
    <col min="12" max="12" width="1.77734375" style="579" customWidth="1"/>
    <col min="13" max="16384" width="9.77734375" style="579" customWidth="1"/>
  </cols>
  <sheetData>
    <row r="1" spans="2:13" ht="18">
      <c r="B1" s="451"/>
      <c r="C1" s="452"/>
      <c r="D1" s="452"/>
      <c r="E1" s="452"/>
      <c r="F1" s="452"/>
      <c r="G1" s="452"/>
      <c r="H1" s="452"/>
      <c r="I1" s="452"/>
      <c r="J1" s="88" t="str">
        <f>Province</f>
        <v>AB</v>
      </c>
      <c r="K1" s="111">
        <v>2</v>
      </c>
      <c r="L1" s="578"/>
      <c r="M1" s="1566" t="s">
        <v>35</v>
      </c>
    </row>
    <row r="2" spans="2:13" ht="15.75">
      <c r="B2" s="1562" t="s">
        <v>1475</v>
      </c>
      <c r="C2" s="452"/>
      <c r="D2" s="452"/>
      <c r="E2" s="452"/>
      <c r="F2" s="452"/>
      <c r="G2" s="452"/>
      <c r="H2" s="452"/>
      <c r="I2" s="452"/>
      <c r="J2" s="453"/>
      <c r="K2" s="578"/>
      <c r="L2" s="578"/>
      <c r="M2" s="1566"/>
    </row>
    <row r="3" spans="2:13" ht="22.5" customHeight="1">
      <c r="B3" s="1563" t="s">
        <v>1234</v>
      </c>
      <c r="C3" s="1010"/>
      <c r="D3" s="1010"/>
      <c r="E3" s="1010"/>
      <c r="F3" s="1010"/>
      <c r="G3" s="1010"/>
      <c r="H3" s="1010"/>
      <c r="I3" s="1010"/>
      <c r="J3" s="1010"/>
      <c r="K3" s="578"/>
      <c r="L3" s="578"/>
      <c r="M3" s="1566"/>
    </row>
    <row r="4" spans="2:13" ht="18">
      <c r="B4" s="1158" t="s">
        <v>1717</v>
      </c>
      <c r="C4" s="1019"/>
      <c r="D4" s="1020"/>
      <c r="E4" s="1021"/>
      <c r="F4" s="1022"/>
      <c r="G4" s="1023"/>
      <c r="H4" s="1021"/>
      <c r="I4" s="1021"/>
      <c r="J4" s="1022"/>
      <c r="K4" s="1024"/>
      <c r="L4" s="578"/>
      <c r="M4" s="1566"/>
    </row>
    <row r="5" spans="2:13" ht="29.25" customHeight="1">
      <c r="B5" s="1025" t="str">
        <f>"Did you own or hold foreign property at any time in "&amp;yeartext&amp;" with a total cost of more than CAN$100,000?"</f>
        <v>Did you own or hold foreign property at any time in 2009 with a total cost of more than CAN$100,000?</v>
      </c>
      <c r="C5" s="1026"/>
      <c r="D5" s="1027"/>
      <c r="E5" s="1026"/>
      <c r="F5" s="1028"/>
      <c r="G5" s="1029"/>
      <c r="H5" s="1026"/>
      <c r="I5" s="1026"/>
      <c r="J5" s="1028"/>
      <c r="K5" s="1030"/>
      <c r="L5" s="578"/>
      <c r="M5" s="1566"/>
    </row>
    <row r="6" spans="2:13" ht="20.25">
      <c r="B6" s="1025" t="s">
        <v>264</v>
      </c>
      <c r="C6" s="1026"/>
      <c r="D6" s="1027"/>
      <c r="E6" s="1026"/>
      <c r="F6" s="1041">
        <v>266</v>
      </c>
      <c r="G6" s="1031" t="s">
        <v>1838</v>
      </c>
      <c r="H6" s="1032" t="s">
        <v>1019</v>
      </c>
      <c r="I6" s="1033" t="s">
        <v>1837</v>
      </c>
      <c r="J6" s="1034" t="s">
        <v>586</v>
      </c>
      <c r="K6" s="1035" t="s">
        <v>986</v>
      </c>
      <c r="L6" s="578"/>
      <c r="M6" s="1566"/>
    </row>
    <row r="7" spans="2:13" ht="18">
      <c r="B7" s="1025" t="s">
        <v>1300</v>
      </c>
      <c r="C7" s="1026"/>
      <c r="D7" s="1027"/>
      <c r="E7" s="1026"/>
      <c r="F7" s="1028"/>
      <c r="G7" s="1029"/>
      <c r="H7" s="1026"/>
      <c r="I7" s="1026"/>
      <c r="J7" s="1028"/>
      <c r="K7" s="1030"/>
      <c r="L7" s="578"/>
      <c r="M7" s="1566"/>
    </row>
    <row r="8" spans="2:13" ht="34.5" customHeight="1">
      <c r="B8" s="1042" t="str">
        <f>"If you had dealings with a non-resident trust or corporation in "&amp;yeartext&amp;", see the "&amp;CHAR(34)&amp;"Foreign income"&amp;CHAR(34)&amp;" section in the guide."</f>
        <v>If you had dealings with a non-resident trust or corporation in 2009, see the "Foreign income" section in the guide.</v>
      </c>
      <c r="C8" s="1036"/>
      <c r="D8" s="1037"/>
      <c r="E8" s="1036"/>
      <c r="F8" s="1038"/>
      <c r="G8" s="1039"/>
      <c r="H8" s="1036"/>
      <c r="I8" s="1036"/>
      <c r="J8" s="1038"/>
      <c r="K8" s="1040"/>
      <c r="L8" s="578"/>
      <c r="M8" s="1566"/>
    </row>
    <row r="9" spans="2:13" ht="13.5" customHeight="1">
      <c r="B9" s="95"/>
      <c r="C9" s="95"/>
      <c r="D9" s="116"/>
      <c r="E9" s="78"/>
      <c r="F9" s="113"/>
      <c r="G9" s="95"/>
      <c r="H9" s="78"/>
      <c r="I9" s="78"/>
      <c r="J9" s="113"/>
      <c r="K9" s="111"/>
      <c r="L9" s="578"/>
      <c r="M9" s="1566"/>
    </row>
    <row r="10" spans="2:13" ht="21" customHeight="1">
      <c r="B10" s="95" t="s">
        <v>2004</v>
      </c>
      <c r="C10" s="95"/>
      <c r="D10" s="116"/>
      <c r="E10" s="78"/>
      <c r="F10" s="113"/>
      <c r="G10" s="95"/>
      <c r="H10" s="78"/>
      <c r="I10" s="78"/>
      <c r="J10" s="113"/>
      <c r="K10" s="111"/>
      <c r="L10" s="578"/>
      <c r="M10" s="1566"/>
    </row>
    <row r="11" spans="2:13" ht="13.5" customHeight="1">
      <c r="B11" s="79"/>
      <c r="C11" s="79"/>
      <c r="D11" s="78"/>
      <c r="E11" s="103"/>
      <c r="F11" s="78"/>
      <c r="G11" s="95"/>
      <c r="H11" s="78"/>
      <c r="I11" s="78"/>
      <c r="J11" s="78"/>
      <c r="K11" s="95"/>
      <c r="L11" s="578"/>
      <c r="M11" s="1566"/>
    </row>
    <row r="12" spans="2:13" ht="20.25">
      <c r="B12" s="1159" t="s">
        <v>1784</v>
      </c>
      <c r="C12" s="74"/>
      <c r="D12" s="78"/>
      <c r="E12" s="103"/>
      <c r="F12" s="78"/>
      <c r="G12" s="78"/>
      <c r="H12" s="78"/>
      <c r="I12" s="78"/>
      <c r="J12" s="108"/>
      <c r="K12" s="110"/>
      <c r="L12" s="578"/>
      <c r="M12" s="1566"/>
    </row>
    <row r="13" spans="2:13" ht="24.75" customHeight="1">
      <c r="B13" s="75" t="s">
        <v>2005</v>
      </c>
      <c r="C13" s="75"/>
      <c r="D13" s="75"/>
      <c r="E13" s="75"/>
      <c r="F13" s="75"/>
      <c r="G13" s="75"/>
      <c r="H13" s="106">
        <v>101</v>
      </c>
      <c r="I13" s="253">
        <f>MISC!L21</f>
        <v>0</v>
      </c>
      <c r="J13" s="108"/>
      <c r="K13" s="95"/>
      <c r="L13" s="578"/>
      <c r="M13" s="1566"/>
    </row>
    <row r="14" spans="2:13" ht="24.75" customHeight="1">
      <c r="B14" s="76" t="s">
        <v>1139</v>
      </c>
      <c r="C14" s="76"/>
      <c r="D14" s="76"/>
      <c r="E14" s="76"/>
      <c r="F14" s="1018">
        <v>102</v>
      </c>
      <c r="G14" s="577">
        <f>MISC!L22</f>
        <v>0</v>
      </c>
      <c r="H14" s="95"/>
      <c r="I14" s="95"/>
      <c r="J14" s="95"/>
      <c r="K14" s="95"/>
      <c r="L14" s="578"/>
      <c r="M14" s="1566"/>
    </row>
    <row r="15" spans="2:13" ht="15.75">
      <c r="B15" s="76" t="s">
        <v>2006</v>
      </c>
      <c r="C15" s="76"/>
      <c r="D15" s="76"/>
      <c r="E15" s="76"/>
      <c r="F15" s="96"/>
      <c r="G15" s="94"/>
      <c r="H15" s="106">
        <v>104</v>
      </c>
      <c r="I15" s="577">
        <f>MISC!L23</f>
        <v>0</v>
      </c>
      <c r="J15" s="95"/>
      <c r="K15" s="95"/>
      <c r="L15" s="578"/>
      <c r="M15" s="1566"/>
    </row>
    <row r="16" spans="2:13" ht="15.75">
      <c r="B16" s="76" t="s">
        <v>885</v>
      </c>
      <c r="C16" s="76"/>
      <c r="D16" s="76"/>
      <c r="E16" s="76"/>
      <c r="F16" s="94"/>
      <c r="G16" s="94"/>
      <c r="H16" s="106">
        <v>113</v>
      </c>
      <c r="I16" s="577">
        <f>MISC!L24</f>
        <v>0</v>
      </c>
      <c r="J16" s="95"/>
      <c r="K16" s="95"/>
      <c r="L16" s="578"/>
      <c r="M16" s="1566"/>
    </row>
    <row r="17" spans="2:13" ht="15.75">
      <c r="B17" s="76" t="s">
        <v>2007</v>
      </c>
      <c r="C17" s="76"/>
      <c r="D17" s="76"/>
      <c r="E17" s="76"/>
      <c r="F17" s="94"/>
      <c r="G17" s="94"/>
      <c r="H17" s="106">
        <v>114</v>
      </c>
      <c r="I17" s="577">
        <f>MISC!L25</f>
        <v>0</v>
      </c>
      <c r="J17" s="95"/>
      <c r="K17" s="95"/>
      <c r="L17" s="578"/>
      <c r="M17" s="1566"/>
    </row>
    <row r="18" spans="2:13" ht="45">
      <c r="B18" s="77" t="s">
        <v>2012</v>
      </c>
      <c r="C18" s="77"/>
      <c r="D18" s="76"/>
      <c r="E18" s="76"/>
      <c r="F18" s="1018">
        <v>152</v>
      </c>
      <c r="G18" s="577">
        <f>MISC!L38</f>
        <v>0</v>
      </c>
      <c r="H18" s="95"/>
      <c r="I18" s="95"/>
      <c r="J18" s="95"/>
      <c r="K18" s="95"/>
      <c r="L18" s="578"/>
      <c r="M18" s="1566"/>
    </row>
    <row r="19" spans="2:13" ht="15.75">
      <c r="B19" s="76" t="s">
        <v>2104</v>
      </c>
      <c r="C19" s="76"/>
      <c r="D19" s="76"/>
      <c r="E19" s="76"/>
      <c r="F19" s="96"/>
      <c r="G19" s="94"/>
      <c r="H19" s="106">
        <v>115</v>
      </c>
      <c r="I19" s="253">
        <f>MISC!L26</f>
        <v>0</v>
      </c>
      <c r="J19" s="95"/>
      <c r="K19" s="95"/>
      <c r="L19" s="578"/>
      <c r="M19" s="1566"/>
    </row>
    <row r="20" spans="2:13" ht="15.75">
      <c r="B20" s="76" t="s">
        <v>87</v>
      </c>
      <c r="C20" s="76"/>
      <c r="D20" s="76"/>
      <c r="E20" s="76"/>
      <c r="F20" s="96"/>
      <c r="G20" s="94"/>
      <c r="H20" s="106">
        <v>116</v>
      </c>
      <c r="I20" s="253">
        <f>'T1032E'!N134</f>
        <v>0</v>
      </c>
      <c r="J20" s="95"/>
      <c r="K20" s="95"/>
      <c r="L20" s="578"/>
      <c r="M20" s="1566"/>
    </row>
    <row r="21" spans="2:13" ht="15.75">
      <c r="B21" s="76" t="s">
        <v>941</v>
      </c>
      <c r="C21" s="76"/>
      <c r="D21" s="76"/>
      <c r="E21" s="76"/>
      <c r="F21" s="94"/>
      <c r="G21" s="94"/>
      <c r="H21" s="106">
        <v>117</v>
      </c>
      <c r="I21" s="93"/>
      <c r="J21" s="95"/>
      <c r="K21" s="95"/>
      <c r="L21" s="578"/>
      <c r="M21" s="1566"/>
    </row>
    <row r="22" spans="2:13" ht="15.75">
      <c r="B22" s="76" t="s">
        <v>589</v>
      </c>
      <c r="C22" s="76"/>
      <c r="D22" s="76"/>
      <c r="E22" s="76"/>
      <c r="F22" s="94"/>
      <c r="G22" s="94"/>
      <c r="H22" s="106">
        <v>119</v>
      </c>
      <c r="I22" s="253">
        <f>MISC!L27</f>
        <v>0</v>
      </c>
      <c r="J22" s="95"/>
      <c r="K22" s="95"/>
      <c r="L22" s="578"/>
      <c r="M22" s="1566"/>
    </row>
    <row r="23" spans="2:13" ht="31.5" customHeight="1">
      <c r="B23" s="1655" t="s">
        <v>1443</v>
      </c>
      <c r="C23" s="1655"/>
      <c r="D23" s="1655"/>
      <c r="E23" s="1655"/>
      <c r="F23" s="1655"/>
      <c r="G23" s="1656"/>
      <c r="H23" s="106">
        <v>120</v>
      </c>
      <c r="I23" s="577">
        <f>MISC!L28</f>
        <v>0</v>
      </c>
      <c r="J23" s="95"/>
      <c r="K23" s="95"/>
      <c r="L23" s="578"/>
      <c r="M23" s="1566"/>
    </row>
    <row r="24" spans="2:13" ht="31.5" customHeight="1">
      <c r="B24" s="1653" t="s">
        <v>1442</v>
      </c>
      <c r="C24" s="1654"/>
      <c r="D24" s="1654"/>
      <c r="E24" s="1654"/>
      <c r="F24" s="1018">
        <v>180</v>
      </c>
      <c r="G24" s="577">
        <f>MISC!L40</f>
        <v>0</v>
      </c>
      <c r="H24" s="106"/>
      <c r="I24" s="78"/>
      <c r="J24" s="95"/>
      <c r="K24" s="95"/>
      <c r="L24" s="578"/>
      <c r="M24" s="1566"/>
    </row>
    <row r="25" spans="2:13" ht="15.75">
      <c r="B25" s="76" t="s">
        <v>2063</v>
      </c>
      <c r="C25" s="76"/>
      <c r="D25" s="76"/>
      <c r="E25" s="76"/>
      <c r="F25" s="96"/>
      <c r="G25" s="94"/>
      <c r="H25" s="106">
        <v>121</v>
      </c>
      <c r="I25" s="352">
        <f>MISC!L29</f>
        <v>0</v>
      </c>
      <c r="J25" s="95"/>
      <c r="K25" s="95"/>
      <c r="L25" s="578"/>
      <c r="M25" s="1566"/>
    </row>
    <row r="26" spans="2:13" ht="32.25" customHeight="1">
      <c r="B26" s="76" t="s">
        <v>1444</v>
      </c>
      <c r="C26" s="76"/>
      <c r="D26" s="76"/>
      <c r="E26" s="76"/>
      <c r="F26" s="96"/>
      <c r="G26" s="94"/>
      <c r="H26" s="106">
        <v>122</v>
      </c>
      <c r="I26" s="352">
        <f>MISC!L30</f>
        <v>0</v>
      </c>
      <c r="J26" s="95"/>
      <c r="K26" s="95"/>
      <c r="L26" s="578"/>
      <c r="M26" s="1566"/>
    </row>
    <row r="27" spans="2:13" ht="15.75">
      <c r="B27" s="76" t="s">
        <v>265</v>
      </c>
      <c r="C27" s="76"/>
      <c r="D27" s="82"/>
      <c r="E27" s="76"/>
      <c r="F27" s="96"/>
      <c r="G27" s="94"/>
      <c r="H27" s="106">
        <v>125</v>
      </c>
      <c r="I27" s="352">
        <f>MISC!L31</f>
        <v>0</v>
      </c>
      <c r="J27" s="95"/>
      <c r="K27" s="95"/>
      <c r="L27" s="578"/>
      <c r="M27" s="1566"/>
    </row>
    <row r="28" spans="2:13" ht="31.5" customHeight="1">
      <c r="B28" s="76" t="s">
        <v>1575</v>
      </c>
      <c r="C28" s="89" t="s">
        <v>1699</v>
      </c>
      <c r="D28" s="1018">
        <v>160</v>
      </c>
      <c r="E28" s="93"/>
      <c r="F28" s="94"/>
      <c r="G28" s="89" t="s">
        <v>1247</v>
      </c>
      <c r="H28" s="106">
        <v>126</v>
      </c>
      <c r="I28" s="93"/>
      <c r="J28" s="95"/>
      <c r="K28" s="95"/>
      <c r="L28" s="578"/>
      <c r="M28" s="1566"/>
    </row>
    <row r="29" spans="2:13" ht="15.75">
      <c r="B29" s="76" t="s">
        <v>2064</v>
      </c>
      <c r="C29" s="76"/>
      <c r="D29" s="75"/>
      <c r="E29" s="76"/>
      <c r="F29" s="76"/>
      <c r="G29" s="76"/>
      <c r="H29" s="106">
        <v>127</v>
      </c>
      <c r="I29" s="367">
        <f>MAX(0,Sch3!L58)</f>
        <v>0</v>
      </c>
      <c r="J29" s="95"/>
      <c r="K29" s="95"/>
      <c r="L29" s="578"/>
      <c r="M29" s="1566"/>
    </row>
    <row r="30" spans="2:13" ht="31.5" customHeight="1">
      <c r="B30" s="76" t="s">
        <v>1914</v>
      </c>
      <c r="C30" s="89" t="s">
        <v>1217</v>
      </c>
      <c r="D30" s="1018">
        <v>156</v>
      </c>
      <c r="E30" s="93"/>
      <c r="F30" s="76"/>
      <c r="G30" s="89" t="s">
        <v>628</v>
      </c>
      <c r="H30" s="106">
        <v>128</v>
      </c>
      <c r="I30" s="93"/>
      <c r="J30" s="95"/>
      <c r="K30" s="95"/>
      <c r="L30" s="578"/>
      <c r="M30" s="1566"/>
    </row>
    <row r="31" spans="2:13" ht="15.75">
      <c r="B31" s="76" t="s">
        <v>629</v>
      </c>
      <c r="C31" s="76"/>
      <c r="D31" s="75"/>
      <c r="E31" s="76"/>
      <c r="F31" s="76"/>
      <c r="G31" s="76"/>
      <c r="H31" s="106">
        <v>129</v>
      </c>
      <c r="I31" s="367">
        <f>MISC!L32</f>
        <v>0</v>
      </c>
      <c r="J31" s="95"/>
      <c r="K31" s="95"/>
      <c r="L31" s="578"/>
      <c r="M31" s="1566"/>
    </row>
    <row r="32" spans="2:13" ht="15.75">
      <c r="B32" s="76" t="s">
        <v>1915</v>
      </c>
      <c r="C32" s="771" t="s">
        <v>1618</v>
      </c>
      <c r="D32" s="1668"/>
      <c r="E32" s="1668"/>
      <c r="F32" s="1668"/>
      <c r="G32" s="1668"/>
      <c r="H32" s="106">
        <v>130</v>
      </c>
      <c r="I32" s="367">
        <f>MISC!L33</f>
        <v>0</v>
      </c>
      <c r="J32" s="95"/>
      <c r="K32" s="95"/>
      <c r="L32" s="578"/>
      <c r="M32" s="1566"/>
    </row>
    <row r="33" spans="2:13" ht="15.75">
      <c r="B33" s="82" t="s">
        <v>630</v>
      </c>
      <c r="C33" s="82"/>
      <c r="D33" s="97"/>
      <c r="E33" s="97"/>
      <c r="F33" s="97"/>
      <c r="G33" s="97"/>
      <c r="H33" s="95"/>
      <c r="I33" s="95"/>
      <c r="J33" s="95"/>
      <c r="K33" s="95"/>
      <c r="L33" s="578"/>
      <c r="M33" s="1566"/>
    </row>
    <row r="34" spans="2:13" ht="15.75">
      <c r="B34" s="75" t="s">
        <v>1916</v>
      </c>
      <c r="C34" s="90" t="s">
        <v>1699</v>
      </c>
      <c r="D34" s="174">
        <v>162</v>
      </c>
      <c r="E34" s="104"/>
      <c r="F34" s="75"/>
      <c r="G34" s="90" t="s">
        <v>1247</v>
      </c>
      <c r="H34" s="106">
        <v>135</v>
      </c>
      <c r="I34" s="93"/>
      <c r="J34" s="95"/>
      <c r="K34" s="95"/>
      <c r="L34" s="578"/>
      <c r="M34" s="1566"/>
    </row>
    <row r="35" spans="2:13" ht="15.75">
      <c r="B35" s="76" t="s">
        <v>1917</v>
      </c>
      <c r="C35" s="89" t="s">
        <v>1699</v>
      </c>
      <c r="D35" s="174">
        <v>164</v>
      </c>
      <c r="E35" s="93"/>
      <c r="F35" s="76"/>
      <c r="G35" s="89" t="s">
        <v>1247</v>
      </c>
      <c r="H35" s="106">
        <v>137</v>
      </c>
      <c r="I35" s="93"/>
      <c r="J35" s="95"/>
      <c r="K35" s="95"/>
      <c r="L35" s="578"/>
      <c r="M35" s="1566"/>
    </row>
    <row r="36" spans="2:13" ht="15.75">
      <c r="B36" s="76" t="s">
        <v>1918</v>
      </c>
      <c r="C36" s="89" t="s">
        <v>1699</v>
      </c>
      <c r="D36" s="174">
        <v>166</v>
      </c>
      <c r="E36" s="367">
        <f>MISC!L39</f>
        <v>0</v>
      </c>
      <c r="F36" s="76"/>
      <c r="G36" s="89" t="s">
        <v>1247</v>
      </c>
      <c r="H36" s="106">
        <v>139</v>
      </c>
      <c r="I36" s="367">
        <f>MISC!L34</f>
        <v>0</v>
      </c>
      <c r="J36" s="95"/>
      <c r="K36" s="95"/>
      <c r="L36" s="578"/>
      <c r="M36" s="1566"/>
    </row>
    <row r="37" spans="2:13" ht="15.75">
      <c r="B37" s="76" t="s">
        <v>1919</v>
      </c>
      <c r="C37" s="89" t="s">
        <v>1699</v>
      </c>
      <c r="D37" s="174">
        <v>168</v>
      </c>
      <c r="E37" s="93"/>
      <c r="F37" s="76"/>
      <c r="G37" s="89" t="s">
        <v>1247</v>
      </c>
      <c r="H37" s="106">
        <v>141</v>
      </c>
      <c r="I37" s="93"/>
      <c r="J37" s="95"/>
      <c r="K37" s="95"/>
      <c r="L37" s="578"/>
      <c r="M37" s="1566"/>
    </row>
    <row r="38" spans="2:13" ht="15.75">
      <c r="B38" s="76" t="s">
        <v>1920</v>
      </c>
      <c r="C38" s="89" t="s">
        <v>1699</v>
      </c>
      <c r="D38" s="174">
        <v>170</v>
      </c>
      <c r="E38" s="93"/>
      <c r="F38" s="76"/>
      <c r="G38" s="89" t="s">
        <v>1247</v>
      </c>
      <c r="H38" s="106">
        <v>143</v>
      </c>
      <c r="I38" s="93"/>
      <c r="J38" s="95"/>
      <c r="K38" s="95"/>
      <c r="L38" s="578"/>
      <c r="M38" s="1566"/>
    </row>
    <row r="39" spans="2:13" ht="11.25" customHeight="1">
      <c r="B39" s="82"/>
      <c r="C39" s="102"/>
      <c r="D39" s="174"/>
      <c r="E39" s="82"/>
      <c r="F39" s="82"/>
      <c r="G39" s="102"/>
      <c r="H39" s="106"/>
      <c r="I39" s="78"/>
      <c r="J39" s="95"/>
      <c r="K39" s="95"/>
      <c r="L39" s="578"/>
      <c r="M39" s="1566"/>
    </row>
    <row r="40" spans="2:13" ht="23.25" customHeight="1">
      <c r="B40" s="75" t="s">
        <v>631</v>
      </c>
      <c r="C40" s="75"/>
      <c r="D40" s="75"/>
      <c r="E40" s="121"/>
      <c r="F40" s="174">
        <v>144</v>
      </c>
      <c r="G40" s="352">
        <f>MISC!L35</f>
        <v>0</v>
      </c>
      <c r="H40" s="78"/>
      <c r="I40" s="78"/>
      <c r="J40" s="95"/>
      <c r="K40" s="95"/>
      <c r="L40" s="578"/>
      <c r="M40" s="1566"/>
    </row>
    <row r="41" spans="2:13" ht="15.75">
      <c r="B41" s="76" t="s">
        <v>418</v>
      </c>
      <c r="C41" s="76"/>
      <c r="D41" s="76"/>
      <c r="E41" s="76"/>
      <c r="F41" s="174">
        <v>145</v>
      </c>
      <c r="G41" s="367">
        <f>MISC!L36</f>
        <v>0</v>
      </c>
      <c r="H41" s="78"/>
      <c r="I41" s="78"/>
      <c r="J41" s="95"/>
      <c r="K41" s="95"/>
      <c r="L41" s="578"/>
      <c r="M41" s="1566"/>
    </row>
    <row r="42" spans="2:13" ht="31.5" customHeight="1">
      <c r="B42" s="76" t="s">
        <v>632</v>
      </c>
      <c r="C42" s="76"/>
      <c r="D42" s="76"/>
      <c r="E42" s="76"/>
      <c r="F42" s="174">
        <v>146</v>
      </c>
      <c r="G42" s="367">
        <f>MISC!L37</f>
        <v>0</v>
      </c>
      <c r="H42" s="78"/>
      <c r="I42" s="78"/>
      <c r="J42" s="95"/>
      <c r="K42" s="95"/>
      <c r="L42" s="578"/>
      <c r="M42" s="1566"/>
    </row>
    <row r="43" spans="2:13" ht="31.5" customHeight="1">
      <c r="B43" s="1669" t="s">
        <v>1445</v>
      </c>
      <c r="C43" s="1656"/>
      <c r="D43" s="1656"/>
      <c r="E43" s="1656"/>
      <c r="F43" s="96"/>
      <c r="G43" s="367">
        <f>G40+G41+G42</f>
        <v>0</v>
      </c>
      <c r="H43" s="106">
        <v>147</v>
      </c>
      <c r="I43" s="352">
        <f>G43</f>
        <v>0</v>
      </c>
      <c r="J43" s="95"/>
      <c r="K43" s="95"/>
      <c r="L43" s="578"/>
      <c r="M43" s="1566"/>
    </row>
    <row r="44" spans="2:13" ht="15.75">
      <c r="B44" s="78"/>
      <c r="C44" s="78"/>
      <c r="D44" s="78"/>
      <c r="E44" s="78"/>
      <c r="F44" s="95"/>
      <c r="G44" s="79" t="s">
        <v>1446</v>
      </c>
      <c r="H44" s="95"/>
      <c r="I44" s="1666">
        <f>SUM(I13:I43)</f>
        <v>0</v>
      </c>
      <c r="J44" s="95"/>
      <c r="K44" s="95"/>
      <c r="L44" s="578"/>
      <c r="M44" s="1566"/>
    </row>
    <row r="45" spans="2:13" ht="21" customHeight="1">
      <c r="B45" s="79"/>
      <c r="C45" s="79"/>
      <c r="D45" s="78"/>
      <c r="E45" s="79"/>
      <c r="F45" s="95"/>
      <c r="G45" s="79" t="s">
        <v>1240</v>
      </c>
      <c r="H45" s="106">
        <v>150</v>
      </c>
      <c r="I45" s="1667"/>
      <c r="J45" s="95"/>
      <c r="K45" s="95"/>
      <c r="L45" s="578"/>
      <c r="M45" s="1566"/>
    </row>
    <row r="46" spans="2:13" ht="21.75" customHeight="1" hidden="1">
      <c r="B46" s="760"/>
      <c r="C46" s="761"/>
      <c r="D46" s="762"/>
      <c r="E46" s="761"/>
      <c r="F46" s="763"/>
      <c r="G46" s="761"/>
      <c r="H46" s="764"/>
      <c r="I46" s="763"/>
      <c r="J46" s="763"/>
      <c r="K46" s="785" t="s">
        <v>1315</v>
      </c>
      <c r="L46" s="578"/>
      <c r="M46" s="1566"/>
    </row>
    <row r="47" spans="2:13" ht="15.75" hidden="1">
      <c r="B47" s="766"/>
      <c r="C47" s="927">
        <f>IF(J1&lt;&gt;"ON",IF(J1&lt;&gt;"BC",IF(J1&lt;&gt;"AB",IF(J1&lt;&gt;"NS",IF(J1&lt;&gt;"MB",IF(J1&lt;&gt;"PE",-1,7),6),5),4),3),2)</f>
        <v>4</v>
      </c>
      <c r="D47" s="928"/>
      <c r="E47" s="929" t="s">
        <v>413</v>
      </c>
      <c r="F47" s="930" t="s">
        <v>135</v>
      </c>
      <c r="G47" s="930" t="s">
        <v>136</v>
      </c>
      <c r="H47" s="930" t="s">
        <v>137</v>
      </c>
      <c r="I47" s="930" t="s">
        <v>1288</v>
      </c>
      <c r="J47" s="930" t="s">
        <v>1821</v>
      </c>
      <c r="K47" s="782"/>
      <c r="L47" s="578"/>
      <c r="M47" s="1566"/>
    </row>
    <row r="48" spans="2:13" ht="15.75" hidden="1">
      <c r="B48" s="766"/>
      <c r="C48" s="931" t="s">
        <v>213</v>
      </c>
      <c r="D48" s="928" t="s">
        <v>138</v>
      </c>
      <c r="E48" s="932" t="e">
        <f>#REF!</f>
        <v>#REF!</v>
      </c>
      <c r="F48" s="933" t="e">
        <f>#REF!</f>
        <v>#REF!</v>
      </c>
      <c r="G48" s="931">
        <f>'AB428'!K90</f>
        <v>0</v>
      </c>
      <c r="H48" s="933" t="e">
        <f>#REF!</f>
        <v>#REF!</v>
      </c>
      <c r="I48" s="931" t="e">
        <f>#REF!</f>
        <v>#REF!</v>
      </c>
      <c r="J48" s="933" t="e">
        <f>#REF!</f>
        <v>#REF!</v>
      </c>
      <c r="K48" s="782"/>
      <c r="L48" s="578"/>
      <c r="M48" s="1566"/>
    </row>
    <row r="49" spans="2:13" ht="15.75" hidden="1">
      <c r="B49" s="783"/>
      <c r="C49" s="931"/>
      <c r="D49" s="928" t="s">
        <v>139</v>
      </c>
      <c r="E49" s="932" t="e">
        <f>#REF!</f>
        <v>#REF!</v>
      </c>
      <c r="F49" s="933" t="e">
        <f>#REF!</f>
        <v>#REF!</v>
      </c>
      <c r="G49" s="931">
        <v>0</v>
      </c>
      <c r="H49" s="933" t="e">
        <f>#REF!</f>
        <v>#REF!</v>
      </c>
      <c r="I49" s="931" t="e">
        <f>#REF!</f>
        <v>#REF!</v>
      </c>
      <c r="J49" s="933" t="e">
        <f>#REF!</f>
        <v>#REF!</v>
      </c>
      <c r="K49" s="782"/>
      <c r="L49" s="578"/>
      <c r="M49" s="1566"/>
    </row>
    <row r="50" spans="2:13" ht="15.75" hidden="1">
      <c r="B50" s="766"/>
      <c r="C50" s="766"/>
      <c r="D50" s="932" t="s">
        <v>1825</v>
      </c>
      <c r="E50" s="934" t="e">
        <f>#REF!+#REF!+#REF!+#REF!+#REF!+#REF!+#REF!+#REF!+#REF!+#REF!+#REF!+#REF!+#REF!</f>
        <v>#REF!</v>
      </c>
      <c r="F50" s="935" t="e">
        <f>#REF!+#REF!+#REF!+#REF!+#REF!+#REF!+#REF!+#REF!+#REF!+#REF!+#REF!+#REF!+#REF!+#REF!+#REF!</f>
        <v>#REF!</v>
      </c>
      <c r="G50" s="766">
        <f>'AB WRK'!G26+'AB WRK'!G36+'AB WRK'!G40+'AB WRK'!G61+'AB WRK'!G72</f>
        <v>32361</v>
      </c>
      <c r="H50" s="933" t="e">
        <f>#REF!+#REF!+#REF!+#REF!+#REF!+#REF!+#REF!</f>
        <v>#REF!</v>
      </c>
      <c r="I50" s="766" t="e">
        <f>#REF!+#REF!+#REF!+#REF!+#REF!+#REF!+#REF!+#REF!</f>
        <v>#REF!</v>
      </c>
      <c r="J50" s="934" t="e">
        <f>#REF!+#REF!+#REF!+#REF!+#REF!+#REF!+#REF!</f>
        <v>#REF!</v>
      </c>
      <c r="K50" s="782"/>
      <c r="L50" s="578"/>
      <c r="M50" s="1566"/>
    </row>
    <row r="51" spans="2:13" ht="15.75" hidden="1">
      <c r="B51" s="766"/>
      <c r="C51" s="766"/>
      <c r="D51" s="932" t="s">
        <v>1669</v>
      </c>
      <c r="E51" s="936" t="e">
        <f>#REF!+#REF!+#REF!</f>
        <v>#REF!</v>
      </c>
      <c r="F51" s="935" t="e">
        <f>#REF!</f>
        <v>#REF!</v>
      </c>
      <c r="G51" s="766">
        <v>0</v>
      </c>
      <c r="H51" s="933" t="e">
        <f>#REF!</f>
        <v>#REF!</v>
      </c>
      <c r="I51" s="766" t="e">
        <f>#REF!+#REF!+#REF!</f>
        <v>#REF!</v>
      </c>
      <c r="J51" s="933" t="e">
        <f>#REF!</f>
        <v>#REF!</v>
      </c>
      <c r="K51" s="782"/>
      <c r="L51" s="578"/>
      <c r="M51" s="1566"/>
    </row>
    <row r="52" spans="2:13" ht="15.75" hidden="1">
      <c r="B52" s="784"/>
      <c r="C52" s="766"/>
      <c r="D52" s="932" t="s">
        <v>1667</v>
      </c>
      <c r="E52" s="934" t="e">
        <f>#REF!</f>
        <v>#REF!</v>
      </c>
      <c r="F52" s="935" t="e">
        <f>#REF!</f>
        <v>#REF!</v>
      </c>
      <c r="G52" s="766">
        <f>'AB(S2)'!J32</f>
        <v>0</v>
      </c>
      <c r="H52" s="933" t="e">
        <f>#REF!</f>
        <v>#REF!</v>
      </c>
      <c r="I52" s="766" t="e">
        <f>#REF!</f>
        <v>#REF!</v>
      </c>
      <c r="J52" s="933" t="e">
        <f>#REF!</f>
        <v>#REF!</v>
      </c>
      <c r="K52" s="782"/>
      <c r="L52" s="578"/>
      <c r="M52" s="1566"/>
    </row>
    <row r="53" spans="2:13" ht="15.75" hidden="1">
      <c r="B53" s="767"/>
      <c r="C53" s="767"/>
      <c r="D53" s="932" t="s">
        <v>1668</v>
      </c>
      <c r="E53" s="934" t="e">
        <f>#REF!</f>
        <v>#REF!</v>
      </c>
      <c r="F53" s="935" t="e">
        <f>#REF!</f>
        <v>#REF!</v>
      </c>
      <c r="G53" s="766">
        <f>'AB(S11)'!I32</f>
        <v>0</v>
      </c>
      <c r="H53" s="933" t="e">
        <f>#REF!</f>
        <v>#REF!</v>
      </c>
      <c r="I53" s="766" t="e">
        <f>#REF!</f>
        <v>#REF!</v>
      </c>
      <c r="J53" s="933" t="e">
        <f>#REF!</f>
        <v>#REF!</v>
      </c>
      <c r="L53" s="578"/>
      <c r="M53" s="1566"/>
    </row>
    <row r="54" spans="2:13" ht="20.25">
      <c r="B54" s="81" t="s">
        <v>2631</v>
      </c>
      <c r="C54" s="79"/>
      <c r="D54" s="78"/>
      <c r="E54" s="79"/>
      <c r="F54" s="95"/>
      <c r="G54" s="79"/>
      <c r="H54" s="106"/>
      <c r="I54" s="95"/>
      <c r="J54" s="95"/>
      <c r="K54" s="111">
        <v>3</v>
      </c>
      <c r="L54" s="578"/>
      <c r="M54" s="1566"/>
    </row>
    <row r="55" spans="2:13" ht="20.25">
      <c r="B55" s="81" t="s">
        <v>2632</v>
      </c>
      <c r="C55" s="79"/>
      <c r="D55" s="78"/>
      <c r="E55" s="79"/>
      <c r="F55" s="95"/>
      <c r="G55" s="79"/>
      <c r="H55" s="106"/>
      <c r="I55" s="95"/>
      <c r="J55" s="95"/>
      <c r="K55" s="95"/>
      <c r="L55" s="578"/>
      <c r="M55" s="1566"/>
    </row>
    <row r="56" spans="2:13" ht="20.25">
      <c r="B56" s="81" t="s">
        <v>2633</v>
      </c>
      <c r="C56" s="79"/>
      <c r="D56" s="78"/>
      <c r="E56" s="79"/>
      <c r="F56" s="95"/>
      <c r="G56" s="79"/>
      <c r="H56" s="106"/>
      <c r="I56" s="95"/>
      <c r="J56" s="95"/>
      <c r="K56" s="95"/>
      <c r="L56" s="578"/>
      <c r="M56" s="1566"/>
    </row>
    <row r="57" spans="2:13" ht="12.75" customHeight="1">
      <c r="B57" s="79"/>
      <c r="C57" s="79"/>
      <c r="D57" s="78"/>
      <c r="E57" s="79"/>
      <c r="F57" s="95"/>
      <c r="G57" s="79"/>
      <c r="H57" s="106"/>
      <c r="I57" s="95"/>
      <c r="J57" s="95"/>
      <c r="K57" s="95"/>
      <c r="L57" s="578"/>
      <c r="M57" s="1566"/>
    </row>
    <row r="58" spans="2:13" ht="20.25" customHeight="1">
      <c r="B58" s="1159" t="s">
        <v>2389</v>
      </c>
      <c r="C58" s="86"/>
      <c r="D58" s="95"/>
      <c r="E58" s="95"/>
      <c r="F58" s="95"/>
      <c r="G58" s="95"/>
      <c r="H58" s="95"/>
      <c r="I58" s="95"/>
      <c r="J58" s="95"/>
      <c r="K58" s="95"/>
      <c r="L58" s="578"/>
      <c r="M58" s="1566"/>
    </row>
    <row r="59" spans="2:13" ht="15.75" customHeight="1">
      <c r="B59" s="74"/>
      <c r="C59" s="86"/>
      <c r="D59" s="95"/>
      <c r="E59" s="95"/>
      <c r="F59" s="95"/>
      <c r="G59" s="95"/>
      <c r="H59" s="95"/>
      <c r="I59" s="95"/>
      <c r="J59" s="95"/>
      <c r="K59" s="95"/>
      <c r="L59" s="578"/>
      <c r="M59" s="1566"/>
    </row>
    <row r="60" spans="2:13" ht="15.75" customHeight="1">
      <c r="B60" s="75" t="s">
        <v>1839</v>
      </c>
      <c r="C60" s="75"/>
      <c r="D60" s="96"/>
      <c r="E60" s="96"/>
      <c r="F60" s="96"/>
      <c r="G60" s="96"/>
      <c r="H60" s="96"/>
      <c r="I60" s="96"/>
      <c r="J60" s="109" t="s">
        <v>419</v>
      </c>
      <c r="K60" s="352">
        <f>I44</f>
        <v>0</v>
      </c>
      <c r="L60" s="578"/>
      <c r="M60" s="1566"/>
    </row>
    <row r="61" spans="2:13" ht="4.5" customHeight="1">
      <c r="B61" s="78"/>
      <c r="C61" s="78"/>
      <c r="D61" s="95"/>
      <c r="E61" s="95"/>
      <c r="F61" s="95"/>
      <c r="G61" s="95"/>
      <c r="H61" s="95"/>
      <c r="I61" s="95"/>
      <c r="J61" s="95"/>
      <c r="K61" s="95"/>
      <c r="L61" s="578"/>
      <c r="M61" s="1566"/>
    </row>
    <row r="62" spans="2:13" ht="15.75" customHeight="1">
      <c r="B62" s="78" t="s">
        <v>420</v>
      </c>
      <c r="C62" s="78"/>
      <c r="D62" s="95"/>
      <c r="E62" s="95"/>
      <c r="F62" s="95"/>
      <c r="G62" s="95"/>
      <c r="H62" s="95"/>
      <c r="I62" s="95"/>
      <c r="J62" s="95"/>
      <c r="K62" s="95"/>
      <c r="L62" s="578"/>
      <c r="M62" s="1566"/>
    </row>
    <row r="63" spans="2:13" ht="15.75">
      <c r="B63" s="75" t="s">
        <v>1741</v>
      </c>
      <c r="C63" s="75"/>
      <c r="D63" s="96"/>
      <c r="E63" s="96"/>
      <c r="F63" s="106">
        <v>206</v>
      </c>
      <c r="G63" s="352">
        <f>MISC!L41</f>
        <v>0</v>
      </c>
      <c r="H63" s="95"/>
      <c r="I63" s="95"/>
      <c r="J63" s="95"/>
      <c r="K63" s="95"/>
      <c r="L63" s="578"/>
      <c r="M63" s="1566"/>
    </row>
    <row r="64" spans="2:13" ht="19.5" customHeight="1">
      <c r="B64" s="80"/>
      <c r="C64" s="78"/>
      <c r="D64" s="95"/>
      <c r="E64" s="95"/>
      <c r="F64" s="106"/>
      <c r="G64" s="95"/>
      <c r="H64" s="95"/>
      <c r="I64" s="95"/>
      <c r="J64" s="95"/>
      <c r="K64" s="95"/>
      <c r="L64" s="578"/>
      <c r="M64" s="1566"/>
    </row>
    <row r="65" spans="2:13" ht="15.75">
      <c r="B65" s="75" t="s">
        <v>1745</v>
      </c>
      <c r="C65" s="75"/>
      <c r="D65" s="96"/>
      <c r="E65" s="96"/>
      <c r="F65" s="96"/>
      <c r="G65" s="96"/>
      <c r="H65" s="106">
        <v>207</v>
      </c>
      <c r="I65" s="352">
        <f>MISC!L42</f>
        <v>0</v>
      </c>
      <c r="J65" s="95"/>
      <c r="K65" s="95"/>
      <c r="L65" s="578"/>
      <c r="M65" s="1566"/>
    </row>
    <row r="66" spans="2:13" ht="15.75">
      <c r="B66" s="76" t="s">
        <v>1447</v>
      </c>
      <c r="C66" s="76"/>
      <c r="D66" s="94"/>
      <c r="E66" s="94"/>
      <c r="F66" s="94"/>
      <c r="G66" s="94"/>
      <c r="H66" s="106">
        <v>208</v>
      </c>
      <c r="I66" s="1845">
        <f>IF((Sch7!E12=0),Sch7!I41,Sch7!E12)</f>
        <v>0</v>
      </c>
      <c r="J66" s="95"/>
      <c r="K66" s="95"/>
      <c r="L66" s="578"/>
      <c r="M66" s="1566"/>
    </row>
    <row r="67" spans="2:13" ht="15.75">
      <c r="B67" s="76" t="s">
        <v>421</v>
      </c>
      <c r="C67" s="76"/>
      <c r="D67" s="94"/>
      <c r="E67" s="94"/>
      <c r="F67" s="94"/>
      <c r="G67" s="89" t="s">
        <v>422</v>
      </c>
      <c r="H67" s="106">
        <v>209</v>
      </c>
      <c r="I67" s="93"/>
      <c r="J67" s="95"/>
      <c r="K67" s="95"/>
      <c r="L67" s="578"/>
      <c r="M67" s="1566"/>
    </row>
    <row r="68" spans="2:13" ht="27.75" customHeight="1">
      <c r="B68" s="771" t="s">
        <v>898</v>
      </c>
      <c r="C68" s="771"/>
      <c r="D68" s="1179"/>
      <c r="E68" s="1179"/>
      <c r="F68" s="1179"/>
      <c r="G68" s="1179"/>
      <c r="H68" s="1180">
        <v>210</v>
      </c>
      <c r="I68" s="352">
        <f>'T1032E'!N57</f>
        <v>0</v>
      </c>
      <c r="J68" s="95"/>
      <c r="K68" s="95"/>
      <c r="L68" s="578"/>
      <c r="M68" s="1566"/>
    </row>
    <row r="69" spans="2:13" ht="24" customHeight="1">
      <c r="B69" s="75" t="s">
        <v>1140</v>
      </c>
      <c r="C69" s="75"/>
      <c r="D69" s="96"/>
      <c r="E69" s="96"/>
      <c r="F69" s="96"/>
      <c r="G69" s="96"/>
      <c r="H69" s="106">
        <v>212</v>
      </c>
      <c r="I69" s="352">
        <f>MISC!L43</f>
        <v>0</v>
      </c>
      <c r="J69" s="95"/>
      <c r="K69" s="95"/>
      <c r="L69" s="578"/>
      <c r="M69" s="1566"/>
    </row>
    <row r="70" spans="2:13" ht="24" customHeight="1">
      <c r="B70" s="75" t="s">
        <v>897</v>
      </c>
      <c r="C70" s="75"/>
      <c r="D70" s="96"/>
      <c r="E70" s="96"/>
      <c r="F70" s="96"/>
      <c r="G70" s="96"/>
      <c r="H70" s="106">
        <v>213</v>
      </c>
      <c r="I70" s="780"/>
      <c r="J70" s="95"/>
      <c r="K70" s="95"/>
      <c r="L70" s="578"/>
      <c r="M70" s="1566"/>
    </row>
    <row r="71" spans="2:13" ht="15.75">
      <c r="B71" s="76" t="s">
        <v>2065</v>
      </c>
      <c r="C71" s="76"/>
      <c r="D71" s="94"/>
      <c r="E71" s="94"/>
      <c r="F71" s="94"/>
      <c r="G71" s="94"/>
      <c r="H71" s="106">
        <v>214</v>
      </c>
      <c r="I71" s="352">
        <f>MAXA('T778'!N65,'T778'!N108,'T778'!N139)</f>
        <v>0</v>
      </c>
      <c r="J71" s="95"/>
      <c r="K71" s="95"/>
      <c r="L71" s="578"/>
      <c r="M71" s="1566"/>
    </row>
    <row r="72" spans="2:13" ht="15.75">
      <c r="B72" s="76" t="s">
        <v>2066</v>
      </c>
      <c r="C72" s="76"/>
      <c r="D72" s="94"/>
      <c r="E72" s="94"/>
      <c r="F72" s="94"/>
      <c r="G72" s="94"/>
      <c r="H72" s="106">
        <v>215</v>
      </c>
      <c r="I72" s="287"/>
      <c r="J72" s="95"/>
      <c r="K72" s="95"/>
      <c r="L72" s="578"/>
      <c r="M72" s="1566"/>
    </row>
    <row r="73" spans="2:13" ht="10.5" customHeight="1">
      <c r="B73" s="82"/>
      <c r="C73" s="82"/>
      <c r="D73" s="97"/>
      <c r="E73" s="97"/>
      <c r="F73" s="97"/>
      <c r="G73" s="97"/>
      <c r="H73" s="106"/>
      <c r="I73" s="97"/>
      <c r="J73" s="95"/>
      <c r="K73" s="95"/>
      <c r="L73" s="578"/>
      <c r="M73" s="1566"/>
    </row>
    <row r="74" spans="2:13" ht="15.75">
      <c r="B74" s="75" t="s">
        <v>827</v>
      </c>
      <c r="C74" s="90" t="s">
        <v>1699</v>
      </c>
      <c r="D74" s="174">
        <v>228</v>
      </c>
      <c r="E74" s="104"/>
      <c r="F74" s="96"/>
      <c r="G74" s="107" t="s">
        <v>1141</v>
      </c>
      <c r="H74" s="106">
        <v>217</v>
      </c>
      <c r="I74" s="104"/>
      <c r="J74" s="95"/>
      <c r="K74" s="95"/>
      <c r="L74" s="578"/>
      <c r="M74" s="1566"/>
    </row>
    <row r="75" spans="2:13" ht="15.75">
      <c r="B75" s="76" t="s">
        <v>828</v>
      </c>
      <c r="C75" s="76"/>
      <c r="D75" s="96"/>
      <c r="E75" s="94"/>
      <c r="F75" s="94"/>
      <c r="G75" s="94"/>
      <c r="H75" s="106">
        <v>219</v>
      </c>
      <c r="I75" s="93"/>
      <c r="J75" s="95"/>
      <c r="K75" s="95"/>
      <c r="L75" s="578"/>
      <c r="M75" s="1566"/>
    </row>
    <row r="76" spans="2:13" ht="15.75">
      <c r="B76" s="82"/>
      <c r="C76" s="82"/>
      <c r="D76" s="97"/>
      <c r="E76" s="97"/>
      <c r="F76" s="97"/>
      <c r="G76" s="97"/>
      <c r="H76" s="106"/>
      <c r="I76" s="97"/>
      <c r="J76" s="95"/>
      <c r="K76" s="95"/>
      <c r="L76" s="578"/>
      <c r="M76" s="1566"/>
    </row>
    <row r="77" spans="2:13" ht="15.75">
      <c r="B77" s="75" t="s">
        <v>829</v>
      </c>
      <c r="C77" s="90" t="s">
        <v>1217</v>
      </c>
      <c r="D77" s="174">
        <v>230</v>
      </c>
      <c r="E77" s="104"/>
      <c r="F77" s="96"/>
      <c r="G77" s="107" t="s">
        <v>1141</v>
      </c>
      <c r="H77" s="106">
        <v>220</v>
      </c>
      <c r="I77" s="104"/>
      <c r="J77" s="95"/>
      <c r="K77" s="95"/>
      <c r="L77" s="578"/>
      <c r="M77" s="1566"/>
    </row>
    <row r="78" spans="2:13" ht="15.75">
      <c r="B78" s="76" t="s">
        <v>702</v>
      </c>
      <c r="C78" s="76"/>
      <c r="D78" s="96"/>
      <c r="E78" s="94"/>
      <c r="F78" s="94"/>
      <c r="G78" s="94"/>
      <c r="H78" s="106">
        <v>221</v>
      </c>
      <c r="I78" s="367">
        <f>MISC!L44</f>
        <v>0</v>
      </c>
      <c r="J78" s="95"/>
      <c r="K78" s="95"/>
      <c r="L78" s="578"/>
      <c r="M78" s="1566"/>
    </row>
    <row r="79" spans="2:13" ht="15.75">
      <c r="B79" s="83" t="s">
        <v>1654</v>
      </c>
      <c r="C79" s="82"/>
      <c r="D79" s="97"/>
      <c r="E79" s="97"/>
      <c r="F79" s="97"/>
      <c r="G79" s="97"/>
      <c r="H79" s="106"/>
      <c r="I79" s="95"/>
      <c r="J79" s="95"/>
      <c r="K79" s="95"/>
      <c r="L79" s="578"/>
      <c r="M79" s="1566"/>
    </row>
    <row r="80" spans="2:13" ht="15.75">
      <c r="B80" s="788" t="s">
        <v>703</v>
      </c>
      <c r="C80" s="75"/>
      <c r="D80" s="96"/>
      <c r="E80" s="96"/>
      <c r="F80" s="96"/>
      <c r="G80" s="96"/>
      <c r="H80" s="106">
        <v>222</v>
      </c>
      <c r="I80" s="427">
        <f>Sch8!I28</f>
        <v>0</v>
      </c>
      <c r="J80" s="1088" t="s">
        <v>880</v>
      </c>
      <c r="K80" s="95"/>
      <c r="L80" s="578"/>
      <c r="M80" s="1566"/>
    </row>
    <row r="81" spans="2:13" ht="15.75">
      <c r="B81" s="76" t="s">
        <v>704</v>
      </c>
      <c r="C81" s="76"/>
      <c r="D81" s="94"/>
      <c r="E81" s="94"/>
      <c r="F81" s="94"/>
      <c r="G81" s="94"/>
      <c r="H81" s="106">
        <v>224</v>
      </c>
      <c r="I81" s="367">
        <f>MISC!L45</f>
        <v>0</v>
      </c>
      <c r="J81" s="95"/>
      <c r="K81" s="95"/>
      <c r="L81" s="578"/>
      <c r="M81" s="1566"/>
    </row>
    <row r="82" spans="2:13" ht="15.75">
      <c r="B82" s="76" t="s">
        <v>1655</v>
      </c>
      <c r="C82" s="76"/>
      <c r="D82" s="94"/>
      <c r="E82" s="94"/>
      <c r="F82" s="94"/>
      <c r="G82" s="94"/>
      <c r="H82" s="106">
        <v>229</v>
      </c>
      <c r="I82" s="367">
        <f>MISC!L46</f>
        <v>0</v>
      </c>
      <c r="J82" s="95"/>
      <c r="K82" s="95"/>
      <c r="L82" s="578"/>
      <c r="M82" s="1566"/>
    </row>
    <row r="83" spans="2:13" ht="15.75">
      <c r="B83" s="76" t="s">
        <v>1840</v>
      </c>
      <c r="C83" s="76"/>
      <c r="D83" s="94"/>
      <c r="E83" s="94"/>
      <c r="F83" s="94"/>
      <c r="G83" s="94"/>
      <c r="H83" s="106">
        <v>231</v>
      </c>
      <c r="I83" s="93"/>
      <c r="J83" s="95"/>
      <c r="K83" s="95"/>
      <c r="L83" s="578"/>
      <c r="M83" s="1566"/>
    </row>
    <row r="84" spans="2:13" ht="15.75">
      <c r="B84" s="76" t="s">
        <v>89</v>
      </c>
      <c r="C84" s="1670"/>
      <c r="D84" s="1671"/>
      <c r="E84" s="1671"/>
      <c r="F84" s="1671"/>
      <c r="G84" s="1671"/>
      <c r="H84" s="106">
        <v>232</v>
      </c>
      <c r="I84" s="367">
        <f>MISC!L47</f>
        <v>0</v>
      </c>
      <c r="J84" s="95"/>
      <c r="K84" s="95"/>
      <c r="L84" s="578"/>
      <c r="M84" s="1566"/>
    </row>
    <row r="85" spans="2:13" ht="18">
      <c r="B85" s="76"/>
      <c r="C85" s="76"/>
      <c r="D85" s="94"/>
      <c r="E85" s="94"/>
      <c r="F85" s="94"/>
      <c r="G85" s="89" t="s">
        <v>1841</v>
      </c>
      <c r="H85" s="106">
        <v>233</v>
      </c>
      <c r="I85" s="367">
        <f>SUM(I65:I84)</f>
        <v>0</v>
      </c>
      <c r="J85" s="1085" t="s">
        <v>1886</v>
      </c>
      <c r="K85" s="352">
        <f>I85</f>
        <v>0</v>
      </c>
      <c r="L85" s="578"/>
      <c r="M85" s="1566"/>
    </row>
    <row r="86" spans="2:13" ht="15.75">
      <c r="B86" s="84"/>
      <c r="C86" s="89"/>
      <c r="D86" s="89" t="s">
        <v>2008</v>
      </c>
      <c r="E86" s="94"/>
      <c r="F86" s="94"/>
      <c r="G86" s="94"/>
      <c r="H86" s="95"/>
      <c r="I86" s="79" t="s">
        <v>1519</v>
      </c>
      <c r="J86" s="106">
        <v>234</v>
      </c>
      <c r="K86" s="367">
        <f>IF(I44&gt;K85,(+I44-K85),0)</f>
        <v>0</v>
      </c>
      <c r="L86" s="578"/>
      <c r="M86" s="1566"/>
    </row>
    <row r="87" spans="2:13" ht="15.75">
      <c r="B87" s="82" t="s">
        <v>1416</v>
      </c>
      <c r="C87" s="82"/>
      <c r="D87" s="97"/>
      <c r="E87" s="97"/>
      <c r="F87" s="97"/>
      <c r="G87" s="97"/>
      <c r="H87" s="95"/>
      <c r="I87" s="95"/>
      <c r="J87" s="95"/>
      <c r="K87" s="95"/>
      <c r="L87" s="578"/>
      <c r="M87" s="1566"/>
    </row>
    <row r="88" spans="2:13" ht="15.75">
      <c r="B88" s="75" t="s">
        <v>899</v>
      </c>
      <c r="C88" s="75"/>
      <c r="D88" s="96"/>
      <c r="E88" s="96"/>
      <c r="F88" s="96"/>
      <c r="G88" s="96"/>
      <c r="H88" s="96"/>
      <c r="I88" s="96"/>
      <c r="J88" s="106">
        <v>235</v>
      </c>
      <c r="K88" s="352">
        <f>+'FED WRK'!I43</f>
        <v>0</v>
      </c>
      <c r="L88" s="1088" t="s">
        <v>880</v>
      </c>
      <c r="M88" s="1566"/>
    </row>
    <row r="89" spans="2:13" ht="15.75">
      <c r="B89" s="85" t="s">
        <v>1299</v>
      </c>
      <c r="C89" s="78"/>
      <c r="D89" s="95"/>
      <c r="E89" s="95"/>
      <c r="F89" s="95"/>
      <c r="G89" s="95"/>
      <c r="H89" s="95"/>
      <c r="I89" s="79"/>
      <c r="J89" s="95"/>
      <c r="K89" s="95"/>
      <c r="L89" s="578"/>
      <c r="M89" s="1566"/>
    </row>
    <row r="90" spans="2:13" ht="15.75">
      <c r="B90" s="78"/>
      <c r="C90" s="78"/>
      <c r="D90" s="95"/>
      <c r="E90" s="79"/>
      <c r="F90" s="95"/>
      <c r="G90" s="95"/>
      <c r="H90" s="95"/>
      <c r="I90" s="79" t="s">
        <v>376</v>
      </c>
      <c r="J90" s="106">
        <v>236</v>
      </c>
      <c r="K90" s="619">
        <f>IF(K86&gt;K88,(+K86-K88),0)</f>
        <v>0</v>
      </c>
      <c r="L90" s="578"/>
      <c r="M90" s="1566"/>
    </row>
    <row r="91" spans="2:13" ht="20.25">
      <c r="B91" s="1159" t="s">
        <v>1563</v>
      </c>
      <c r="C91" s="78"/>
      <c r="D91" s="95"/>
      <c r="E91" s="95"/>
      <c r="F91" s="95"/>
      <c r="G91" s="95"/>
      <c r="H91" s="95"/>
      <c r="I91" s="95"/>
      <c r="J91" s="86"/>
      <c r="K91" s="86"/>
      <c r="L91" s="578"/>
      <c r="M91" s="1566"/>
    </row>
    <row r="92" spans="2:13" ht="9" customHeight="1">
      <c r="B92" s="74"/>
      <c r="C92" s="86"/>
      <c r="D92" s="95"/>
      <c r="E92" s="95"/>
      <c r="F92" s="95"/>
      <c r="G92" s="95"/>
      <c r="H92" s="95"/>
      <c r="I92" s="95"/>
      <c r="J92" s="86"/>
      <c r="K92" s="86"/>
      <c r="L92" s="578"/>
      <c r="M92" s="1566"/>
    </row>
    <row r="93" spans="2:13" ht="18" customHeight="1">
      <c r="B93" s="75" t="s">
        <v>706</v>
      </c>
      <c r="C93" s="100"/>
      <c r="D93" s="96"/>
      <c r="E93" s="96"/>
      <c r="F93" s="96"/>
      <c r="G93" s="96"/>
      <c r="H93" s="106">
        <v>244</v>
      </c>
      <c r="I93" s="789">
        <f>MISC!L48</f>
        <v>0</v>
      </c>
      <c r="J93" s="86"/>
      <c r="K93" s="86"/>
      <c r="L93" s="578"/>
      <c r="M93" s="1566"/>
    </row>
    <row r="94" spans="2:13" ht="18" customHeight="1">
      <c r="B94" s="75" t="s">
        <v>1461</v>
      </c>
      <c r="C94" s="75"/>
      <c r="D94" s="96"/>
      <c r="E94" s="96"/>
      <c r="F94" s="96"/>
      <c r="G94" s="96"/>
      <c r="H94" s="106">
        <v>248</v>
      </c>
      <c r="I94" s="352">
        <f>MISC!L49</f>
        <v>0</v>
      </c>
      <c r="J94" s="86"/>
      <c r="K94" s="86"/>
      <c r="L94" s="578"/>
      <c r="M94" s="1566"/>
    </row>
    <row r="95" spans="2:13" ht="18">
      <c r="B95" s="76" t="s">
        <v>1142</v>
      </c>
      <c r="C95" s="76"/>
      <c r="D95" s="94"/>
      <c r="E95" s="94"/>
      <c r="F95" s="94"/>
      <c r="G95" s="94"/>
      <c r="H95" s="106">
        <v>249</v>
      </c>
      <c r="I95" s="367">
        <f>MISC!L50</f>
        <v>0</v>
      </c>
      <c r="J95" s="86"/>
      <c r="K95" s="86"/>
      <c r="L95" s="578"/>
      <c r="M95" s="1566"/>
    </row>
    <row r="96" spans="2:13" ht="30" customHeight="1">
      <c r="B96" s="1673" t="s">
        <v>900</v>
      </c>
      <c r="C96" s="1656"/>
      <c r="D96" s="1656"/>
      <c r="E96" s="1656"/>
      <c r="F96" s="1656"/>
      <c r="G96" s="94"/>
      <c r="H96" s="106">
        <v>250</v>
      </c>
      <c r="I96" s="367">
        <f>MISC!L51</f>
        <v>0</v>
      </c>
      <c r="J96" s="86"/>
      <c r="K96" s="86"/>
      <c r="L96" s="578"/>
      <c r="M96" s="1566"/>
    </row>
    <row r="97" spans="2:13" ht="18">
      <c r="B97" s="76" t="s">
        <v>1589</v>
      </c>
      <c r="C97" s="76"/>
      <c r="D97" s="94"/>
      <c r="E97" s="94"/>
      <c r="F97" s="94"/>
      <c r="G97" s="94"/>
      <c r="H97" s="106">
        <v>251</v>
      </c>
      <c r="I97" s="93"/>
      <c r="J97" s="86"/>
      <c r="K97" s="86"/>
      <c r="L97" s="578"/>
      <c r="M97" s="1566"/>
    </row>
    <row r="98" spans="2:13" ht="18">
      <c r="B98" s="76" t="s">
        <v>1590</v>
      </c>
      <c r="C98" s="76"/>
      <c r="D98" s="94"/>
      <c r="E98" s="94"/>
      <c r="F98" s="94"/>
      <c r="G98" s="94"/>
      <c r="H98" s="106">
        <v>252</v>
      </c>
      <c r="I98" s="93"/>
      <c r="J98" s="86"/>
      <c r="K98" s="86"/>
      <c r="L98" s="578"/>
      <c r="M98" s="1566"/>
    </row>
    <row r="99" spans="2:13" ht="18">
      <c r="B99" s="76" t="s">
        <v>1623</v>
      </c>
      <c r="C99" s="76"/>
      <c r="D99" s="94"/>
      <c r="E99" s="94"/>
      <c r="F99" s="94"/>
      <c r="G99" s="94"/>
      <c r="H99" s="106">
        <v>253</v>
      </c>
      <c r="I99" s="93"/>
      <c r="J99" s="86"/>
      <c r="K99" s="86"/>
      <c r="L99" s="578"/>
      <c r="M99" s="1566"/>
    </row>
    <row r="100" spans="2:13" ht="18">
      <c r="B100" s="76" t="s">
        <v>1624</v>
      </c>
      <c r="C100" s="76"/>
      <c r="D100" s="94"/>
      <c r="E100" s="94"/>
      <c r="F100" s="94"/>
      <c r="G100" s="94"/>
      <c r="H100" s="106">
        <v>254</v>
      </c>
      <c r="I100" s="93"/>
      <c r="J100" s="86"/>
      <c r="K100" s="86"/>
      <c r="L100" s="578"/>
      <c r="M100" s="1566"/>
    </row>
    <row r="101" spans="2:13" ht="18">
      <c r="B101" s="76" t="s">
        <v>705</v>
      </c>
      <c r="C101" s="76"/>
      <c r="D101" s="94"/>
      <c r="E101" s="94"/>
      <c r="F101" s="94"/>
      <c r="G101" s="94"/>
      <c r="H101" s="106">
        <v>255</v>
      </c>
      <c r="I101" s="93"/>
      <c r="J101" s="86"/>
      <c r="K101" s="86"/>
      <c r="L101" s="578"/>
      <c r="M101" s="1566"/>
    </row>
    <row r="102" spans="2:13" ht="18">
      <c r="B102" s="76" t="s">
        <v>88</v>
      </c>
      <c r="C102" s="1670"/>
      <c r="D102" s="1671"/>
      <c r="E102" s="1671"/>
      <c r="F102" s="1671"/>
      <c r="G102" s="1671"/>
      <c r="H102" s="106">
        <v>256</v>
      </c>
      <c r="I102" s="367">
        <f>MISC!L52</f>
        <v>0</v>
      </c>
      <c r="J102" s="86"/>
      <c r="K102" s="86"/>
      <c r="L102" s="578"/>
      <c r="M102" s="1566"/>
    </row>
    <row r="103" spans="2:13" ht="18">
      <c r="B103" s="76"/>
      <c r="C103" s="76"/>
      <c r="D103" s="94"/>
      <c r="E103" s="94"/>
      <c r="F103" s="89"/>
      <c r="G103" s="89" t="s">
        <v>708</v>
      </c>
      <c r="H103" s="106">
        <v>257</v>
      </c>
      <c r="I103" s="367">
        <f>SUM(I93:I102)</f>
        <v>0</v>
      </c>
      <c r="J103" s="1085" t="s">
        <v>1886</v>
      </c>
      <c r="K103" s="352">
        <f>I103</f>
        <v>0</v>
      </c>
      <c r="L103" s="578"/>
      <c r="M103" s="1566"/>
    </row>
    <row r="104" spans="2:13" ht="15.75">
      <c r="B104" s="78"/>
      <c r="C104" s="78"/>
      <c r="D104" s="95"/>
      <c r="E104" s="88"/>
      <c r="F104" s="95"/>
      <c r="G104" s="88"/>
      <c r="H104" s="78"/>
      <c r="I104" s="79" t="s">
        <v>1132</v>
      </c>
      <c r="J104" s="88"/>
      <c r="K104" s="1666">
        <f>MAXA(0,(K90-K103))</f>
        <v>0</v>
      </c>
      <c r="L104" s="578"/>
      <c r="M104" s="1566"/>
    </row>
    <row r="105" spans="2:13" ht="15.75">
      <c r="B105" s="78"/>
      <c r="C105" s="78"/>
      <c r="D105" s="95"/>
      <c r="E105" s="95"/>
      <c r="F105" s="95"/>
      <c r="G105" s="95"/>
      <c r="H105" s="95"/>
      <c r="I105" s="79" t="s">
        <v>489</v>
      </c>
      <c r="J105" s="106">
        <v>260</v>
      </c>
      <c r="K105" s="1667"/>
      <c r="L105" s="578"/>
      <c r="M105" s="1566"/>
    </row>
    <row r="106" spans="2:13" ht="13.5" customHeight="1">
      <c r="B106" s="78"/>
      <c r="C106" s="78"/>
      <c r="D106" s="95"/>
      <c r="E106" s="95"/>
      <c r="F106" s="95"/>
      <c r="G106" s="95"/>
      <c r="H106" s="95"/>
      <c r="I106" s="79"/>
      <c r="J106" s="106"/>
      <c r="K106" s="86"/>
      <c r="L106" s="578"/>
      <c r="M106" s="1566"/>
    </row>
    <row r="107" spans="2:13" ht="18">
      <c r="B107" s="86" t="s">
        <v>1463</v>
      </c>
      <c r="C107" s="78"/>
      <c r="D107" s="95"/>
      <c r="E107" s="95"/>
      <c r="F107" s="95"/>
      <c r="G107" s="95"/>
      <c r="H107" s="95"/>
      <c r="I107" s="79"/>
      <c r="J107" s="106"/>
      <c r="K107" s="86"/>
      <c r="L107" s="578"/>
      <c r="M107" s="1566"/>
    </row>
    <row r="108" spans="2:13" ht="18">
      <c r="B108" s="86" t="s">
        <v>1462</v>
      </c>
      <c r="C108" s="78"/>
      <c r="D108" s="95"/>
      <c r="E108" s="95"/>
      <c r="F108" s="95"/>
      <c r="G108" s="95"/>
      <c r="H108" s="95"/>
      <c r="I108" s="79"/>
      <c r="J108" s="106"/>
      <c r="K108" s="86"/>
      <c r="L108" s="578"/>
      <c r="M108" s="1566"/>
    </row>
    <row r="109" spans="1:13" ht="15">
      <c r="A109" s="580"/>
      <c r="B109" s="78"/>
      <c r="C109" s="78"/>
      <c r="D109" s="78"/>
      <c r="E109" s="78"/>
      <c r="F109" s="78"/>
      <c r="G109" s="78"/>
      <c r="H109" s="78"/>
      <c r="I109" s="78"/>
      <c r="J109" s="78"/>
      <c r="K109" s="78"/>
      <c r="L109" s="78"/>
      <c r="M109" s="1566"/>
    </row>
    <row r="110" spans="2:13" ht="20.25">
      <c r="B110" s="1159" t="s">
        <v>870</v>
      </c>
      <c r="C110" s="78"/>
      <c r="D110" s="86"/>
      <c r="E110" s="86"/>
      <c r="F110" s="86"/>
      <c r="G110" s="86"/>
      <c r="H110" s="86"/>
      <c r="I110" s="86"/>
      <c r="J110" s="86"/>
      <c r="K110" s="111">
        <v>4</v>
      </c>
      <c r="L110" s="111"/>
      <c r="M110" s="1566"/>
    </row>
    <row r="111" spans="2:13" ht="15.75" customHeight="1">
      <c r="B111" s="75" t="s">
        <v>273</v>
      </c>
      <c r="C111" s="75"/>
      <c r="D111" s="100"/>
      <c r="E111" s="100"/>
      <c r="F111" s="100"/>
      <c r="G111" s="100"/>
      <c r="H111" s="100"/>
      <c r="I111" s="100"/>
      <c r="J111" s="106">
        <v>420</v>
      </c>
      <c r="K111" s="352">
        <f>Sch1!K90</f>
        <v>0</v>
      </c>
      <c r="L111" s="578"/>
      <c r="M111" s="1566"/>
    </row>
    <row r="112" spans="2:13" ht="15.75">
      <c r="B112" s="76" t="s">
        <v>952</v>
      </c>
      <c r="C112" s="76"/>
      <c r="D112" s="89"/>
      <c r="E112" s="89"/>
      <c r="F112" s="89"/>
      <c r="G112" s="89"/>
      <c r="H112" s="89"/>
      <c r="I112" s="89"/>
      <c r="J112" s="106">
        <v>421</v>
      </c>
      <c r="K112" s="367">
        <f>Sch8!I26</f>
        <v>0</v>
      </c>
      <c r="L112" s="578"/>
      <c r="M112" s="1566"/>
    </row>
    <row r="113" spans="2:13" ht="15.75">
      <c r="B113" s="76" t="s">
        <v>872</v>
      </c>
      <c r="C113" s="87"/>
      <c r="D113" s="89"/>
      <c r="E113" s="84"/>
      <c r="F113" s="89"/>
      <c r="G113" s="89"/>
      <c r="H113" s="90"/>
      <c r="I113" s="90"/>
      <c r="J113" s="106">
        <v>422</v>
      </c>
      <c r="K113" s="367">
        <f>K88</f>
        <v>0</v>
      </c>
      <c r="L113" s="578"/>
      <c r="M113" s="1566"/>
    </row>
    <row r="114" spans="2:13" ht="9" customHeight="1">
      <c r="B114" s="82"/>
      <c r="C114" s="91"/>
      <c r="D114" s="101"/>
      <c r="E114" s="105"/>
      <c r="F114" s="101"/>
      <c r="G114" s="101"/>
      <c r="H114" s="101"/>
      <c r="I114" s="101"/>
      <c r="J114" s="106"/>
      <c r="K114" s="86"/>
      <c r="L114" s="578"/>
      <c r="M114" s="1566"/>
    </row>
    <row r="115" spans="2:13" ht="18">
      <c r="B115" s="865" t="s">
        <v>274</v>
      </c>
      <c r="C115" s="211"/>
      <c r="D115" s="219"/>
      <c r="E115" s="219"/>
      <c r="F115" s="219"/>
      <c r="G115" s="219"/>
      <c r="H115" s="219"/>
      <c r="I115" s="866"/>
      <c r="J115" s="106" t="s">
        <v>1785</v>
      </c>
      <c r="K115" s="611">
        <f>VLOOKUP("L428",D48:J49,C47,FALSE)</f>
        <v>0</v>
      </c>
      <c r="L115" s="578"/>
      <c r="M115" s="1566"/>
    </row>
    <row r="116" spans="2:13" ht="15.75">
      <c r="B116" s="78"/>
      <c r="C116" s="78"/>
      <c r="D116" s="79"/>
      <c r="E116" s="79"/>
      <c r="F116" s="79"/>
      <c r="G116" s="79"/>
      <c r="H116" s="79"/>
      <c r="I116" s="79" t="s">
        <v>86</v>
      </c>
      <c r="J116" s="106"/>
      <c r="K116" s="79"/>
      <c r="L116" s="578"/>
      <c r="M116" s="1566"/>
    </row>
    <row r="117" spans="2:13" ht="15.75">
      <c r="B117" s="78"/>
      <c r="C117" s="78"/>
      <c r="D117" s="79"/>
      <c r="E117" s="79"/>
      <c r="F117" s="79"/>
      <c r="G117" s="79"/>
      <c r="H117" s="79"/>
      <c r="I117" s="79" t="s">
        <v>490</v>
      </c>
      <c r="J117" s="106">
        <v>435</v>
      </c>
      <c r="K117" s="352">
        <f>SUM(K111:K115)</f>
        <v>0</v>
      </c>
      <c r="L117" s="1088" t="s">
        <v>880</v>
      </c>
      <c r="M117" s="1566"/>
    </row>
    <row r="118" spans="2:13" ht="7.5" customHeight="1">
      <c r="B118" s="78"/>
      <c r="C118" s="78"/>
      <c r="D118" s="79"/>
      <c r="E118" s="79"/>
      <c r="F118" s="79"/>
      <c r="G118" s="79"/>
      <c r="H118" s="79"/>
      <c r="I118" s="79"/>
      <c r="J118" s="106"/>
      <c r="K118" s="79"/>
      <c r="L118" s="578"/>
      <c r="M118" s="1566"/>
    </row>
    <row r="119" spans="2:13" ht="15.75">
      <c r="B119" s="75" t="s">
        <v>2188</v>
      </c>
      <c r="C119" s="75"/>
      <c r="D119" s="90"/>
      <c r="E119" s="90"/>
      <c r="F119" s="90"/>
      <c r="G119" s="90"/>
      <c r="H119" s="106">
        <v>437</v>
      </c>
      <c r="I119" s="352">
        <f>MISC!L62</f>
        <v>0</v>
      </c>
      <c r="J119" s="1088" t="s">
        <v>880</v>
      </c>
      <c r="K119" s="79"/>
      <c r="L119" s="578"/>
      <c r="M119" s="1566"/>
    </row>
    <row r="120" spans="2:13" ht="15.75">
      <c r="B120" s="76" t="s">
        <v>1797</v>
      </c>
      <c r="C120" s="76"/>
      <c r="D120" s="89"/>
      <c r="E120" s="89"/>
      <c r="F120" s="89"/>
      <c r="G120" s="89"/>
      <c r="H120" s="106">
        <v>440</v>
      </c>
      <c r="I120" s="93"/>
      <c r="J120" s="1088" t="s">
        <v>880</v>
      </c>
      <c r="K120" s="79"/>
      <c r="L120" s="578"/>
      <c r="M120" s="1566"/>
    </row>
    <row r="121" spans="2:13" ht="15.75">
      <c r="B121" s="76" t="s">
        <v>533</v>
      </c>
      <c r="C121" s="76"/>
      <c r="D121" s="89"/>
      <c r="E121" s="89"/>
      <c r="F121" s="89"/>
      <c r="G121" s="89"/>
      <c r="H121" s="106">
        <v>448</v>
      </c>
      <c r="I121" s="352">
        <f>MAX(0,'T2204'!N31)</f>
        <v>0</v>
      </c>
      <c r="J121" s="1088" t="s">
        <v>880</v>
      </c>
      <c r="K121" s="79"/>
      <c r="L121" s="578"/>
      <c r="M121" s="1566"/>
    </row>
    <row r="122" spans="2:13" ht="15.75">
      <c r="B122" s="76" t="s">
        <v>224</v>
      </c>
      <c r="C122" s="76"/>
      <c r="D122" s="89"/>
      <c r="E122" s="89"/>
      <c r="F122" s="89"/>
      <c r="G122" s="89"/>
      <c r="H122" s="106">
        <v>450</v>
      </c>
      <c r="I122" s="367">
        <f>MISC!L65</f>
        <v>0</v>
      </c>
      <c r="J122" s="1088" t="s">
        <v>880</v>
      </c>
      <c r="K122" s="79"/>
      <c r="L122" s="578"/>
      <c r="M122" s="1566"/>
    </row>
    <row r="123" spans="2:13" ht="15.75">
      <c r="B123" s="76" t="s">
        <v>154</v>
      </c>
      <c r="C123" s="76"/>
      <c r="D123" s="89"/>
      <c r="E123" s="89"/>
      <c r="F123" s="89"/>
      <c r="G123" s="89"/>
      <c r="H123" s="106">
        <v>452</v>
      </c>
      <c r="I123" s="367">
        <f>IF(AND(age&gt;17,QUAL!G28,'FED WRK'!I172&gt;=qual452),'FED WRK'!I165,0)</f>
        <v>0</v>
      </c>
      <c r="J123" s="1088" t="s">
        <v>880</v>
      </c>
      <c r="K123" s="79"/>
      <c r="L123" s="578"/>
      <c r="M123" s="1566"/>
    </row>
    <row r="124" spans="2:13" ht="15.75">
      <c r="B124" s="76" t="s">
        <v>2189</v>
      </c>
      <c r="C124" s="76"/>
      <c r="D124" s="89"/>
      <c r="E124" s="89"/>
      <c r="F124" s="89"/>
      <c r="G124" s="89"/>
      <c r="H124" s="106">
        <v>453</v>
      </c>
      <c r="I124" s="615">
        <f>Sch6!M105</f>
        <v>0</v>
      </c>
      <c r="J124" s="1088"/>
      <c r="K124" s="79"/>
      <c r="L124" s="578"/>
      <c r="M124" s="1566"/>
    </row>
    <row r="125" spans="2:13" ht="15.75">
      <c r="B125" s="76" t="s">
        <v>1921</v>
      </c>
      <c r="C125" s="76"/>
      <c r="D125" s="89"/>
      <c r="E125" s="89"/>
      <c r="F125" s="89"/>
      <c r="G125" s="89"/>
      <c r="H125" s="106">
        <v>454</v>
      </c>
      <c r="I125" s="93"/>
      <c r="J125" s="1088" t="s">
        <v>880</v>
      </c>
      <c r="K125" s="79"/>
      <c r="L125" s="578"/>
      <c r="M125" s="1566"/>
    </row>
    <row r="126" spans="2:13" ht="15.75">
      <c r="B126" s="76" t="s">
        <v>675</v>
      </c>
      <c r="C126" s="76"/>
      <c r="D126" s="89"/>
      <c r="E126" s="89"/>
      <c r="F126" s="89"/>
      <c r="G126" s="89"/>
      <c r="H126" s="106">
        <v>456</v>
      </c>
      <c r="I126" s="367">
        <f>MISC!L66</f>
        <v>0</v>
      </c>
      <c r="J126" s="1088" t="s">
        <v>880</v>
      </c>
      <c r="K126" s="79"/>
      <c r="L126" s="578"/>
      <c r="M126" s="1566"/>
    </row>
    <row r="127" spans="2:13" ht="9.75" customHeight="1">
      <c r="B127" s="82"/>
      <c r="C127" s="82"/>
      <c r="D127" s="102"/>
      <c r="E127" s="102"/>
      <c r="F127" s="102"/>
      <c r="G127" s="102"/>
      <c r="H127" s="106"/>
      <c r="I127" s="79"/>
      <c r="J127" s="79"/>
      <c r="K127" s="79"/>
      <c r="L127" s="578"/>
      <c r="M127" s="1566"/>
    </row>
    <row r="128" spans="2:13" ht="15" customHeight="1">
      <c r="B128" s="75" t="s">
        <v>1143</v>
      </c>
      <c r="C128" s="75"/>
      <c r="D128" s="90"/>
      <c r="E128" s="90"/>
      <c r="F128" s="90"/>
      <c r="G128" s="90"/>
      <c r="H128" s="106">
        <v>457</v>
      </c>
      <c r="I128" s="104"/>
      <c r="J128" s="1088" t="s">
        <v>880</v>
      </c>
      <c r="K128" s="79"/>
      <c r="L128" s="578"/>
      <c r="M128" s="1566"/>
    </row>
    <row r="129" spans="2:13" ht="15.75">
      <c r="B129" s="76" t="s">
        <v>1144</v>
      </c>
      <c r="C129" s="87"/>
      <c r="D129" s="89"/>
      <c r="E129" s="89"/>
      <c r="F129" s="89"/>
      <c r="G129" s="89"/>
      <c r="H129" s="106">
        <v>476</v>
      </c>
      <c r="I129" s="93"/>
      <c r="J129" s="1088" t="s">
        <v>880</v>
      </c>
      <c r="K129" s="79"/>
      <c r="L129" s="578"/>
      <c r="M129" s="1566"/>
    </row>
    <row r="130" spans="2:13" ht="24.75" customHeight="1">
      <c r="B130" s="867" t="s">
        <v>275</v>
      </c>
      <c r="C130" s="214"/>
      <c r="D130" s="435"/>
      <c r="E130" s="435"/>
      <c r="F130" s="435"/>
      <c r="G130" s="435"/>
      <c r="H130" s="106">
        <v>479</v>
      </c>
      <c r="I130" s="610">
        <f>VLOOKUP("L479",D48:J49,C47,FALSE)</f>
        <v>0</v>
      </c>
      <c r="J130" s="1088" t="s">
        <v>880</v>
      </c>
      <c r="K130" s="79"/>
      <c r="L130" s="578"/>
      <c r="M130" s="1566"/>
    </row>
    <row r="131" spans="2:13" ht="15.75">
      <c r="B131" s="78"/>
      <c r="C131" s="78"/>
      <c r="D131" s="79"/>
      <c r="E131" s="79"/>
      <c r="F131" s="79"/>
      <c r="G131" s="79" t="s">
        <v>676</v>
      </c>
      <c r="H131" s="95"/>
      <c r="I131" s="79"/>
      <c r="J131" s="79"/>
      <c r="K131" s="79"/>
      <c r="L131" s="578"/>
      <c r="M131" s="1566"/>
    </row>
    <row r="132" spans="2:13" ht="18">
      <c r="B132" s="78"/>
      <c r="C132" s="78"/>
      <c r="D132" s="79"/>
      <c r="E132" s="79"/>
      <c r="F132" s="79"/>
      <c r="G132" s="79" t="s">
        <v>491</v>
      </c>
      <c r="H132" s="106">
        <v>482</v>
      </c>
      <c r="I132" s="352">
        <f>SUM(I119:I130)</f>
        <v>0</v>
      </c>
      <c r="J132" s="1085" t="s">
        <v>1886</v>
      </c>
      <c r="K132" s="352">
        <f>I132</f>
        <v>0</v>
      </c>
      <c r="L132" s="578"/>
      <c r="M132" s="1566"/>
    </row>
    <row r="133" spans="2:13" ht="19.5" customHeight="1">
      <c r="B133" s="78"/>
      <c r="C133" s="78"/>
      <c r="D133" s="79"/>
      <c r="E133" s="79"/>
      <c r="F133" s="79"/>
      <c r="G133" s="101"/>
      <c r="H133" s="1043"/>
      <c r="I133" s="1044" t="s">
        <v>580</v>
      </c>
      <c r="J133" s="79"/>
      <c r="K133" s="619">
        <f>K117-K132</f>
        <v>0</v>
      </c>
      <c r="L133" s="578"/>
      <c r="M133" s="1566"/>
    </row>
    <row r="134" spans="2:13" ht="19.5" customHeight="1">
      <c r="B134" s="78"/>
      <c r="C134" s="78"/>
      <c r="D134" s="79"/>
      <c r="E134" s="79"/>
      <c r="F134" s="79" t="s">
        <v>1411</v>
      </c>
      <c r="G134" s="79"/>
      <c r="H134" s="79"/>
      <c r="I134" s="95"/>
      <c r="J134" s="79"/>
      <c r="K134" s="79" t="s">
        <v>1412</v>
      </c>
      <c r="L134" s="578"/>
      <c r="M134" s="1566"/>
    </row>
    <row r="135" spans="2:13" ht="15">
      <c r="B135" s="78"/>
      <c r="C135" s="1672"/>
      <c r="D135" s="1579"/>
      <c r="E135" s="79"/>
      <c r="F135" s="79"/>
      <c r="G135" s="79"/>
      <c r="H135" s="79"/>
      <c r="I135" s="79"/>
      <c r="J135" s="79"/>
      <c r="K135" s="79" t="s">
        <v>581</v>
      </c>
      <c r="L135" s="578"/>
      <c r="M135" s="1566"/>
    </row>
    <row r="136" spans="2:13" ht="24.75" customHeight="1">
      <c r="B136" s="78"/>
      <c r="C136" s="78"/>
      <c r="D136" s="78"/>
      <c r="E136" s="78"/>
      <c r="F136" s="78"/>
      <c r="G136" s="103" t="s">
        <v>1452</v>
      </c>
      <c r="H136" s="79"/>
      <c r="I136" s="95"/>
      <c r="J136" s="79"/>
      <c r="K136" s="78"/>
      <c r="L136" s="578"/>
      <c r="M136" s="1566"/>
    </row>
    <row r="137" spans="2:13" ht="4.5" customHeight="1">
      <c r="B137" s="78"/>
      <c r="C137" s="78"/>
      <c r="D137" s="78"/>
      <c r="E137" s="78"/>
      <c r="F137" s="78"/>
      <c r="G137" s="103"/>
      <c r="H137" s="79"/>
      <c r="I137" s="95"/>
      <c r="J137" s="79"/>
      <c r="K137" s="78"/>
      <c r="L137" s="578"/>
      <c r="M137" s="1566"/>
    </row>
    <row r="138" spans="2:13" ht="15.75">
      <c r="B138" s="1160" t="s">
        <v>492</v>
      </c>
      <c r="C138" s="1664">
        <f>IF(K133&lt;(-2),-K133,0)</f>
        <v>0</v>
      </c>
      <c r="D138" s="1665"/>
      <c r="E138" s="1665"/>
      <c r="F138" s="78"/>
      <c r="G138" s="78"/>
      <c r="H138" s="79"/>
      <c r="I138" s="1161" t="s">
        <v>1451</v>
      </c>
      <c r="J138" s="106">
        <v>485</v>
      </c>
      <c r="K138" s="352">
        <f>IF(MAXA($K$133,0)&gt;2,MAXA($K$133,0),0)</f>
        <v>0</v>
      </c>
      <c r="L138" s="1088" t="s">
        <v>880</v>
      </c>
      <c r="M138" s="1566"/>
    </row>
    <row r="139" spans="2:13" ht="5.25" customHeight="1">
      <c r="B139" s="79"/>
      <c r="C139" s="78"/>
      <c r="D139" s="78"/>
      <c r="E139" s="78"/>
      <c r="F139" s="78"/>
      <c r="G139" s="78"/>
      <c r="H139" s="79"/>
      <c r="I139" s="88"/>
      <c r="J139" s="95"/>
      <c r="K139" s="88"/>
      <c r="L139" s="578"/>
      <c r="M139" s="1566"/>
    </row>
    <row r="140" spans="2:13" ht="15" customHeight="1">
      <c r="B140" s="78"/>
      <c r="C140" s="78"/>
      <c r="D140" s="78"/>
      <c r="E140" s="78"/>
      <c r="F140" s="78"/>
      <c r="G140" s="78"/>
      <c r="H140" s="79"/>
      <c r="I140" s="1161" t="s">
        <v>196</v>
      </c>
      <c r="J140" s="106">
        <v>486</v>
      </c>
      <c r="K140" s="184"/>
      <c r="L140" s="1088" t="s">
        <v>880</v>
      </c>
      <c r="M140" s="1566"/>
    </row>
    <row r="141" spans="2:13" ht="22.5" customHeight="1">
      <c r="B141" s="80" t="str">
        <f>"Attach to page 1 a cheque or money order payable to the Receiver General. Your payment is due no later than April 30, "&amp;nextyeartext&amp;"."</f>
        <v>Attach to page 1 a cheque or money order payable to the Receiver General. Your payment is due no later than April 30, 2010.</v>
      </c>
      <c r="C141" s="103"/>
      <c r="D141" s="78"/>
      <c r="E141" s="78"/>
      <c r="F141" s="79"/>
      <c r="G141" s="78"/>
      <c r="H141" s="79"/>
      <c r="I141" s="88"/>
      <c r="J141" s="106"/>
      <c r="K141" s="79"/>
      <c r="L141" s="578"/>
      <c r="M141" s="1566"/>
    </row>
    <row r="142" spans="2:13" ht="7.5" customHeight="1">
      <c r="B142" s="1420"/>
      <c r="C142" s="82"/>
      <c r="D142" s="82"/>
      <c r="E142" s="82"/>
      <c r="F142" s="82"/>
      <c r="G142" s="82"/>
      <c r="H142" s="102"/>
      <c r="I142" s="170"/>
      <c r="J142" s="1018"/>
      <c r="K142" s="170"/>
      <c r="L142" s="583"/>
      <c r="M142" s="1566"/>
    </row>
    <row r="143" spans="2:13" ht="21" customHeight="1">
      <c r="B143" s="1501" t="s">
        <v>1453</v>
      </c>
      <c r="C143" s="78"/>
      <c r="D143" s="121"/>
      <c r="E143" s="121"/>
      <c r="F143" s="121"/>
      <c r="G143" s="121"/>
      <c r="H143" s="101"/>
      <c r="I143" s="121"/>
      <c r="J143" s="1421"/>
      <c r="K143" s="1421"/>
      <c r="L143" s="659"/>
      <c r="M143" s="1566"/>
    </row>
    <row r="144" spans="2:13" ht="15.75">
      <c r="B144" s="699" t="s">
        <v>266</v>
      </c>
      <c r="C144" s="78"/>
      <c r="D144" s="121"/>
      <c r="E144" s="121"/>
      <c r="F144" s="121"/>
      <c r="G144" s="105"/>
      <c r="H144" s="101"/>
      <c r="I144" s="105"/>
      <c r="J144" s="1421"/>
      <c r="K144" s="101"/>
      <c r="L144" s="659"/>
      <c r="M144" s="1566"/>
    </row>
    <row r="145" spans="2:13" ht="15.75">
      <c r="B145" s="699" t="s">
        <v>267</v>
      </c>
      <c r="C145" s="78"/>
      <c r="D145" s="121"/>
      <c r="E145" s="121"/>
      <c r="F145" s="121"/>
      <c r="G145" s="121"/>
      <c r="H145" s="121"/>
      <c r="I145" s="121"/>
      <c r="J145" s="121"/>
      <c r="K145" s="121"/>
      <c r="L145" s="659"/>
      <c r="M145" s="1566"/>
    </row>
    <row r="146" spans="2:13" ht="15.75">
      <c r="B146" s="120" t="s">
        <v>268</v>
      </c>
      <c r="C146" s="78"/>
      <c r="D146" s="121"/>
      <c r="E146" s="121"/>
      <c r="F146" s="121"/>
      <c r="G146" s="121"/>
      <c r="H146" s="121"/>
      <c r="I146" s="121"/>
      <c r="J146" s="121"/>
      <c r="K146" s="121"/>
      <c r="L146" s="659"/>
      <c r="M146" s="1566"/>
    </row>
    <row r="147" spans="2:13" ht="21.75" customHeight="1">
      <c r="B147" s="699" t="s">
        <v>269</v>
      </c>
      <c r="C147" s="78"/>
      <c r="D147" s="121"/>
      <c r="E147" s="121"/>
      <c r="F147" s="121"/>
      <c r="G147" s="121"/>
      <c r="H147" s="121"/>
      <c r="I147" s="121"/>
      <c r="J147" s="121"/>
      <c r="K147" s="121"/>
      <c r="L147" s="659"/>
      <c r="M147" s="1566"/>
    </row>
    <row r="148" spans="2:13" ht="15.75">
      <c r="B148" s="120" t="s">
        <v>270</v>
      </c>
      <c r="C148" s="78"/>
      <c r="D148" s="121"/>
      <c r="E148" s="121"/>
      <c r="F148" s="121"/>
      <c r="G148" s="121"/>
      <c r="H148" s="121"/>
      <c r="I148" s="121"/>
      <c r="J148" s="121"/>
      <c r="K148" s="121"/>
      <c r="L148" s="659"/>
      <c r="M148" s="1566"/>
    </row>
    <row r="149" spans="2:13" ht="19.5" customHeight="1">
      <c r="B149" s="120"/>
      <c r="C149" s="123" t="s">
        <v>1419</v>
      </c>
      <c r="D149" s="123"/>
      <c r="E149" s="123" t="s">
        <v>1421</v>
      </c>
      <c r="F149" s="121"/>
      <c r="G149" s="121"/>
      <c r="H149" s="121"/>
      <c r="I149" s="121"/>
      <c r="J149" s="121"/>
      <c r="K149" s="121"/>
      <c r="L149" s="659"/>
      <c r="M149" s="1566"/>
    </row>
    <row r="150" spans="2:13" ht="15">
      <c r="B150" s="120"/>
      <c r="C150" s="123" t="s">
        <v>1420</v>
      </c>
      <c r="D150" s="123"/>
      <c r="E150" s="123" t="s">
        <v>1420</v>
      </c>
      <c r="F150" s="121"/>
      <c r="G150" s="123" t="s">
        <v>480</v>
      </c>
      <c r="H150" s="123"/>
      <c r="I150" s="123" t="s">
        <v>1422</v>
      </c>
      <c r="J150" s="121"/>
      <c r="K150" s="123" t="s">
        <v>1454</v>
      </c>
      <c r="L150" s="659"/>
      <c r="M150" s="1566"/>
    </row>
    <row r="151" spans="2:13" ht="21" customHeight="1">
      <c r="B151" s="1422" t="s">
        <v>838</v>
      </c>
      <c r="C151" s="864"/>
      <c r="D151" s="1423" t="s">
        <v>837</v>
      </c>
      <c r="E151" s="868"/>
      <c r="F151" s="1423" t="s">
        <v>1423</v>
      </c>
      <c r="G151" s="1046"/>
      <c r="H151" s="1424">
        <v>463</v>
      </c>
      <c r="I151" s="555" t="s">
        <v>1019</v>
      </c>
      <c r="J151" s="1424">
        <v>491</v>
      </c>
      <c r="K151" s="555" t="s">
        <v>1019</v>
      </c>
      <c r="L151" s="659"/>
      <c r="M151" s="1566"/>
    </row>
    <row r="152" spans="2:13" ht="15">
      <c r="B152" s="120"/>
      <c r="C152" s="1047" t="s">
        <v>1339</v>
      </c>
      <c r="D152" s="1425"/>
      <c r="E152" s="1047" t="s">
        <v>839</v>
      </c>
      <c r="F152" s="1425"/>
      <c r="G152" s="1048" t="s">
        <v>840</v>
      </c>
      <c r="H152" s="1047"/>
      <c r="I152" s="585"/>
      <c r="J152" s="121"/>
      <c r="K152" s="121"/>
      <c r="L152" s="659"/>
      <c r="M152" s="1566"/>
    </row>
    <row r="153" spans="2:13" ht="8.25" customHeight="1">
      <c r="B153" s="122"/>
      <c r="C153" s="586"/>
      <c r="D153" s="75"/>
      <c r="E153" s="75"/>
      <c r="F153" s="75"/>
      <c r="G153" s="75"/>
      <c r="H153" s="75"/>
      <c r="I153" s="75"/>
      <c r="J153" s="75"/>
      <c r="K153" s="75"/>
      <c r="L153" s="669"/>
      <c r="M153" s="1566"/>
    </row>
    <row r="154" spans="2:13" ht="19.5" customHeight="1">
      <c r="B154" s="78"/>
      <c r="C154" s="578"/>
      <c r="D154" s="78"/>
      <c r="E154" s="78"/>
      <c r="F154" s="78"/>
      <c r="G154" s="78"/>
      <c r="H154" s="78"/>
      <c r="I154" s="78"/>
      <c r="J154" s="78"/>
      <c r="K154" s="78"/>
      <c r="L154" s="578"/>
      <c r="M154" s="1566"/>
    </row>
    <row r="155" spans="2:13" ht="15.75" hidden="1">
      <c r="B155" s="869" t="s">
        <v>38</v>
      </c>
      <c r="C155" s="870"/>
      <c r="D155" s="870"/>
      <c r="E155" s="870"/>
      <c r="F155" s="870"/>
      <c r="G155" s="870"/>
      <c r="H155" s="870"/>
      <c r="I155" s="870"/>
      <c r="J155" s="870"/>
      <c r="K155" s="870"/>
      <c r="L155" s="878"/>
      <c r="M155" s="1566"/>
    </row>
    <row r="156" spans="2:13" ht="15.75" hidden="1">
      <c r="B156" s="871"/>
      <c r="C156" s="872"/>
      <c r="D156" s="872"/>
      <c r="E156" s="872"/>
      <c r="F156" s="873" t="s">
        <v>1824</v>
      </c>
      <c r="G156" s="873"/>
      <c r="H156" s="873"/>
      <c r="I156" s="873"/>
      <c r="J156" s="872"/>
      <c r="K156" s="587">
        <f>C138</f>
        <v>0</v>
      </c>
      <c r="L156" s="879" t="s">
        <v>1281</v>
      </c>
      <c r="M156" s="1566"/>
    </row>
    <row r="157" spans="2:13" ht="15.75" hidden="1">
      <c r="B157" s="871" t="s">
        <v>999</v>
      </c>
      <c r="C157" s="872"/>
      <c r="D157" s="872"/>
      <c r="E157" s="872"/>
      <c r="F157" s="872" t="s">
        <v>271</v>
      </c>
      <c r="G157" s="872"/>
      <c r="H157" s="872"/>
      <c r="I157" s="872"/>
      <c r="J157" s="872"/>
      <c r="K157" s="872"/>
      <c r="L157" s="880"/>
      <c r="M157" s="1566"/>
    </row>
    <row r="158" spans="2:13" ht="15.75" hidden="1">
      <c r="B158" s="871" t="str">
        <f>"donate some of all of your "&amp;yeartext&amp;" refund to the Ontario"</f>
        <v>donate some of all of your 2009 refund to the Ontario</v>
      </c>
      <c r="C158" s="872"/>
      <c r="D158" s="872"/>
      <c r="E158" s="872"/>
      <c r="F158" s="873" t="s">
        <v>38</v>
      </c>
      <c r="G158" s="873"/>
      <c r="H158" s="873"/>
      <c r="I158" s="873"/>
      <c r="J158" s="874" t="s">
        <v>1493</v>
      </c>
      <c r="K158" s="130"/>
      <c r="L158" s="879" t="s">
        <v>1314</v>
      </c>
      <c r="M158" s="1566"/>
    </row>
    <row r="159" spans="2:13" ht="15.75" hidden="1">
      <c r="B159" s="875" t="s">
        <v>1000</v>
      </c>
      <c r="C159" s="873"/>
      <c r="D159" s="873"/>
      <c r="E159" s="873"/>
      <c r="F159" s="876" t="s">
        <v>998</v>
      </c>
      <c r="G159" s="876"/>
      <c r="H159" s="876"/>
      <c r="I159" s="876"/>
      <c r="J159" s="877" t="s">
        <v>1494</v>
      </c>
      <c r="K159" s="590">
        <f>MAXA(0,K156-K158)</f>
        <v>0</v>
      </c>
      <c r="L159" s="881" t="s">
        <v>1315</v>
      </c>
      <c r="M159" s="1566"/>
    </row>
    <row r="160" spans="2:13" ht="19.5" customHeight="1">
      <c r="B160" s="578"/>
      <c r="C160" s="578"/>
      <c r="D160" s="578"/>
      <c r="E160" s="578"/>
      <c r="F160" s="578"/>
      <c r="G160" s="578"/>
      <c r="H160" s="578"/>
      <c r="I160" s="578"/>
      <c r="J160" s="578"/>
      <c r="K160" s="578"/>
      <c r="L160" s="578"/>
      <c r="M160" s="1566"/>
    </row>
    <row r="161" spans="2:13" ht="15.75">
      <c r="B161" s="591" t="s">
        <v>2093</v>
      </c>
      <c r="C161" s="582"/>
      <c r="D161" s="582"/>
      <c r="E161" s="582"/>
      <c r="F161" s="582"/>
      <c r="G161" s="1049" t="s">
        <v>474</v>
      </c>
      <c r="H161" s="592" t="s">
        <v>479</v>
      </c>
      <c r="I161" s="1659"/>
      <c r="J161" s="1659"/>
      <c r="K161" s="1659"/>
      <c r="L161" s="1660"/>
      <c r="M161" s="1566"/>
    </row>
    <row r="162" spans="2:13" ht="15">
      <c r="B162" s="584" t="s">
        <v>152</v>
      </c>
      <c r="C162" s="585"/>
      <c r="D162" s="585"/>
      <c r="E162" s="585"/>
      <c r="F162" s="585"/>
      <c r="G162" s="1050" t="s">
        <v>475</v>
      </c>
      <c r="H162" s="1052" t="s">
        <v>642</v>
      </c>
      <c r="I162" s="1053"/>
      <c r="J162" s="1053"/>
      <c r="K162" s="1053"/>
      <c r="L162" s="1054"/>
      <c r="M162" s="1566"/>
    </row>
    <row r="163" spans="2:13" ht="15">
      <c r="B163" s="593"/>
      <c r="C163" s="594"/>
      <c r="D163" s="594"/>
      <c r="E163" s="594"/>
      <c r="F163" s="585"/>
      <c r="G163" s="1050" t="s">
        <v>476</v>
      </c>
      <c r="H163" s="1657"/>
      <c r="I163" s="1657"/>
      <c r="J163" s="1657"/>
      <c r="K163" s="1657"/>
      <c r="L163" s="1658"/>
      <c r="M163" s="1566"/>
    </row>
    <row r="164" spans="2:13" ht="15.75">
      <c r="B164" s="1662" t="s">
        <v>153</v>
      </c>
      <c r="C164" s="1663"/>
      <c r="D164" s="1663"/>
      <c r="E164" s="1663"/>
      <c r="F164" s="585"/>
      <c r="G164" s="1050" t="s">
        <v>477</v>
      </c>
      <c r="H164" s="1657"/>
      <c r="I164" s="1657"/>
      <c r="J164" s="1657"/>
      <c r="K164" s="1657"/>
      <c r="L164" s="1658"/>
      <c r="M164" s="1566"/>
    </row>
    <row r="165" spans="2:13" ht="15">
      <c r="B165" s="584" t="s">
        <v>2190</v>
      </c>
      <c r="C165" s="595"/>
      <c r="D165" s="585"/>
      <c r="E165" s="585"/>
      <c r="F165" s="585"/>
      <c r="G165" s="1050" t="s">
        <v>478</v>
      </c>
      <c r="H165" s="1657"/>
      <c r="I165" s="1657"/>
      <c r="J165" s="1657"/>
      <c r="K165" s="1657"/>
      <c r="L165" s="1658"/>
      <c r="M165" s="1566"/>
    </row>
    <row r="166" spans="2:13" ht="15">
      <c r="B166" s="255"/>
      <c r="C166" s="586" t="s">
        <v>473</v>
      </c>
      <c r="D166" s="1661"/>
      <c r="E166" s="1661"/>
      <c r="F166" s="586"/>
      <c r="G166" s="1051"/>
      <c r="H166" s="586" t="s">
        <v>1703</v>
      </c>
      <c r="I166" s="586"/>
      <c r="J166" s="1657"/>
      <c r="K166" s="1657"/>
      <c r="L166" s="1658"/>
      <c r="M166" s="1566"/>
    </row>
    <row r="167" spans="2:13" ht="8.25" customHeight="1">
      <c r="B167" s="578"/>
      <c r="C167" s="578"/>
      <c r="D167" s="578"/>
      <c r="E167" s="578"/>
      <c r="F167" s="578"/>
      <c r="G167" s="578"/>
      <c r="H167" s="578"/>
      <c r="I167" s="578"/>
      <c r="J167" s="578"/>
      <c r="K167" s="578"/>
      <c r="L167" s="578"/>
      <c r="M167" s="1566"/>
    </row>
    <row r="168" spans="2:13" ht="20.25" customHeight="1">
      <c r="B168" s="596" t="s">
        <v>1456</v>
      </c>
      <c r="C168" s="597"/>
      <c r="D168" s="772"/>
      <c r="E168" s="597"/>
      <c r="F168" s="598"/>
      <c r="G168" s="597"/>
      <c r="H168" s="597"/>
      <c r="I168" s="599"/>
      <c r="J168" s="1181"/>
      <c r="K168" s="597"/>
      <c r="L168" s="600"/>
      <c r="M168" s="1566"/>
    </row>
    <row r="169" spans="2:13" ht="15" customHeight="1">
      <c r="B169" s="601" t="s">
        <v>1457</v>
      </c>
      <c r="C169" s="597"/>
      <c r="D169" s="772"/>
      <c r="E169" s="597"/>
      <c r="F169" s="602"/>
      <c r="G169" s="597"/>
      <c r="H169" s="597"/>
      <c r="I169" s="595"/>
      <c r="J169" s="1181"/>
      <c r="K169" s="597"/>
      <c r="L169" s="603"/>
      <c r="M169" s="1566"/>
    </row>
    <row r="170" spans="2:13" ht="4.5" customHeight="1">
      <c r="B170" s="604"/>
      <c r="C170" s="586"/>
      <c r="D170" s="605"/>
      <c r="E170" s="606"/>
      <c r="F170" s="606"/>
      <c r="G170" s="606"/>
      <c r="H170" s="606"/>
      <c r="I170" s="606"/>
      <c r="J170" s="606"/>
      <c r="K170" s="606"/>
      <c r="L170" s="607"/>
      <c r="M170" s="1566"/>
    </row>
    <row r="171" spans="2:13" ht="15">
      <c r="B171" s="578"/>
      <c r="C171" s="608"/>
      <c r="D171" s="578"/>
      <c r="E171" s="578"/>
      <c r="F171" s="578"/>
      <c r="G171" s="578"/>
      <c r="H171" s="578"/>
      <c r="I171" s="578"/>
      <c r="J171" s="578"/>
      <c r="K171" s="609" t="s">
        <v>272</v>
      </c>
      <c r="L171" s="578"/>
      <c r="M171" s="1566"/>
    </row>
  </sheetData>
  <sheetProtection password="EC35" sheet="1" objects="1" scenarios="1"/>
  <mergeCells count="19">
    <mergeCell ref="H163:L163"/>
    <mergeCell ref="K104:K105"/>
    <mergeCell ref="D32:G32"/>
    <mergeCell ref="B43:E43"/>
    <mergeCell ref="I44:I45"/>
    <mergeCell ref="C84:G84"/>
    <mergeCell ref="C135:D135"/>
    <mergeCell ref="B96:F96"/>
    <mergeCell ref="C102:G102"/>
    <mergeCell ref="B24:E24"/>
    <mergeCell ref="B23:G23"/>
    <mergeCell ref="M1:M171"/>
    <mergeCell ref="H164:L164"/>
    <mergeCell ref="H165:L165"/>
    <mergeCell ref="J166:L166"/>
    <mergeCell ref="I161:L161"/>
    <mergeCell ref="D166:E166"/>
    <mergeCell ref="B164:E164"/>
    <mergeCell ref="C138:E138"/>
  </mergeCells>
  <dataValidations count="3">
    <dataValidation type="list" showInputMessage="1" showErrorMessage="1" sqref="I151 K151">
      <formula1>"X,'"</formula1>
    </dataValidation>
    <dataValidation type="list" allowBlank="1" showInputMessage="1" showErrorMessage="1" sqref="J6 H6">
      <formula1>"X,'"</formula1>
    </dataValidation>
    <dataValidation type="decimal" allowBlank="1" showInputMessage="1" showErrorMessage="1" errorTitle="Invalid Value" error="Maximum of $600" sqref="I67">
      <formula1>0</formula1>
      <formula2>600</formula2>
    </dataValidation>
  </dataValidations>
  <hyperlinks>
    <hyperlink ref="I66" location="Sch7!E13" display="Sch7!E13"/>
  </hyperlinks>
  <printOptions horizontalCentered="1"/>
  <pageMargins left="0" right="0" top="0" bottom="0" header="0.511811023622047" footer="0.2"/>
  <pageSetup fitToHeight="0" fitToWidth="1" horizontalDpi="600" verticalDpi="600" orientation="portrait" scale="79" r:id="rId4"/>
  <headerFooter alignWithMargins="0">
    <oddFooter>&amp;L5006-R</oddFooter>
  </headerFooter>
  <rowBreaks count="2" manualBreakCount="2">
    <brk id="45" max="11" man="1"/>
    <brk id="108" max="11" man="1"/>
  </rowBreaks>
  <drawing r:id="rId3"/>
  <legacyDrawing r:id="rId2"/>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L371"/>
  <sheetViews>
    <sheetView zoomScalePageLayoutView="0" workbookViewId="0" topLeftCell="A1">
      <selection activeCell="A1" sqref="A1"/>
    </sheetView>
  </sheetViews>
  <sheetFormatPr defaultColWidth="9.77734375" defaultRowHeight="15"/>
  <cols>
    <col min="1" max="1" width="37.77734375" style="450" customWidth="1"/>
    <col min="2" max="2" width="5.77734375" style="0" customWidth="1"/>
    <col min="3" max="3" width="12.77734375" style="0" customWidth="1"/>
    <col min="4" max="4" width="5.77734375" style="0" customWidth="1"/>
    <col min="5" max="5" width="12.77734375" style="0" customWidth="1"/>
    <col min="6" max="6" width="5.77734375" style="0" customWidth="1"/>
    <col min="7" max="7" width="12.77734375" style="0" customWidth="1"/>
    <col min="8" max="8" width="4.77734375" style="0" customWidth="1"/>
    <col min="9" max="9" width="12.77734375" style="0" customWidth="1"/>
    <col min="10" max="10" width="3.77734375" style="0" customWidth="1"/>
    <col min="11" max="11" width="3.10546875" style="0" customWidth="1"/>
  </cols>
  <sheetData>
    <row r="1" spans="1:12" ht="32.25" customHeight="1">
      <c r="A1" s="1182" t="str">
        <f>"T1-"&amp;yeartext</f>
        <v>T1-2009</v>
      </c>
      <c r="B1" s="1084" t="s">
        <v>197</v>
      </c>
      <c r="C1" s="1083"/>
      <c r="D1" s="78"/>
      <c r="E1" s="78"/>
      <c r="F1" s="78"/>
      <c r="G1" s="78"/>
      <c r="H1" s="78"/>
      <c r="I1" s="78"/>
      <c r="J1" s="78"/>
      <c r="K1" s="78"/>
      <c r="L1" s="1566" t="s">
        <v>35</v>
      </c>
    </row>
    <row r="2" spans="1:12" ht="13.5" customHeight="1">
      <c r="A2" s="133"/>
      <c r="B2" s="78"/>
      <c r="C2" s="135"/>
      <c r="D2" s="78"/>
      <c r="E2" s="78"/>
      <c r="F2" s="78"/>
      <c r="G2" s="78"/>
      <c r="H2" s="78"/>
      <c r="I2" s="78"/>
      <c r="J2" s="78"/>
      <c r="K2" s="78"/>
      <c r="L2" s="1566"/>
    </row>
    <row r="3" spans="1:12" ht="23.25">
      <c r="A3" s="133" t="s">
        <v>6</v>
      </c>
      <c r="B3" s="78"/>
      <c r="C3" s="135"/>
      <c r="D3" s="78"/>
      <c r="E3" s="78"/>
      <c r="F3" s="78"/>
      <c r="G3" s="78"/>
      <c r="H3" s="78"/>
      <c r="I3" s="78"/>
      <c r="J3" s="78"/>
      <c r="K3" s="78"/>
      <c r="L3" s="1566"/>
    </row>
    <row r="4" spans="1:12" ht="18.75">
      <c r="A4" s="1077" t="s">
        <v>5</v>
      </c>
      <c r="B4" s="78"/>
      <c r="C4" s="78"/>
      <c r="D4" s="78"/>
      <c r="E4" s="78"/>
      <c r="F4" s="78"/>
      <c r="G4" s="78"/>
      <c r="H4" s="78"/>
      <c r="I4" s="78"/>
      <c r="J4" s="78"/>
      <c r="K4" s="78"/>
      <c r="L4" s="1566"/>
    </row>
    <row r="5" spans="1:12" ht="9.75" customHeight="1">
      <c r="A5" s="1077"/>
      <c r="B5" s="78"/>
      <c r="C5" s="78"/>
      <c r="D5" s="78"/>
      <c r="E5" s="78"/>
      <c r="F5" s="78"/>
      <c r="G5" s="78"/>
      <c r="H5" s="78"/>
      <c r="I5" s="78"/>
      <c r="J5" s="78"/>
      <c r="K5" s="78"/>
      <c r="L5" s="1566"/>
    </row>
    <row r="6" spans="1:12" ht="4.5" customHeight="1">
      <c r="A6" s="1079"/>
      <c r="B6" s="1061"/>
      <c r="C6" s="1061"/>
      <c r="D6" s="1061"/>
      <c r="E6" s="1061"/>
      <c r="F6" s="1061"/>
      <c r="G6" s="1061"/>
      <c r="H6" s="1061"/>
      <c r="I6" s="1061"/>
      <c r="J6" s="1061"/>
      <c r="K6" s="78"/>
      <c r="L6" s="1566"/>
    </row>
    <row r="7" spans="1:12" ht="9.75" customHeight="1">
      <c r="A7" s="133"/>
      <c r="B7" s="121"/>
      <c r="C7" s="121"/>
      <c r="D7" s="121"/>
      <c r="E7" s="121"/>
      <c r="F7" s="121"/>
      <c r="G7" s="78"/>
      <c r="H7" s="78"/>
      <c r="I7" s="78"/>
      <c r="J7" s="78"/>
      <c r="K7" s="78"/>
      <c r="L7" s="1566"/>
    </row>
    <row r="8" spans="1:12" ht="20.25">
      <c r="A8" s="1055" t="s">
        <v>2507</v>
      </c>
      <c r="B8" s="121"/>
      <c r="C8" s="121"/>
      <c r="D8" s="121"/>
      <c r="E8" s="121"/>
      <c r="F8" s="121"/>
      <c r="G8" s="124"/>
      <c r="H8" s="121"/>
      <c r="I8" s="121"/>
      <c r="J8" s="121"/>
      <c r="K8" s="121"/>
      <c r="L8" s="1566"/>
    </row>
    <row r="9" spans="1:12" ht="18">
      <c r="A9" s="133" t="s">
        <v>1333</v>
      </c>
      <c r="B9" s="121"/>
      <c r="C9" s="121"/>
      <c r="D9" s="121"/>
      <c r="E9" s="121"/>
      <c r="F9" s="121"/>
      <c r="G9" s="124"/>
      <c r="H9" s="121"/>
      <c r="I9" s="121"/>
      <c r="J9" s="121"/>
      <c r="K9" s="121"/>
      <c r="L9" s="1566"/>
    </row>
    <row r="10" spans="1:12" ht="18">
      <c r="A10" s="1057" t="s">
        <v>1334</v>
      </c>
      <c r="B10" s="75"/>
      <c r="C10" s="75"/>
      <c r="D10" s="75"/>
      <c r="E10" s="75"/>
      <c r="F10" s="75"/>
      <c r="G10" s="125"/>
      <c r="H10" s="121"/>
      <c r="I10" s="375">
        <f>+'T1 GEN-2-3-4'!K117-'T1 GEN-2-3-4'!K112</f>
        <v>0</v>
      </c>
      <c r="J10" s="683">
        <v>1</v>
      </c>
      <c r="K10" s="121"/>
      <c r="L10" s="1566"/>
    </row>
    <row r="11" spans="1:12" ht="18">
      <c r="A11" s="1057" t="s">
        <v>1960</v>
      </c>
      <c r="B11" s="76"/>
      <c r="C11" s="76"/>
      <c r="D11" s="76"/>
      <c r="E11" s="76"/>
      <c r="F11" s="121"/>
      <c r="G11" s="375">
        <f>+'T1 GEN-2-3-4'!I132</f>
        <v>0</v>
      </c>
      <c r="H11" s="683">
        <v>2</v>
      </c>
      <c r="I11" s="121"/>
      <c r="J11" s="121"/>
      <c r="K11" s="121"/>
      <c r="L11" s="1566"/>
    </row>
    <row r="12" spans="1:12" ht="18.75" thickBot="1">
      <c r="A12" s="1057" t="s">
        <v>1856</v>
      </c>
      <c r="B12" s="76"/>
      <c r="C12" s="126"/>
      <c r="D12" s="126"/>
      <c r="E12" s="126"/>
      <c r="F12" s="136"/>
      <c r="G12" s="742">
        <f>+'T1 GEN-2-3-4'!I121+MISC!J65+'T1 GEN-2-3-4'!I128+'T1 GEN-2-3-4'!I129</f>
        <v>0</v>
      </c>
      <c r="H12" s="683">
        <v>3</v>
      </c>
      <c r="I12" s="121"/>
      <c r="J12" s="121"/>
      <c r="K12" s="121"/>
      <c r="L12" s="1566"/>
    </row>
    <row r="13" spans="1:12" ht="18.75" thickBot="1">
      <c r="A13" s="1059" t="s">
        <v>1524</v>
      </c>
      <c r="B13" s="76"/>
      <c r="C13" s="126"/>
      <c r="D13" s="126"/>
      <c r="E13" s="126"/>
      <c r="F13" s="136"/>
      <c r="G13" s="375">
        <f>+G11-G12</f>
        <v>0</v>
      </c>
      <c r="H13" s="1085" t="s">
        <v>1886</v>
      </c>
      <c r="I13" s="742">
        <f>+G13</f>
        <v>0</v>
      </c>
      <c r="J13" s="683">
        <v>4</v>
      </c>
      <c r="K13" s="121"/>
      <c r="L13" s="1566"/>
    </row>
    <row r="14" spans="1:12" ht="18">
      <c r="A14" s="1059" t="s">
        <v>1579</v>
      </c>
      <c r="B14" s="76"/>
      <c r="C14" s="76"/>
      <c r="D14" s="76"/>
      <c r="E14" s="126"/>
      <c r="F14" s="1056"/>
      <c r="G14" s="1057"/>
      <c r="H14" s="121"/>
      <c r="I14" s="375">
        <f>+I10-I13</f>
        <v>0</v>
      </c>
      <c r="J14" s="683">
        <v>5</v>
      </c>
      <c r="K14" s="121"/>
      <c r="L14" s="1566"/>
    </row>
    <row r="15" spans="1:12" ht="16.5">
      <c r="A15" s="804" t="str">
        <f>"You may have to pay your "&amp;nextyeartext&amp;" taxes by installments if for "&amp;nextyeartext&amp;", and for either "&amp;yeartext&amp;" or "&amp;lastyeartext&amp;", the amount on line 5 is more than $3,000."</f>
        <v>You may have to pay your 2010 taxes by installments if for 2010, and for either 2009 or 2008, the amount on line 5 is more than $3,000.</v>
      </c>
      <c r="B15" s="121"/>
      <c r="C15" s="121"/>
      <c r="D15" s="121"/>
      <c r="E15" s="121"/>
      <c r="F15" s="136"/>
      <c r="G15" s="124"/>
      <c r="H15" s="121"/>
      <c r="I15" s="121"/>
      <c r="J15" s="121"/>
      <c r="K15" s="121"/>
      <c r="L15" s="1566"/>
    </row>
    <row r="16" spans="1:12" ht="9.75" customHeight="1">
      <c r="A16" s="804"/>
      <c r="B16" s="121"/>
      <c r="C16" s="121"/>
      <c r="D16" s="121"/>
      <c r="E16" s="121"/>
      <c r="F16" s="136"/>
      <c r="G16" s="124"/>
      <c r="H16" s="121"/>
      <c r="I16" s="121"/>
      <c r="J16" s="121"/>
      <c r="K16" s="121"/>
      <c r="L16" s="1566"/>
    </row>
    <row r="17" spans="1:12" ht="4.5" customHeight="1">
      <c r="A17" s="1086"/>
      <c r="B17" s="1060"/>
      <c r="C17" s="1060"/>
      <c r="D17" s="1060"/>
      <c r="E17" s="1060"/>
      <c r="F17" s="1080"/>
      <c r="G17" s="1081"/>
      <c r="H17" s="1060"/>
      <c r="I17" s="1060"/>
      <c r="J17" s="1060"/>
      <c r="K17" s="121"/>
      <c r="L17" s="1566"/>
    </row>
    <row r="18" spans="1:12" ht="15" customHeight="1">
      <c r="A18" s="804"/>
      <c r="B18" s="121"/>
      <c r="C18" s="121"/>
      <c r="D18" s="121"/>
      <c r="E18" s="121"/>
      <c r="F18" s="136"/>
      <c r="G18" s="124"/>
      <c r="H18" s="121"/>
      <c r="I18" s="121"/>
      <c r="J18" s="121"/>
      <c r="K18" s="121"/>
      <c r="L18" s="1566"/>
    </row>
    <row r="19" spans="1:12" ht="20.25">
      <c r="A19" s="1055" t="s">
        <v>1069</v>
      </c>
      <c r="B19" s="1060"/>
      <c r="C19" s="121"/>
      <c r="D19" s="121"/>
      <c r="E19" s="121"/>
      <c r="F19" s="136"/>
      <c r="G19" s="124"/>
      <c r="H19" s="121"/>
      <c r="I19" s="121"/>
      <c r="J19" s="121"/>
      <c r="K19" s="121"/>
      <c r="L19" s="1566"/>
    </row>
    <row r="20" spans="1:12" ht="18">
      <c r="A20" s="1057" t="s">
        <v>1070</v>
      </c>
      <c r="B20" s="75"/>
      <c r="C20" s="75"/>
      <c r="D20" s="75"/>
      <c r="E20" s="75"/>
      <c r="F20" s="1056"/>
      <c r="G20" s="125"/>
      <c r="H20" s="121"/>
      <c r="I20" s="375">
        <f>+'T1 GEN-2-3-4'!I16</f>
        <v>0</v>
      </c>
      <c r="J20" s="683">
        <v>1</v>
      </c>
      <c r="K20" s="121"/>
      <c r="L20" s="1566"/>
    </row>
    <row r="21" spans="1:12" ht="18.75" thickBot="1">
      <c r="A21" s="1059" t="s">
        <v>1071</v>
      </c>
      <c r="B21" s="75"/>
      <c r="C21" s="75"/>
      <c r="D21" s="75"/>
      <c r="E21" s="76"/>
      <c r="F21" s="1058"/>
      <c r="G21" s="126"/>
      <c r="H21" s="121"/>
      <c r="I21" s="684">
        <f>+'T1 GEN-2-3-4'!G42</f>
        <v>0</v>
      </c>
      <c r="J21" s="683">
        <v>2</v>
      </c>
      <c r="K21" s="121"/>
      <c r="L21" s="1566"/>
    </row>
    <row r="22" spans="1:12" ht="18">
      <c r="A22" s="1059" t="s">
        <v>1738</v>
      </c>
      <c r="B22" s="75"/>
      <c r="C22" s="75"/>
      <c r="D22" s="75"/>
      <c r="E22" s="76"/>
      <c r="F22" s="1058"/>
      <c r="G22" s="126"/>
      <c r="H22" s="121"/>
      <c r="I22" s="375">
        <f>+I20+I21</f>
        <v>0</v>
      </c>
      <c r="J22" s="683">
        <v>3</v>
      </c>
      <c r="K22" s="121"/>
      <c r="L22" s="1566"/>
    </row>
    <row r="23" spans="1:12" ht="18.75" thickBot="1">
      <c r="A23" s="1057" t="s">
        <v>1857</v>
      </c>
      <c r="B23" s="75"/>
      <c r="C23" s="75"/>
      <c r="D23" s="75"/>
      <c r="E23" s="76"/>
      <c r="F23" s="1058"/>
      <c r="G23" s="1059"/>
      <c r="H23" s="133"/>
      <c r="I23" s="742">
        <f>'T4A(OAS)'!E35</f>
        <v>0</v>
      </c>
      <c r="J23" s="683">
        <v>4</v>
      </c>
      <c r="K23" s="121"/>
      <c r="L23" s="1566"/>
    </row>
    <row r="24" spans="1:12" ht="18.75" thickBot="1">
      <c r="A24" s="1059" t="s">
        <v>2055</v>
      </c>
      <c r="B24" s="75"/>
      <c r="C24" s="75"/>
      <c r="D24" s="75"/>
      <c r="E24" s="76"/>
      <c r="F24" s="1058"/>
      <c r="G24" s="126"/>
      <c r="H24" s="121"/>
      <c r="I24" s="743">
        <f>MAXA(0,(+I22-I23))</f>
        <v>0</v>
      </c>
      <c r="J24" s="683">
        <v>5</v>
      </c>
      <c r="K24" s="121"/>
      <c r="L24" s="1566"/>
    </row>
    <row r="25" spans="1:12" ht="18.75" thickTop="1">
      <c r="A25" s="134"/>
      <c r="B25" s="121"/>
      <c r="C25" s="121"/>
      <c r="D25" s="121"/>
      <c r="E25" s="121"/>
      <c r="F25" s="136"/>
      <c r="G25" s="124"/>
      <c r="H25" s="121"/>
      <c r="I25" s="121"/>
      <c r="J25" s="121"/>
      <c r="K25" s="121"/>
      <c r="L25" s="1566"/>
    </row>
    <row r="26" spans="1:12" ht="18">
      <c r="A26" s="1057" t="s">
        <v>2439</v>
      </c>
      <c r="B26" s="75"/>
      <c r="C26" s="75"/>
      <c r="D26" s="75"/>
      <c r="E26" s="75"/>
      <c r="F26" s="1056"/>
      <c r="G26" s="125"/>
      <c r="H26" s="121"/>
      <c r="I26" s="375">
        <f>+'T1 GEN-2-3-4'!K86</f>
        <v>0</v>
      </c>
      <c r="J26" s="683">
        <v>6</v>
      </c>
      <c r="K26" s="121"/>
      <c r="L26" s="1566"/>
    </row>
    <row r="27" spans="1:12" ht="18">
      <c r="A27" s="1057" t="s">
        <v>2345</v>
      </c>
      <c r="B27" s="75"/>
      <c r="C27" s="75"/>
      <c r="D27" s="75"/>
      <c r="E27" s="126"/>
      <c r="F27" s="112"/>
      <c r="G27" s="559">
        <f>'T4E'!E80</f>
        <v>0</v>
      </c>
      <c r="H27" s="683">
        <v>7</v>
      </c>
      <c r="I27" s="121"/>
      <c r="J27" s="124"/>
      <c r="K27" s="121"/>
      <c r="L27" s="1566"/>
    </row>
    <row r="28" spans="1:12" ht="18">
      <c r="A28" s="1057" t="s">
        <v>1885</v>
      </c>
      <c r="B28" s="75"/>
      <c r="C28" s="75"/>
      <c r="D28" s="75"/>
      <c r="E28" s="126"/>
      <c r="F28" s="112"/>
      <c r="G28" s="559">
        <f>'T1 GEN-2-3-4'!I21</f>
        <v>0</v>
      </c>
      <c r="H28" s="683">
        <v>8</v>
      </c>
      <c r="I28" s="121"/>
      <c r="J28" s="124"/>
      <c r="K28" s="121"/>
      <c r="L28" s="1566"/>
    </row>
    <row r="29" spans="1:12" ht="18.75" thickBot="1">
      <c r="A29" s="1057" t="s">
        <v>2508</v>
      </c>
      <c r="B29" s="75"/>
      <c r="C29" s="75"/>
      <c r="D29" s="75"/>
      <c r="E29" s="126"/>
      <c r="F29" s="112"/>
      <c r="G29" s="563">
        <f>'T1 GEN-2-3-4'!I27</f>
        <v>0</v>
      </c>
      <c r="H29" s="683">
        <v>9</v>
      </c>
      <c r="I29" s="121"/>
      <c r="J29" s="124"/>
      <c r="K29" s="121"/>
      <c r="L29" s="1566"/>
    </row>
    <row r="30" spans="1:12" ht="18.75" thickBot="1">
      <c r="A30" s="1057" t="s">
        <v>1790</v>
      </c>
      <c r="B30" s="75"/>
      <c r="C30" s="75"/>
      <c r="D30" s="75"/>
      <c r="E30" s="126"/>
      <c r="F30" s="112"/>
      <c r="G30" s="781">
        <f>G27+G28+G29</f>
        <v>0</v>
      </c>
      <c r="H30" s="1085" t="s">
        <v>1886</v>
      </c>
      <c r="I30" s="742">
        <f>G30</f>
        <v>0</v>
      </c>
      <c r="J30" s="683">
        <v>10</v>
      </c>
      <c r="K30" s="121"/>
      <c r="L30" s="1566"/>
    </row>
    <row r="31" spans="1:12" ht="18">
      <c r="A31" s="1059" t="s">
        <v>2346</v>
      </c>
      <c r="B31" s="75"/>
      <c r="C31" s="75"/>
      <c r="D31" s="75"/>
      <c r="E31" s="125"/>
      <c r="F31" s="125"/>
      <c r="G31" s="126"/>
      <c r="H31" s="121"/>
      <c r="I31" s="781">
        <f>I26-I30</f>
        <v>0</v>
      </c>
      <c r="J31" s="683">
        <v>11</v>
      </c>
      <c r="K31" s="121"/>
      <c r="L31" s="1566"/>
    </row>
    <row r="32" spans="1:12" ht="18">
      <c r="A32" s="1059" t="s">
        <v>1458</v>
      </c>
      <c r="B32" s="75"/>
      <c r="C32" s="75"/>
      <c r="D32" s="75"/>
      <c r="E32" s="125"/>
      <c r="F32" s="125"/>
      <c r="G32" s="559">
        <f>'T1 GEN-2-3-4'!I70</f>
        <v>0</v>
      </c>
      <c r="H32" s="683">
        <v>12</v>
      </c>
      <c r="J32" s="683"/>
      <c r="K32" s="121"/>
      <c r="L32" s="1566"/>
    </row>
    <row r="33" spans="1:12" ht="18">
      <c r="A33" s="134" t="s">
        <v>2509</v>
      </c>
      <c r="B33" s="82"/>
      <c r="C33" s="82"/>
      <c r="D33" s="82"/>
      <c r="E33" s="1075"/>
      <c r="F33" s="1075"/>
      <c r="G33" s="124"/>
      <c r="H33" s="683"/>
      <c r="J33" s="683"/>
      <c r="K33" s="121"/>
      <c r="L33" s="1566"/>
    </row>
    <row r="34" spans="1:12" ht="18.75" thickBot="1">
      <c r="A34" s="1057" t="s">
        <v>2510</v>
      </c>
      <c r="B34" s="75"/>
      <c r="C34" s="75"/>
      <c r="D34" s="75"/>
      <c r="E34" s="125"/>
      <c r="F34" s="125"/>
      <c r="G34" s="1532"/>
      <c r="H34" s="683">
        <v>13</v>
      </c>
      <c r="I34" s="121"/>
      <c r="J34" s="683"/>
      <c r="K34" s="121"/>
      <c r="L34" s="1566"/>
    </row>
    <row r="35" spans="1:12" ht="18.75" thickBot="1">
      <c r="A35" s="1059" t="s">
        <v>2347</v>
      </c>
      <c r="B35" s="75"/>
      <c r="C35" s="75"/>
      <c r="D35" s="75"/>
      <c r="E35" s="125"/>
      <c r="F35" s="125"/>
      <c r="G35" s="781">
        <f>G32+G34</f>
        <v>0</v>
      </c>
      <c r="H35" s="1085" t="s">
        <v>1886</v>
      </c>
      <c r="I35" s="742">
        <f>G35</f>
        <v>0</v>
      </c>
      <c r="J35" s="683">
        <v>14</v>
      </c>
      <c r="K35" s="121"/>
      <c r="L35" s="1566"/>
    </row>
    <row r="36" spans="1:12" ht="18">
      <c r="A36" s="1059" t="s">
        <v>2348</v>
      </c>
      <c r="B36" s="75"/>
      <c r="C36" s="75"/>
      <c r="D36" s="75"/>
      <c r="E36" s="125"/>
      <c r="F36" s="125"/>
      <c r="G36" s="126"/>
      <c r="H36" s="121"/>
      <c r="I36" s="559">
        <f>I31+I35</f>
        <v>0</v>
      </c>
      <c r="J36" s="683">
        <v>15</v>
      </c>
      <c r="K36" s="121"/>
      <c r="L36" s="1566"/>
    </row>
    <row r="37" spans="1:12" ht="18.75" thickBot="1">
      <c r="A37" s="1059" t="s">
        <v>1523</v>
      </c>
      <c r="B37" s="75"/>
      <c r="C37" s="75"/>
      <c r="D37" s="75"/>
      <c r="E37" s="126"/>
      <c r="F37" s="126"/>
      <c r="G37" s="1082"/>
      <c r="H37" s="683"/>
      <c r="I37" s="742">
        <v>66335</v>
      </c>
      <c r="J37" s="683">
        <v>16</v>
      </c>
      <c r="K37" s="121"/>
      <c r="L37" s="1566"/>
    </row>
    <row r="38" spans="1:12" ht="18">
      <c r="A38" s="1059" t="s">
        <v>2350</v>
      </c>
      <c r="B38" s="75"/>
      <c r="C38" s="75"/>
      <c r="D38" s="75"/>
      <c r="E38" s="126"/>
      <c r="F38" s="126"/>
      <c r="G38" s="126"/>
      <c r="H38" s="121"/>
      <c r="I38" s="375">
        <f>MAXA(0,(I36-I37))</f>
        <v>0</v>
      </c>
      <c r="J38" s="683">
        <v>17</v>
      </c>
      <c r="K38" s="121"/>
      <c r="L38" s="1566"/>
    </row>
    <row r="39" spans="1:12" ht="18.75" thickBot="1">
      <c r="A39" s="1059" t="s">
        <v>2349</v>
      </c>
      <c r="B39" s="75"/>
      <c r="C39" s="75"/>
      <c r="D39" s="75"/>
      <c r="E39" s="126"/>
      <c r="F39" s="126"/>
      <c r="G39" s="126"/>
      <c r="H39" s="121"/>
      <c r="I39" s="744">
        <f>+I38*0.15</f>
        <v>0</v>
      </c>
      <c r="J39" s="683">
        <v>18</v>
      </c>
      <c r="K39" s="121"/>
      <c r="L39" s="1566"/>
    </row>
    <row r="40" spans="1:12" ht="15.75" thickTop="1">
      <c r="A40" s="82"/>
      <c r="B40" s="121"/>
      <c r="C40" s="121"/>
      <c r="D40" s="121"/>
      <c r="E40" s="121"/>
      <c r="F40" s="136"/>
      <c r="G40" s="124"/>
      <c r="H40" s="121"/>
      <c r="I40" s="121"/>
      <c r="J40" s="124"/>
      <c r="K40" s="121"/>
      <c r="L40" s="1566"/>
    </row>
    <row r="41" spans="1:12" ht="18">
      <c r="A41" s="1057" t="s">
        <v>2351</v>
      </c>
      <c r="B41" s="75"/>
      <c r="C41" s="75"/>
      <c r="D41" s="75"/>
      <c r="E41" s="125"/>
      <c r="F41" s="125"/>
      <c r="G41" s="125"/>
      <c r="H41" s="121"/>
      <c r="I41" s="375">
        <f>MINA(I24,I39)</f>
        <v>0</v>
      </c>
      <c r="J41" s="683">
        <v>19</v>
      </c>
      <c r="K41" s="121"/>
      <c r="L41" s="1566"/>
    </row>
    <row r="42" spans="1:12" ht="18.75" thickBot="1">
      <c r="A42" s="1059" t="s">
        <v>2362</v>
      </c>
      <c r="B42" s="75"/>
      <c r="C42" s="75"/>
      <c r="D42" s="75"/>
      <c r="E42" s="126"/>
      <c r="F42" s="126"/>
      <c r="G42" s="126"/>
      <c r="H42" s="121"/>
      <c r="I42" s="684">
        <f>+G27</f>
        <v>0</v>
      </c>
      <c r="J42" s="683">
        <v>20</v>
      </c>
      <c r="K42" s="121"/>
      <c r="L42" s="1566"/>
    </row>
    <row r="43" spans="1:12" ht="18">
      <c r="A43" s="1057" t="s">
        <v>2352</v>
      </c>
      <c r="B43" s="75"/>
      <c r="C43" s="75"/>
      <c r="D43" s="75"/>
      <c r="E43" s="126"/>
      <c r="F43" s="126"/>
      <c r="G43" s="126"/>
      <c r="H43" s="121"/>
      <c r="I43" s="375">
        <f>+I41+I42</f>
        <v>0</v>
      </c>
      <c r="J43" s="683">
        <v>21</v>
      </c>
      <c r="K43" s="121"/>
      <c r="L43" s="1566"/>
    </row>
    <row r="44" spans="1:12" ht="9.75" customHeight="1">
      <c r="A44" s="82"/>
      <c r="B44" s="82"/>
      <c r="C44" s="82"/>
      <c r="D44" s="82"/>
      <c r="E44" s="82"/>
      <c r="F44" s="82"/>
      <c r="G44" s="124"/>
      <c r="H44" s="121"/>
      <c r="I44" s="121"/>
      <c r="J44" s="121"/>
      <c r="K44" s="121"/>
      <c r="L44" s="1566"/>
    </row>
    <row r="45" spans="1:12" ht="4.5" customHeight="1">
      <c r="A45" s="1060"/>
      <c r="B45" s="1061"/>
      <c r="C45" s="1061"/>
      <c r="D45" s="1061"/>
      <c r="E45" s="1061"/>
      <c r="F45" s="1061"/>
      <c r="G45" s="1081"/>
      <c r="H45" s="1076"/>
      <c r="I45" s="1076"/>
      <c r="J45" s="1076"/>
      <c r="K45" s="121"/>
      <c r="L45" s="1566"/>
    </row>
    <row r="46" spans="1:12" ht="9.75" customHeight="1">
      <c r="A46" s="121"/>
      <c r="B46" s="78"/>
      <c r="C46" s="78"/>
      <c r="D46" s="78"/>
      <c r="E46" s="78"/>
      <c r="F46" s="78"/>
      <c r="G46" s="124"/>
      <c r="H46" s="798"/>
      <c r="I46" s="798"/>
      <c r="J46" s="798"/>
      <c r="K46" s="121"/>
      <c r="L46" s="1566"/>
    </row>
    <row r="47" spans="1:12" ht="20.25">
      <c r="A47" s="1055" t="s">
        <v>1555</v>
      </c>
      <c r="B47" s="78"/>
      <c r="C47" s="78"/>
      <c r="D47" s="78"/>
      <c r="E47" s="78"/>
      <c r="F47" s="139"/>
      <c r="G47" s="114"/>
      <c r="H47" s="114"/>
      <c r="I47" s="114"/>
      <c r="J47" s="114"/>
      <c r="K47" s="78"/>
      <c r="L47" s="1566"/>
    </row>
    <row r="48" spans="1:12" ht="18">
      <c r="A48" s="1057" t="s">
        <v>1556</v>
      </c>
      <c r="B48" s="75"/>
      <c r="C48" s="75"/>
      <c r="D48" s="75"/>
      <c r="E48" s="75"/>
      <c r="F48" s="1056"/>
      <c r="G48" s="1057"/>
      <c r="H48" s="114"/>
      <c r="I48" s="375">
        <f>6408*fract</f>
        <v>6408</v>
      </c>
      <c r="J48" s="683">
        <v>1</v>
      </c>
      <c r="K48" s="78"/>
      <c r="L48" s="1566"/>
    </row>
    <row r="49" spans="1:12" ht="18">
      <c r="A49" s="1059" t="s">
        <v>12</v>
      </c>
      <c r="B49" s="76"/>
      <c r="C49" s="76"/>
      <c r="D49" s="76"/>
      <c r="E49" s="76"/>
      <c r="F49" s="139"/>
      <c r="G49" s="375">
        <f>+'T1 GEN-2-3-4'!K90</f>
        <v>0</v>
      </c>
      <c r="H49" s="683">
        <v>2</v>
      </c>
      <c r="I49" s="114"/>
      <c r="J49" s="114"/>
      <c r="K49" s="78"/>
      <c r="L49" s="1566"/>
    </row>
    <row r="50" spans="1:12" ht="18.75" thickBot="1">
      <c r="A50" s="1057" t="s">
        <v>1523</v>
      </c>
      <c r="B50" s="76"/>
      <c r="C50" s="76"/>
      <c r="D50" s="76"/>
      <c r="E50" s="76"/>
      <c r="F50" s="139"/>
      <c r="G50" s="742">
        <f>32312*fract</f>
        <v>32312</v>
      </c>
      <c r="H50" s="683">
        <v>3</v>
      </c>
      <c r="I50" s="114"/>
      <c r="J50" s="114"/>
      <c r="K50" s="78"/>
      <c r="L50" s="1566"/>
    </row>
    <row r="51" spans="1:12" ht="18">
      <c r="A51" s="1057" t="s">
        <v>377</v>
      </c>
      <c r="B51" s="76"/>
      <c r="C51" s="76"/>
      <c r="D51" s="76"/>
      <c r="E51" s="76"/>
      <c r="F51" s="139"/>
      <c r="G51" s="375">
        <f>+MAXA(0,(G49-G50))</f>
        <v>0</v>
      </c>
      <c r="H51" s="683">
        <v>4</v>
      </c>
      <c r="I51" s="114"/>
      <c r="J51" s="114"/>
      <c r="K51" s="78"/>
      <c r="L51" s="1566"/>
    </row>
    <row r="52" spans="1:12" ht="18.75" thickBot="1">
      <c r="A52" s="1057" t="s">
        <v>1543</v>
      </c>
      <c r="B52" s="76"/>
      <c r="C52" s="76"/>
      <c r="D52" s="76"/>
      <c r="E52" s="76"/>
      <c r="F52" s="139"/>
      <c r="G52" s="114"/>
      <c r="H52" s="114"/>
      <c r="I52" s="742">
        <f>+G51*0.15</f>
        <v>0</v>
      </c>
      <c r="J52" s="683">
        <v>5</v>
      </c>
      <c r="K52" s="78"/>
      <c r="L52" s="1566"/>
    </row>
    <row r="53" spans="1:12" ht="18">
      <c r="A53" s="1057" t="s">
        <v>537</v>
      </c>
      <c r="B53" s="76"/>
      <c r="C53" s="76"/>
      <c r="D53" s="76"/>
      <c r="E53" s="76"/>
      <c r="F53" s="1058"/>
      <c r="G53" s="1059"/>
      <c r="H53" s="114"/>
      <c r="I53" s="375">
        <f>+MAXA(0,(I48-I52))</f>
        <v>6408</v>
      </c>
      <c r="J53" s="683">
        <v>6</v>
      </c>
      <c r="K53" s="78"/>
      <c r="L53" s="1566"/>
    </row>
    <row r="54" spans="1:12" ht="4.5" customHeight="1">
      <c r="A54" s="121"/>
      <c r="B54" s="78"/>
      <c r="C54" s="78"/>
      <c r="D54" s="78"/>
      <c r="E54" s="78"/>
      <c r="F54" s="139"/>
      <c r="G54" s="114"/>
      <c r="H54" s="114"/>
      <c r="I54" s="114"/>
      <c r="J54" s="114"/>
      <c r="K54" s="78"/>
      <c r="L54" s="1566"/>
    </row>
    <row r="55" spans="1:12" ht="4.5" customHeight="1">
      <c r="A55" s="1060"/>
      <c r="B55" s="1061"/>
      <c r="C55" s="1061"/>
      <c r="D55" s="1061"/>
      <c r="E55" s="1061"/>
      <c r="F55" s="1062"/>
      <c r="G55" s="1063"/>
      <c r="H55" s="1063"/>
      <c r="I55" s="1063"/>
      <c r="J55" s="1063"/>
      <c r="K55" s="78"/>
      <c r="L55" s="1566"/>
    </row>
    <row r="56" spans="1:12" ht="18">
      <c r="A56" s="121"/>
      <c r="B56" s="78"/>
      <c r="C56" s="78"/>
      <c r="D56" s="78"/>
      <c r="E56" s="78"/>
      <c r="F56" s="139"/>
      <c r="G56" s="114"/>
      <c r="H56" s="114"/>
      <c r="I56" s="114"/>
      <c r="J56" s="114"/>
      <c r="K56" s="78"/>
      <c r="L56" s="1566"/>
    </row>
    <row r="57" spans="1:12" ht="20.25">
      <c r="A57" s="1055" t="s">
        <v>1397</v>
      </c>
      <c r="B57" s="1061"/>
      <c r="C57" s="1061"/>
      <c r="D57" s="1061"/>
      <c r="E57" s="1061"/>
      <c r="F57" s="139"/>
      <c r="G57" s="114"/>
      <c r="H57" s="114"/>
      <c r="I57" s="114"/>
      <c r="J57" s="114"/>
      <c r="K57" s="78"/>
      <c r="L57" s="1566"/>
    </row>
    <row r="58" spans="1:12" ht="18">
      <c r="A58" s="133" t="str">
        <f>"If your dependant's net income for "&amp;yeartext&amp;" was $10,154 or more, you cannot make a claim."</f>
        <v>If your dependant's net income for 2009 was $10,154 or more, you cannot make a claim.</v>
      </c>
      <c r="B58" s="78"/>
      <c r="C58" s="78"/>
      <c r="D58" s="78"/>
      <c r="E58" s="78"/>
      <c r="F58" s="139"/>
      <c r="G58" s="114"/>
      <c r="H58" s="114"/>
      <c r="I58" s="114"/>
      <c r="J58" s="114"/>
      <c r="K58" s="78"/>
      <c r="L58" s="1566"/>
    </row>
    <row r="59" spans="1:12" ht="18">
      <c r="A59" s="1057" t="s">
        <v>1523</v>
      </c>
      <c r="B59" s="75"/>
      <c r="C59" s="75"/>
      <c r="D59" s="75"/>
      <c r="E59" s="75"/>
      <c r="F59" s="1056"/>
      <c r="G59" s="1057"/>
      <c r="H59" s="114"/>
      <c r="I59" s="1004">
        <f>10154*fract</f>
        <v>10154</v>
      </c>
      <c r="J59" s="683">
        <v>1</v>
      </c>
      <c r="K59" s="78"/>
      <c r="L59" s="1566"/>
    </row>
    <row r="60" spans="1:12" ht="18.75" thickBot="1">
      <c r="A60" s="1059" t="s">
        <v>108</v>
      </c>
      <c r="B60" s="76"/>
      <c r="C60" s="76"/>
      <c r="D60" s="76"/>
      <c r="E60" s="76"/>
      <c r="F60" s="1058"/>
      <c r="G60" s="1059"/>
      <c r="H60" s="114"/>
      <c r="I60" s="1005"/>
      <c r="J60" s="683">
        <v>2</v>
      </c>
      <c r="K60" s="78"/>
      <c r="L60" s="1566"/>
    </row>
    <row r="61" spans="1:12" ht="18">
      <c r="A61" s="1059" t="s">
        <v>2511</v>
      </c>
      <c r="B61" s="76"/>
      <c r="C61" s="76"/>
      <c r="D61" s="76"/>
      <c r="E61" s="76"/>
      <c r="F61" s="1058"/>
      <c r="G61" s="1059"/>
      <c r="H61" s="114"/>
      <c r="I61" s="1004">
        <f>MAX(0,MINA(4198*fract,I59-I60))</f>
        <v>4198</v>
      </c>
      <c r="J61" s="683">
        <v>3</v>
      </c>
      <c r="K61" s="78"/>
      <c r="L61" s="1566"/>
    </row>
    <row r="62" spans="1:12" ht="18.75" thickBot="1">
      <c r="A62" s="1057" t="s">
        <v>528</v>
      </c>
      <c r="B62" s="76"/>
      <c r="C62" s="76"/>
      <c r="D62" s="76"/>
      <c r="E62" s="76"/>
      <c r="F62" s="1058"/>
      <c r="G62" s="1059"/>
      <c r="H62" s="114"/>
      <c r="I62" s="1006"/>
      <c r="J62" s="683">
        <v>4</v>
      </c>
      <c r="K62" s="78"/>
      <c r="L62" s="1566"/>
    </row>
    <row r="63" spans="1:12" ht="18">
      <c r="A63" s="1057" t="s">
        <v>529</v>
      </c>
      <c r="B63" s="76"/>
      <c r="C63" s="76"/>
      <c r="D63" s="76"/>
      <c r="E63" s="76"/>
      <c r="F63" s="1058"/>
      <c r="G63" s="1059"/>
      <c r="H63" s="114"/>
      <c r="I63" s="1003">
        <f>MAXA(0,(I61-I62))</f>
        <v>4198</v>
      </c>
      <c r="J63" s="683">
        <v>5</v>
      </c>
      <c r="K63" s="78"/>
      <c r="L63" s="1566"/>
    </row>
    <row r="64" spans="1:12" ht="18">
      <c r="A64" s="798" t="s">
        <v>2069</v>
      </c>
      <c r="B64" s="78"/>
      <c r="C64" s="78"/>
      <c r="D64" s="78"/>
      <c r="E64" s="78"/>
      <c r="F64" s="139"/>
      <c r="G64" s="114"/>
      <c r="H64" s="114"/>
      <c r="I64" s="114"/>
      <c r="J64" s="114"/>
      <c r="K64" s="78"/>
      <c r="L64" s="1566"/>
    </row>
    <row r="65" spans="1:12" ht="18">
      <c r="A65" s="133" t="s">
        <v>1398</v>
      </c>
      <c r="B65" s="78"/>
      <c r="C65" s="78"/>
      <c r="D65" s="78"/>
      <c r="E65" s="78"/>
      <c r="F65" s="139"/>
      <c r="G65" s="121"/>
      <c r="H65" s="460" t="s">
        <v>1217</v>
      </c>
      <c r="I65" s="458">
        <f>I63</f>
        <v>4198</v>
      </c>
      <c r="J65" s="114"/>
      <c r="K65" s="78"/>
      <c r="L65" s="1566"/>
    </row>
    <row r="66" spans="1:12" ht="18">
      <c r="A66" s="133" t="s">
        <v>146</v>
      </c>
      <c r="B66" s="78"/>
      <c r="C66" s="78"/>
      <c r="D66" s="78"/>
      <c r="E66" s="78"/>
      <c r="F66" s="139"/>
      <c r="G66" s="114"/>
      <c r="H66" s="114"/>
      <c r="I66" s="114"/>
      <c r="J66" s="114"/>
      <c r="K66" s="78"/>
      <c r="L66" s="1566"/>
    </row>
    <row r="67" spans="1:12" ht="18">
      <c r="A67" s="461" t="s">
        <v>1807</v>
      </c>
      <c r="B67" s="1064"/>
      <c r="C67" s="1064"/>
      <c r="D67" s="1064"/>
      <c r="E67" s="1064"/>
      <c r="F67" s="139"/>
      <c r="G67" s="114"/>
      <c r="H67" s="114"/>
      <c r="I67" s="114"/>
      <c r="J67" s="114"/>
      <c r="K67" s="78"/>
      <c r="L67" s="1566"/>
    </row>
    <row r="68" spans="1:12" ht="18">
      <c r="A68" s="461" t="s">
        <v>1554</v>
      </c>
      <c r="B68" s="1064"/>
      <c r="C68" s="1064"/>
      <c r="D68" s="1064"/>
      <c r="E68" s="1064"/>
      <c r="F68" s="139"/>
      <c r="G68" s="114"/>
      <c r="H68" s="114"/>
      <c r="I68" s="114"/>
      <c r="J68" s="114"/>
      <c r="K68" s="78"/>
      <c r="L68" s="1566"/>
    </row>
    <row r="69" spans="1:12" ht="4.5" customHeight="1">
      <c r="A69" s="121"/>
      <c r="B69" s="78"/>
      <c r="C69" s="78"/>
      <c r="D69" s="78"/>
      <c r="E69" s="78"/>
      <c r="F69" s="139"/>
      <c r="G69" s="114"/>
      <c r="H69" s="114"/>
      <c r="I69" s="114"/>
      <c r="J69" s="114"/>
      <c r="K69" s="78"/>
      <c r="L69" s="1566"/>
    </row>
    <row r="70" spans="1:12" ht="4.5" customHeight="1">
      <c r="A70" s="1060"/>
      <c r="B70" s="1061"/>
      <c r="C70" s="1061"/>
      <c r="D70" s="1061"/>
      <c r="E70" s="1061"/>
      <c r="F70" s="1062"/>
      <c r="G70" s="1063"/>
      <c r="H70" s="1063"/>
      <c r="I70" s="1063"/>
      <c r="J70" s="1063"/>
      <c r="K70" s="78"/>
      <c r="L70" s="1566"/>
    </row>
    <row r="71" spans="1:12" ht="9.75" customHeight="1">
      <c r="A71" s="121"/>
      <c r="B71" s="78"/>
      <c r="C71" s="78"/>
      <c r="D71" s="78"/>
      <c r="E71" s="78"/>
      <c r="F71" s="139"/>
      <c r="G71" s="114"/>
      <c r="H71" s="114"/>
      <c r="I71" s="114"/>
      <c r="J71" s="114"/>
      <c r="K71" s="78"/>
      <c r="L71" s="1566"/>
    </row>
    <row r="72" spans="1:12" ht="20.25">
      <c r="A72" s="1055" t="s">
        <v>584</v>
      </c>
      <c r="B72" s="1060"/>
      <c r="C72" s="121"/>
      <c r="D72" s="121"/>
      <c r="E72" s="121"/>
      <c r="F72" s="136"/>
      <c r="G72" s="124"/>
      <c r="H72" s="121"/>
      <c r="I72" s="121"/>
      <c r="J72" s="121"/>
      <c r="K72" s="78"/>
      <c r="L72" s="1566"/>
    </row>
    <row r="73" spans="1:12" ht="18">
      <c r="A73" s="1057" t="s">
        <v>585</v>
      </c>
      <c r="B73" s="75"/>
      <c r="C73" s="75"/>
      <c r="D73" s="75"/>
      <c r="E73" s="75"/>
      <c r="F73" s="1056"/>
      <c r="G73" s="125"/>
      <c r="H73" s="121"/>
      <c r="I73" s="375">
        <f>+'T1 GEN-2-3-4'!I19</f>
        <v>0</v>
      </c>
      <c r="J73" s="136">
        <v>1</v>
      </c>
      <c r="K73" s="78"/>
      <c r="L73" s="1566"/>
    </row>
    <row r="74" spans="1:12" ht="18">
      <c r="A74" s="1057" t="s">
        <v>979</v>
      </c>
      <c r="B74" s="75"/>
      <c r="C74" s="75"/>
      <c r="D74" s="75"/>
      <c r="E74" s="75"/>
      <c r="F74" s="136"/>
      <c r="G74" s="131"/>
      <c r="H74" s="136">
        <v>2</v>
      </c>
      <c r="I74" s="121"/>
      <c r="J74" s="121"/>
      <c r="K74" s="78"/>
      <c r="L74" s="1566"/>
    </row>
    <row r="75" spans="1:12" ht="18">
      <c r="A75" s="1057" t="s">
        <v>980</v>
      </c>
      <c r="B75" s="76"/>
      <c r="C75" s="76"/>
      <c r="D75" s="76"/>
      <c r="E75" s="76"/>
      <c r="F75" s="136"/>
      <c r="G75" s="132"/>
      <c r="H75" s="136">
        <v>3</v>
      </c>
      <c r="I75" s="121"/>
      <c r="J75" s="121"/>
      <c r="K75" s="78"/>
      <c r="L75" s="1566"/>
    </row>
    <row r="76" spans="1:12" ht="18">
      <c r="A76" s="134" t="s">
        <v>981</v>
      </c>
      <c r="B76" s="82"/>
      <c r="C76" s="82"/>
      <c r="D76" s="121"/>
      <c r="E76" s="121"/>
      <c r="F76" s="136"/>
      <c r="G76" s="124"/>
      <c r="H76" s="136"/>
      <c r="I76" s="121"/>
      <c r="J76" s="121"/>
      <c r="K76" s="78"/>
      <c r="L76" s="1566"/>
    </row>
    <row r="77" spans="1:12" ht="18.75" thickBot="1">
      <c r="A77" s="1057" t="s">
        <v>982</v>
      </c>
      <c r="B77" s="75"/>
      <c r="C77" s="75"/>
      <c r="D77" s="75"/>
      <c r="E77" s="75"/>
      <c r="F77" s="136"/>
      <c r="G77" s="685"/>
      <c r="H77" s="136">
        <v>4</v>
      </c>
      <c r="I77" s="121"/>
      <c r="J77" s="121"/>
      <c r="K77" s="78"/>
      <c r="L77" s="1566"/>
    </row>
    <row r="78" spans="1:12" ht="18.75" thickBot="1">
      <c r="A78" s="1057" t="s">
        <v>1858</v>
      </c>
      <c r="B78" s="76"/>
      <c r="C78" s="76"/>
      <c r="D78" s="76"/>
      <c r="E78" s="76"/>
      <c r="F78" s="136"/>
      <c r="G78" s="375">
        <f>+G74+G75+G77</f>
        <v>0</v>
      </c>
      <c r="H78" s="1085" t="s">
        <v>1886</v>
      </c>
      <c r="I78" s="742">
        <f>G78</f>
        <v>0</v>
      </c>
      <c r="J78" s="136">
        <v>5</v>
      </c>
      <c r="K78" s="78"/>
      <c r="L78" s="1566"/>
    </row>
    <row r="79" spans="1:12" ht="18">
      <c r="A79" s="1057" t="s">
        <v>1859</v>
      </c>
      <c r="B79" s="75"/>
      <c r="C79" s="75"/>
      <c r="D79" s="75"/>
      <c r="E79" s="75"/>
      <c r="F79" s="1056"/>
      <c r="G79" s="125"/>
      <c r="H79" s="798"/>
      <c r="I79" s="375">
        <f>+I73-I78</f>
        <v>0</v>
      </c>
      <c r="J79" s="136">
        <v>6</v>
      </c>
      <c r="K79" s="78"/>
      <c r="L79" s="1566"/>
    </row>
    <row r="80" spans="1:12" ht="16.5">
      <c r="A80" s="804" t="s">
        <v>1008</v>
      </c>
      <c r="B80" s="121"/>
      <c r="C80" s="121"/>
      <c r="D80" s="121"/>
      <c r="E80" s="121"/>
      <c r="F80" s="136"/>
      <c r="G80" s="124"/>
      <c r="H80" s="121"/>
      <c r="I80" s="121"/>
      <c r="J80" s="136"/>
      <c r="K80" s="78"/>
      <c r="L80" s="1566"/>
    </row>
    <row r="81" spans="1:12" ht="18.75" thickBot="1">
      <c r="A81" s="804" t="str">
        <f>"Dec. 31, "&amp;yeartext&amp;", or you received the payments because of the death of your spouse or common-law partner."</f>
        <v>Dec. 31, 2009, or you received the payments because of the death of your spouse or common-law partner.</v>
      </c>
      <c r="B81" s="121"/>
      <c r="C81" s="121"/>
      <c r="D81" s="121"/>
      <c r="E81" s="121"/>
      <c r="F81" s="136"/>
      <c r="G81" s="124"/>
      <c r="H81" s="121"/>
      <c r="I81" s="687">
        <f>MISC!L54</f>
        <v>0</v>
      </c>
      <c r="J81" s="136">
        <v>7</v>
      </c>
      <c r="K81" s="78"/>
      <c r="L81" s="1566"/>
    </row>
    <row r="82" spans="1:12" ht="18">
      <c r="A82" s="1059" t="s">
        <v>1233</v>
      </c>
      <c r="B82" s="76"/>
      <c r="C82" s="76"/>
      <c r="D82" s="76"/>
      <c r="E82" s="76"/>
      <c r="F82" s="1058"/>
      <c r="G82" s="126"/>
      <c r="H82" s="121"/>
      <c r="I82" s="375">
        <f>+I79+I81</f>
        <v>0</v>
      </c>
      <c r="J82" s="683" t="s">
        <v>1193</v>
      </c>
      <c r="K82" s="78"/>
      <c r="L82" s="1566"/>
    </row>
    <row r="83" spans="1:12" ht="18">
      <c r="A83" s="133"/>
      <c r="B83" s="121"/>
      <c r="C83" s="121"/>
      <c r="D83" s="121"/>
      <c r="E83" s="121"/>
      <c r="F83" s="136"/>
      <c r="G83" s="124"/>
      <c r="H83" s="121"/>
      <c r="I83" s="121"/>
      <c r="J83" s="121"/>
      <c r="K83" s="78"/>
      <c r="L83" s="1566"/>
    </row>
    <row r="84" spans="1:12" ht="15.75">
      <c r="A84" s="1465" t="s">
        <v>2354</v>
      </c>
      <c r="B84" s="1087"/>
      <c r="C84" s="1087"/>
      <c r="D84" s="1087"/>
      <c r="E84" s="1087"/>
      <c r="F84" s="1087"/>
      <c r="G84" s="1087"/>
      <c r="H84" s="1087"/>
      <c r="I84" s="1087"/>
      <c r="J84" s="1087"/>
      <c r="K84" s="78"/>
      <c r="L84" s="1566"/>
    </row>
    <row r="85" spans="1:12" ht="15.75">
      <c r="A85" s="1465" t="s">
        <v>2355</v>
      </c>
      <c r="B85" s="1087"/>
      <c r="C85" s="1087"/>
      <c r="D85" s="1087"/>
      <c r="E85" s="1087"/>
      <c r="F85" s="1087"/>
      <c r="G85" s="1087"/>
      <c r="H85" s="1087"/>
      <c r="I85" s="1087"/>
      <c r="J85" s="1087"/>
      <c r="K85" s="78"/>
      <c r="L85" s="1566"/>
    </row>
    <row r="86" spans="1:12" ht="15">
      <c r="A86" s="1465" t="s">
        <v>2356</v>
      </c>
      <c r="B86" s="1087"/>
      <c r="C86" s="1087"/>
      <c r="D86" s="1087"/>
      <c r="E86" s="1087"/>
      <c r="F86" s="1087"/>
      <c r="G86" s="1087"/>
      <c r="H86" s="1087"/>
      <c r="I86" s="1087"/>
      <c r="J86" s="1087"/>
      <c r="K86" s="78"/>
      <c r="L86" s="1566"/>
    </row>
    <row r="87" spans="1:12" ht="15">
      <c r="A87" s="1465" t="s">
        <v>2353</v>
      </c>
      <c r="B87" s="121"/>
      <c r="C87" s="121"/>
      <c r="D87" s="121"/>
      <c r="E87" s="121"/>
      <c r="F87" s="136"/>
      <c r="G87" s="124"/>
      <c r="H87" s="121"/>
      <c r="I87" s="121"/>
      <c r="J87" s="121"/>
      <c r="K87" s="78"/>
      <c r="L87" s="1566"/>
    </row>
    <row r="88" spans="1:12" ht="18">
      <c r="A88" s="133"/>
      <c r="B88" s="121"/>
      <c r="C88" s="121"/>
      <c r="D88" s="121"/>
      <c r="E88" s="121"/>
      <c r="F88" s="136"/>
      <c r="G88" s="124"/>
      <c r="H88" s="121"/>
      <c r="I88" s="121"/>
      <c r="J88" s="121"/>
      <c r="K88" s="78"/>
      <c r="L88" s="1566"/>
    </row>
    <row r="89" spans="1:12" ht="20.25">
      <c r="A89" s="1055" t="s">
        <v>1658</v>
      </c>
      <c r="B89" s="121"/>
      <c r="C89" s="121"/>
      <c r="D89" s="121"/>
      <c r="E89" s="121"/>
      <c r="F89" s="136"/>
      <c r="G89" s="124"/>
      <c r="H89" s="121"/>
      <c r="I89" s="121"/>
      <c r="J89" s="121"/>
      <c r="K89" s="78"/>
      <c r="L89" s="1566"/>
    </row>
    <row r="90" spans="1:12" ht="18">
      <c r="A90" s="133" t="str">
        <f>"If your dependant's net income for "&amp;yeartext&amp;" was $18,534 or more, you cannot make a claim."</f>
        <v>If your dependant's net income for 2009 was $18,534 or more, you cannot make a claim.</v>
      </c>
      <c r="B90" s="121"/>
      <c r="C90" s="121"/>
      <c r="D90" s="121"/>
      <c r="E90" s="121"/>
      <c r="F90" s="136"/>
      <c r="G90" s="124"/>
      <c r="H90" s="121"/>
      <c r="I90" s="121"/>
      <c r="J90" s="121"/>
      <c r="K90" s="78"/>
      <c r="L90" s="1566"/>
    </row>
    <row r="91" spans="1:12" ht="18">
      <c r="A91" s="1057" t="s">
        <v>1523</v>
      </c>
      <c r="B91" s="75"/>
      <c r="C91" s="75"/>
      <c r="D91" s="75"/>
      <c r="E91" s="75"/>
      <c r="F91" s="1056"/>
      <c r="G91" s="125"/>
      <c r="H91" s="121"/>
      <c r="I91" s="375">
        <f>18534*fract</f>
        <v>18534</v>
      </c>
      <c r="J91" s="136">
        <v>1</v>
      </c>
      <c r="K91" s="78"/>
      <c r="L91" s="1566"/>
    </row>
    <row r="92" spans="1:12" ht="18.75" thickBot="1">
      <c r="A92" s="1059" t="s">
        <v>108</v>
      </c>
      <c r="B92" s="75"/>
      <c r="C92" s="75"/>
      <c r="D92" s="75"/>
      <c r="E92" s="75"/>
      <c r="F92" s="1056"/>
      <c r="G92" s="125"/>
      <c r="H92" s="121"/>
      <c r="I92" s="686"/>
      <c r="J92" s="136">
        <v>2</v>
      </c>
      <c r="K92" s="78"/>
      <c r="L92" s="1566"/>
    </row>
    <row r="93" spans="1:12" ht="18">
      <c r="A93" s="1057" t="s">
        <v>2512</v>
      </c>
      <c r="B93" s="75"/>
      <c r="C93" s="75"/>
      <c r="D93" s="75"/>
      <c r="E93" s="76"/>
      <c r="F93" s="1058"/>
      <c r="G93" s="126"/>
      <c r="H93" s="121"/>
      <c r="I93" s="375">
        <f>MINA(4198*fract,(I91-I92))</f>
        <v>4198</v>
      </c>
      <c r="J93" s="136">
        <v>3</v>
      </c>
      <c r="K93" s="78"/>
      <c r="L93" s="1566"/>
    </row>
    <row r="94" spans="1:12" ht="18.75" thickBot="1">
      <c r="A94" s="1057" t="s">
        <v>2513</v>
      </c>
      <c r="B94" s="75"/>
      <c r="C94" s="75"/>
      <c r="D94" s="75"/>
      <c r="E94" s="76"/>
      <c r="F94" s="1058"/>
      <c r="G94" s="126"/>
      <c r="H94" s="121"/>
      <c r="I94" s="685"/>
      <c r="J94" s="136">
        <v>4</v>
      </c>
      <c r="K94" s="78"/>
      <c r="L94" s="1566"/>
    </row>
    <row r="95" spans="1:12" ht="18">
      <c r="A95" s="1057" t="s">
        <v>529</v>
      </c>
      <c r="B95" s="75"/>
      <c r="C95" s="75"/>
      <c r="D95" s="75"/>
      <c r="E95" s="76"/>
      <c r="F95" s="1058"/>
      <c r="G95" s="126"/>
      <c r="H95" s="121"/>
      <c r="I95" s="375">
        <f>MAXA(0,(+I93-I94))</f>
        <v>4198</v>
      </c>
      <c r="J95" s="136">
        <v>5</v>
      </c>
      <c r="K95" s="78"/>
      <c r="L95" s="1566"/>
    </row>
    <row r="96" spans="1:12" ht="27" customHeight="1">
      <c r="A96" s="798" t="s">
        <v>2069</v>
      </c>
      <c r="B96" s="121"/>
      <c r="C96" s="121"/>
      <c r="D96" s="121"/>
      <c r="E96" s="121"/>
      <c r="F96" s="136"/>
      <c r="G96" s="124"/>
      <c r="H96" s="121"/>
      <c r="I96" s="121"/>
      <c r="J96" s="136"/>
      <c r="K96" s="78"/>
      <c r="L96" s="1566"/>
    </row>
    <row r="97" spans="1:12" ht="18">
      <c r="A97" s="133" t="s">
        <v>983</v>
      </c>
      <c r="B97" s="121"/>
      <c r="C97" s="121"/>
      <c r="D97" s="121"/>
      <c r="E97" s="121"/>
      <c r="F97" s="136"/>
      <c r="G97" s="124"/>
      <c r="H97" s="121"/>
      <c r="I97" s="131">
        <f>I95</f>
        <v>4198</v>
      </c>
      <c r="J97" s="136"/>
      <c r="K97" s="78"/>
      <c r="L97" s="1566"/>
    </row>
    <row r="98" spans="1:12" ht="18">
      <c r="A98" s="133" t="s">
        <v>587</v>
      </c>
      <c r="B98" s="121"/>
      <c r="C98" s="121"/>
      <c r="D98" s="121"/>
      <c r="E98" s="121"/>
      <c r="F98" s="136"/>
      <c r="G98" s="124"/>
      <c r="H98" s="121"/>
      <c r="I98" s="121"/>
      <c r="J98" s="121"/>
      <c r="K98" s="78"/>
      <c r="L98" s="1566"/>
    </row>
    <row r="99" spans="1:12" ht="18">
      <c r="A99" s="461" t="s">
        <v>1707</v>
      </c>
      <c r="B99" s="6"/>
      <c r="C99" s="6"/>
      <c r="D99" s="6"/>
      <c r="E99" s="7"/>
      <c r="F99" s="136"/>
      <c r="G99" s="124"/>
      <c r="H99" s="121"/>
      <c r="I99" s="121"/>
      <c r="J99" s="121"/>
      <c r="K99" s="78"/>
      <c r="L99" s="1566"/>
    </row>
    <row r="100" spans="1:12" ht="18">
      <c r="A100" s="461" t="s">
        <v>2091</v>
      </c>
      <c r="B100" s="8"/>
      <c r="C100" s="8"/>
      <c r="D100" s="461"/>
      <c r="E100" s="461"/>
      <c r="F100" s="136"/>
      <c r="G100" s="124"/>
      <c r="H100" s="121"/>
      <c r="I100" s="121"/>
      <c r="J100" s="121"/>
      <c r="K100" s="78"/>
      <c r="L100" s="1566"/>
    </row>
    <row r="101" spans="1:12" ht="9.75" customHeight="1">
      <c r="A101" s="133"/>
      <c r="B101" s="121"/>
      <c r="C101" s="121"/>
      <c r="D101" s="121"/>
      <c r="E101" s="121"/>
      <c r="F101" s="136"/>
      <c r="G101" s="124"/>
      <c r="H101" s="124"/>
      <c r="I101" s="124"/>
      <c r="J101" s="124"/>
      <c r="K101" s="78"/>
      <c r="L101" s="1566"/>
    </row>
    <row r="102" spans="1:12" ht="4.5" customHeight="1">
      <c r="A102" s="1070"/>
      <c r="B102" s="1060"/>
      <c r="C102" s="1060"/>
      <c r="D102" s="1060"/>
      <c r="E102" s="1060"/>
      <c r="F102" s="1080"/>
      <c r="G102" s="1081"/>
      <c r="H102" s="1081"/>
      <c r="I102" s="1081"/>
      <c r="J102" s="1081"/>
      <c r="K102" s="1061"/>
      <c r="L102" s="1566"/>
    </row>
    <row r="103" spans="1:12" ht="9.75" customHeight="1">
      <c r="A103" s="133"/>
      <c r="B103" s="121"/>
      <c r="C103" s="121"/>
      <c r="D103" s="121"/>
      <c r="E103" s="121"/>
      <c r="F103" s="121"/>
      <c r="G103" s="124"/>
      <c r="H103" s="124"/>
      <c r="I103" s="124"/>
      <c r="J103" s="124"/>
      <c r="K103" s="78"/>
      <c r="L103" s="1566"/>
    </row>
    <row r="104" spans="1:12" ht="18">
      <c r="A104" s="1076" t="str">
        <f>"Line 316 - Disability amount (for self) (calculation if you were under age 18 on December 31, "&amp;yeartext&amp;")"</f>
        <v>Line 316 - Disability amount (for self) (calculation if you were under age 18 on December 31, 2009)</v>
      </c>
      <c r="B104" s="1060"/>
      <c r="C104" s="1060"/>
      <c r="D104" s="1060"/>
      <c r="E104" s="1060"/>
      <c r="F104" s="1060"/>
      <c r="G104" s="1081"/>
      <c r="H104" s="1081"/>
      <c r="I104" s="1081"/>
      <c r="J104" s="1081"/>
      <c r="K104" s="78"/>
      <c r="L104" s="1566"/>
    </row>
    <row r="105" spans="1:12" ht="18">
      <c r="A105" s="1057" t="s">
        <v>1684</v>
      </c>
      <c r="B105" s="586"/>
      <c r="C105" s="586"/>
      <c r="D105" s="586"/>
      <c r="E105" s="586"/>
      <c r="F105" s="586"/>
      <c r="G105" s="125"/>
      <c r="H105" s="121"/>
      <c r="I105" s="375">
        <v>4198</v>
      </c>
      <c r="J105" s="745" t="s">
        <v>1281</v>
      </c>
      <c r="K105" s="78"/>
      <c r="L105" s="1566"/>
    </row>
    <row r="106" spans="1:12" ht="18">
      <c r="A106" s="823" t="s">
        <v>588</v>
      </c>
      <c r="B106" s="585"/>
      <c r="C106" s="112"/>
      <c r="D106" s="112"/>
      <c r="E106" s="112"/>
      <c r="F106" s="112"/>
      <c r="G106" s="131"/>
      <c r="H106" s="745" t="s">
        <v>1314</v>
      </c>
      <c r="I106" s="585"/>
      <c r="J106" s="585"/>
      <c r="K106" s="78"/>
      <c r="L106" s="1566"/>
    </row>
    <row r="107" spans="1:12" ht="18.75" thickBot="1">
      <c r="A107" s="1057" t="s">
        <v>1580</v>
      </c>
      <c r="B107" s="589"/>
      <c r="C107" s="126"/>
      <c r="D107" s="126"/>
      <c r="E107" s="126"/>
      <c r="F107" s="112"/>
      <c r="G107" s="684">
        <v>2459</v>
      </c>
      <c r="H107" s="745" t="s">
        <v>1315</v>
      </c>
      <c r="I107" s="585"/>
      <c r="J107" s="585"/>
      <c r="K107" s="78"/>
      <c r="L107" s="1566"/>
    </row>
    <row r="108" spans="1:12" ht="18.75" thickBot="1">
      <c r="A108" s="1057" t="s">
        <v>377</v>
      </c>
      <c r="B108" s="589"/>
      <c r="C108" s="126"/>
      <c r="D108" s="126"/>
      <c r="E108" s="126"/>
      <c r="F108" s="112"/>
      <c r="G108" s="375">
        <f>MAXA(0,(G106-G107))</f>
        <v>0</v>
      </c>
      <c r="H108" s="1085" t="s">
        <v>1886</v>
      </c>
      <c r="I108" s="742">
        <f>G108</f>
        <v>0</v>
      </c>
      <c r="J108" s="745" t="s">
        <v>1316</v>
      </c>
      <c r="K108" s="78"/>
      <c r="L108" s="1566"/>
    </row>
    <row r="109" spans="1:12" ht="18">
      <c r="A109" s="1057" t="s">
        <v>1964</v>
      </c>
      <c r="B109" s="589"/>
      <c r="C109" s="126"/>
      <c r="D109" s="126"/>
      <c r="E109" s="126"/>
      <c r="F109" s="112"/>
      <c r="G109" s="586"/>
      <c r="H109" s="586"/>
      <c r="I109" s="375">
        <f>MAXA(0,(I105-I108))</f>
        <v>4198</v>
      </c>
      <c r="J109" s="745" t="s">
        <v>1317</v>
      </c>
      <c r="K109" s="78"/>
      <c r="L109" s="1566"/>
    </row>
    <row r="110" spans="1:12" ht="24" customHeight="1">
      <c r="A110" s="133" t="s">
        <v>2514</v>
      </c>
      <c r="B110" s="585"/>
      <c r="C110" s="112"/>
      <c r="D110" s="112"/>
      <c r="E110" s="112"/>
      <c r="F110" s="112"/>
      <c r="G110" s="585"/>
      <c r="H110" s="585"/>
      <c r="I110" s="585"/>
      <c r="J110" s="585"/>
      <c r="K110" s="78"/>
      <c r="L110" s="1566"/>
    </row>
    <row r="111" spans="1:12" ht="18">
      <c r="A111" s="133" t="s">
        <v>85</v>
      </c>
      <c r="B111" s="585"/>
      <c r="C111" s="112"/>
      <c r="D111" s="112"/>
      <c r="E111" s="112"/>
      <c r="F111" s="112"/>
      <c r="G111" s="585"/>
      <c r="H111" s="585"/>
      <c r="I111" s="375">
        <f>7196+IF(age&gt;=18,0,I109)</f>
        <v>7196</v>
      </c>
      <c r="J111" s="745"/>
      <c r="K111" s="78"/>
      <c r="L111" s="1566"/>
    </row>
    <row r="112" spans="1:12" ht="18">
      <c r="A112" s="461" t="s">
        <v>1706</v>
      </c>
      <c r="B112" s="746"/>
      <c r="C112" s="746"/>
      <c r="D112" s="746"/>
      <c r="E112" s="746"/>
      <c r="F112" s="585"/>
      <c r="G112" s="585"/>
      <c r="H112" s="585"/>
      <c r="I112" s="585"/>
      <c r="J112" s="585"/>
      <c r="K112" s="78"/>
      <c r="L112" s="1566"/>
    </row>
    <row r="113" spans="1:12" ht="18">
      <c r="A113" s="461" t="s">
        <v>1705</v>
      </c>
      <c r="B113" s="746"/>
      <c r="C113" s="746"/>
      <c r="D113" s="746"/>
      <c r="E113" s="746"/>
      <c r="F113" s="585"/>
      <c r="G113" s="585"/>
      <c r="H113" s="585"/>
      <c r="I113" s="585"/>
      <c r="J113" s="585"/>
      <c r="K113" s="78"/>
      <c r="L113" s="1566"/>
    </row>
    <row r="114" spans="1:12" ht="4.5" customHeight="1">
      <c r="A114" s="133"/>
      <c r="B114" s="133"/>
      <c r="C114" s="133"/>
      <c r="D114" s="133"/>
      <c r="E114" s="133"/>
      <c r="F114" s="133"/>
      <c r="G114" s="112"/>
      <c r="H114" s="112"/>
      <c r="I114" s="112"/>
      <c r="J114" s="112"/>
      <c r="K114" s="78"/>
      <c r="L114" s="1566"/>
    </row>
    <row r="115" spans="1:12" ht="4.5" customHeight="1">
      <c r="A115" s="1070"/>
      <c r="B115" s="1070"/>
      <c r="C115" s="1070"/>
      <c r="D115" s="1070"/>
      <c r="E115" s="1070"/>
      <c r="F115" s="1070"/>
      <c r="G115" s="1069"/>
      <c r="H115" s="1069"/>
      <c r="I115" s="1069"/>
      <c r="J115" s="1069"/>
      <c r="K115" s="78"/>
      <c r="L115" s="1566"/>
    </row>
    <row r="116" spans="1:12" ht="15" customHeight="1">
      <c r="A116" s="1071"/>
      <c r="B116" s="112"/>
      <c r="C116" s="112"/>
      <c r="D116" s="112"/>
      <c r="E116" s="112"/>
      <c r="F116" s="112"/>
      <c r="G116" s="112"/>
      <c r="H116" s="112"/>
      <c r="I116" s="112"/>
      <c r="J116" s="112"/>
      <c r="K116" s="78"/>
      <c r="L116" s="1566"/>
    </row>
    <row r="117" spans="1:12" ht="9.75" customHeight="1">
      <c r="A117" s="1071"/>
      <c r="B117" s="112"/>
      <c r="C117" s="112"/>
      <c r="D117" s="112"/>
      <c r="E117" s="112"/>
      <c r="F117" s="112"/>
      <c r="G117" s="112"/>
      <c r="H117" s="112"/>
      <c r="I117" s="112"/>
      <c r="J117" s="112"/>
      <c r="K117" s="78"/>
      <c r="L117" s="1566"/>
    </row>
    <row r="118" spans="1:12" ht="20.25">
      <c r="A118" s="1055" t="s">
        <v>2</v>
      </c>
      <c r="B118" s="1069"/>
      <c r="C118" s="1069"/>
      <c r="D118" s="1069"/>
      <c r="E118" s="1069"/>
      <c r="F118" s="112"/>
      <c r="G118" s="112"/>
      <c r="H118" s="112"/>
      <c r="I118" s="112"/>
      <c r="J118" s="112"/>
      <c r="K118" s="78"/>
      <c r="L118" s="1566"/>
    </row>
    <row r="119" spans="1:10" ht="24.75" customHeight="1">
      <c r="A119" s="1057" t="s">
        <v>1580</v>
      </c>
      <c r="B119" s="112"/>
      <c r="C119" s="112"/>
      <c r="D119" s="112"/>
      <c r="E119" s="112"/>
      <c r="F119" s="112"/>
      <c r="G119" s="112"/>
      <c r="H119" s="112"/>
      <c r="I119" s="375">
        <f>7196*fract</f>
        <v>7196</v>
      </c>
      <c r="J119" s="136">
        <v>1</v>
      </c>
    </row>
    <row r="120" spans="1:10" ht="18">
      <c r="A120" s="133" t="str">
        <f>"If the dependant was under age 18 on December 31, "&amp;yeartext&amp;", enter the amount from line 5 of his"</f>
        <v>If the dependant was under age 18 on December 31, 2009, enter the amount from line 5 of his</v>
      </c>
      <c r="B120" s="1075"/>
      <c r="C120" s="1075"/>
      <c r="D120" s="1075"/>
      <c r="E120" s="1075"/>
      <c r="F120" s="1075"/>
      <c r="G120" s="1075"/>
      <c r="H120" s="112"/>
      <c r="I120" s="121"/>
      <c r="J120" s="121"/>
    </row>
    <row r="121" spans="1:10" ht="18.75" thickBot="1">
      <c r="A121" s="1057" t="s">
        <v>20</v>
      </c>
      <c r="B121" s="125"/>
      <c r="C121" s="125"/>
      <c r="D121" s="125"/>
      <c r="E121" s="125"/>
      <c r="F121" s="125"/>
      <c r="G121" s="125"/>
      <c r="H121" s="112"/>
      <c r="I121" s="685"/>
      <c r="J121" s="1066" t="s">
        <v>1314</v>
      </c>
    </row>
    <row r="122" spans="1:10" ht="18">
      <c r="A122" s="1057" t="s">
        <v>1738</v>
      </c>
      <c r="B122" s="126"/>
      <c r="C122" s="126"/>
      <c r="D122" s="126"/>
      <c r="E122" s="126"/>
      <c r="F122" s="126"/>
      <c r="G122" s="126"/>
      <c r="H122" s="112"/>
      <c r="I122" s="375">
        <f>I119+I121</f>
        <v>7196</v>
      </c>
      <c r="J122" s="1066" t="s">
        <v>1315</v>
      </c>
    </row>
    <row r="123" spans="1:10" ht="18.75" thickBot="1">
      <c r="A123" s="1057" t="s">
        <v>946</v>
      </c>
      <c r="B123" s="126"/>
      <c r="C123" s="126"/>
      <c r="D123" s="126"/>
      <c r="E123" s="126"/>
      <c r="F123" s="126"/>
      <c r="G123" s="126"/>
      <c r="H123" s="112"/>
      <c r="I123" s="685"/>
      <c r="J123" s="1067" t="s">
        <v>1316</v>
      </c>
    </row>
    <row r="124" spans="1:10" ht="18">
      <c r="A124" s="1059" t="s">
        <v>205</v>
      </c>
      <c r="B124" s="126"/>
      <c r="C124" s="126"/>
      <c r="D124" s="126"/>
      <c r="E124" s="126"/>
      <c r="F124" s="126"/>
      <c r="G124" s="126"/>
      <c r="H124" s="112"/>
      <c r="I124" s="375">
        <f>+I122+I123</f>
        <v>7196</v>
      </c>
      <c r="J124" s="1067" t="s">
        <v>1317</v>
      </c>
    </row>
    <row r="125" spans="1:10" ht="18">
      <c r="A125" s="1057" t="s">
        <v>3</v>
      </c>
      <c r="B125" s="126"/>
      <c r="C125" s="126"/>
      <c r="D125" s="126"/>
      <c r="E125" s="126"/>
      <c r="F125" s="126"/>
      <c r="G125" s="126"/>
      <c r="H125" s="112"/>
      <c r="I125" s="131"/>
      <c r="J125" s="1067" t="s">
        <v>1318</v>
      </c>
    </row>
    <row r="126" spans="1:10" ht="18">
      <c r="A126" s="1059" t="s">
        <v>1852</v>
      </c>
      <c r="B126" s="126"/>
      <c r="C126" s="126"/>
      <c r="D126" s="126"/>
      <c r="E126" s="126"/>
      <c r="F126" s="126"/>
      <c r="G126" s="126"/>
      <c r="H126" s="112"/>
      <c r="I126" s="559">
        <f>MAXA(0,(I124-I125))</f>
        <v>7196</v>
      </c>
      <c r="J126" s="1067" t="s">
        <v>1527</v>
      </c>
    </row>
    <row r="127" spans="1:10" ht="21.75" customHeight="1">
      <c r="A127" s="134" t="s">
        <v>4</v>
      </c>
      <c r="B127" s="1075"/>
      <c r="C127" s="1075"/>
      <c r="D127" s="1075"/>
      <c r="E127" s="1075"/>
      <c r="F127" s="1075"/>
      <c r="G127" s="1075"/>
      <c r="H127" s="112"/>
      <c r="I127" s="375">
        <f>MINA(I122,I126)</f>
        <v>7196</v>
      </c>
      <c r="J127" s="121"/>
    </row>
    <row r="128" spans="1:10" ht="18">
      <c r="A128" s="133"/>
      <c r="B128" s="112"/>
      <c r="C128" s="112"/>
      <c r="D128" s="112"/>
      <c r="E128" s="112"/>
      <c r="F128" s="112"/>
      <c r="G128" s="463" t="s">
        <v>41</v>
      </c>
      <c r="H128" s="112"/>
      <c r="I128" s="131">
        <f>I127</f>
        <v>7196</v>
      </c>
      <c r="J128" s="121"/>
    </row>
    <row r="129" spans="1:10" ht="18">
      <c r="A129" s="461" t="s">
        <v>43</v>
      </c>
      <c r="B129" s="1068"/>
      <c r="C129" s="1068"/>
      <c r="D129" s="1068"/>
      <c r="E129" s="112"/>
      <c r="F129" s="112"/>
      <c r="G129" s="112"/>
      <c r="H129" s="112"/>
      <c r="I129" s="119"/>
      <c r="J129" s="121"/>
    </row>
    <row r="130" spans="1:10" ht="18">
      <c r="A130" s="461" t="s">
        <v>44</v>
      </c>
      <c r="B130" s="1068"/>
      <c r="C130" s="1068"/>
      <c r="D130" s="1068"/>
      <c r="E130" s="112"/>
      <c r="F130" s="112"/>
      <c r="G130" s="112"/>
      <c r="H130" s="112"/>
      <c r="I130" s="798"/>
      <c r="J130" s="121"/>
    </row>
    <row r="131" spans="1:10" ht="4.5" customHeight="1">
      <c r="A131" s="798"/>
      <c r="B131" s="112"/>
      <c r="C131" s="112"/>
      <c r="D131" s="112"/>
      <c r="E131" s="112"/>
      <c r="F131" s="112"/>
      <c r="G131" s="112"/>
      <c r="H131" s="112"/>
      <c r="I131" s="798"/>
      <c r="J131" s="121"/>
    </row>
    <row r="132" spans="1:10" ht="4.5" customHeight="1">
      <c r="A132" s="1076"/>
      <c r="B132" s="1069"/>
      <c r="C132" s="1069"/>
      <c r="D132" s="1069"/>
      <c r="E132" s="1069"/>
      <c r="F132" s="1069"/>
      <c r="G132" s="1069"/>
      <c r="H132" s="1069"/>
      <c r="I132" s="1076"/>
      <c r="J132" s="1060"/>
    </row>
    <row r="133" spans="1:10" ht="4.5" customHeight="1">
      <c r="A133" s="133"/>
      <c r="B133" s="112"/>
      <c r="C133" s="112"/>
      <c r="D133" s="112"/>
      <c r="E133" s="112"/>
      <c r="F133" s="112"/>
      <c r="G133" s="112"/>
      <c r="H133" s="112"/>
      <c r="I133" s="78"/>
      <c r="J133" s="121"/>
    </row>
    <row r="134" spans="1:10" ht="20.25">
      <c r="A134" s="1055" t="s">
        <v>7</v>
      </c>
      <c r="B134" s="1069"/>
      <c r="C134" s="1069"/>
      <c r="D134" s="1069"/>
      <c r="E134" s="112"/>
      <c r="F134" s="112"/>
      <c r="G134" s="112"/>
      <c r="H134" s="112"/>
      <c r="I134" s="121"/>
      <c r="J134" s="121"/>
    </row>
    <row r="135" spans="1:10" ht="27" customHeight="1">
      <c r="A135" s="133" t="s">
        <v>1750</v>
      </c>
      <c r="B135" s="112"/>
      <c r="C135" s="112"/>
      <c r="D135" s="112"/>
      <c r="E135" s="112"/>
      <c r="F135" s="112"/>
      <c r="G135" s="112"/>
      <c r="H135" s="112"/>
      <c r="I135" s="121"/>
      <c r="J135" s="121"/>
    </row>
    <row r="136" spans="1:10" ht="18">
      <c r="A136" s="1057" t="s">
        <v>527</v>
      </c>
      <c r="B136" s="125"/>
      <c r="C136" s="125"/>
      <c r="D136" s="125"/>
      <c r="E136" s="125"/>
      <c r="F136" s="125"/>
      <c r="G136" s="125"/>
      <c r="H136" s="112"/>
      <c r="I136" s="131">
        <v>0</v>
      </c>
      <c r="J136" s="136">
        <v>1</v>
      </c>
    </row>
    <row r="137" spans="1:10" ht="18">
      <c r="A137" s="133"/>
      <c r="B137" s="112"/>
      <c r="C137" s="112"/>
      <c r="D137" s="112"/>
      <c r="E137" s="112"/>
      <c r="F137" s="112"/>
      <c r="G137" s="112"/>
      <c r="H137" s="112"/>
      <c r="I137" s="121"/>
      <c r="J137" s="121"/>
    </row>
    <row r="138" spans="1:10" ht="18">
      <c r="A138" s="1057" t="s">
        <v>1965</v>
      </c>
      <c r="B138" s="125"/>
      <c r="C138" s="125"/>
      <c r="D138" s="125"/>
      <c r="E138" s="125"/>
      <c r="F138" s="125"/>
      <c r="G138" s="125"/>
      <c r="H138" s="112"/>
      <c r="I138" s="375">
        <f>(3/12)*MINA(I136+0,400)+(2/12)*MINA(I136+0,750)+(4/12)*MINA(I136+0,1275)</f>
        <v>0</v>
      </c>
      <c r="J138" s="1066" t="s">
        <v>1527</v>
      </c>
    </row>
    <row r="139" spans="1:10" ht="9.75" customHeight="1">
      <c r="A139" s="134"/>
      <c r="B139" s="112"/>
      <c r="C139" s="112"/>
      <c r="D139" s="112"/>
      <c r="E139" s="112"/>
      <c r="F139" s="112"/>
      <c r="G139" s="112"/>
      <c r="H139" s="112"/>
      <c r="I139" s="82"/>
      <c r="J139" s="121"/>
    </row>
    <row r="140" spans="1:10" ht="4.5" customHeight="1">
      <c r="A140" s="1070"/>
      <c r="B140" s="1069"/>
      <c r="C140" s="1069"/>
      <c r="D140" s="1069"/>
      <c r="E140" s="1069"/>
      <c r="F140" s="1069"/>
      <c r="G140" s="1069"/>
      <c r="H140" s="1069"/>
      <c r="I140" s="1060"/>
      <c r="J140" s="1060"/>
    </row>
    <row r="141" spans="1:10" ht="9.75" customHeight="1">
      <c r="A141" s="133"/>
      <c r="B141" s="112"/>
      <c r="C141" s="112"/>
      <c r="D141" s="112"/>
      <c r="E141" s="112"/>
      <c r="F141" s="112"/>
      <c r="G141" s="112"/>
      <c r="H141" s="112"/>
      <c r="I141" s="121"/>
      <c r="J141" s="121"/>
    </row>
    <row r="142" spans="1:10" ht="20.25">
      <c r="A142" s="1055" t="s">
        <v>8</v>
      </c>
      <c r="B142" s="1069"/>
      <c r="C142" s="1069"/>
      <c r="D142" s="1069"/>
      <c r="E142" s="112"/>
      <c r="F142" s="112"/>
      <c r="G142" s="112"/>
      <c r="H142" s="112"/>
      <c r="I142" s="121"/>
      <c r="J142" s="121"/>
    </row>
    <row r="143" spans="1:10" ht="24.75" customHeight="1">
      <c r="A143" s="798" t="s">
        <v>948</v>
      </c>
      <c r="B143" s="112"/>
      <c r="C143" s="112"/>
      <c r="D143" s="112"/>
      <c r="E143" s="112"/>
      <c r="F143" s="112"/>
      <c r="G143" s="112"/>
      <c r="H143" s="112"/>
      <c r="I143" s="121"/>
      <c r="J143" s="121"/>
    </row>
    <row r="144" spans="1:10" ht="9.75" customHeight="1">
      <c r="A144" s="133"/>
      <c r="B144" s="112"/>
      <c r="C144" s="112"/>
      <c r="D144" s="112"/>
      <c r="E144" s="112"/>
      <c r="F144" s="112"/>
      <c r="G144" s="112"/>
      <c r="H144" s="112"/>
      <c r="I144" s="121"/>
      <c r="J144" s="121"/>
    </row>
    <row r="145" spans="1:10" ht="18">
      <c r="A145" s="1057" t="s">
        <v>1585</v>
      </c>
      <c r="B145" s="125"/>
      <c r="C145" s="125"/>
      <c r="D145" s="125"/>
      <c r="E145" s="125"/>
      <c r="F145" s="112"/>
      <c r="G145" s="375">
        <f>'T1 GEN-2-3-4'!K90</f>
        <v>0</v>
      </c>
      <c r="H145" s="1067" t="s">
        <v>1281</v>
      </c>
      <c r="I145" s="121"/>
      <c r="J145" s="121"/>
    </row>
    <row r="146" spans="1:10" ht="18.75" thickBot="1">
      <c r="A146" s="1057" t="s">
        <v>1962</v>
      </c>
      <c r="B146" s="126"/>
      <c r="C146" s="126"/>
      <c r="D146" s="126"/>
      <c r="E146" s="126"/>
      <c r="F146" s="112"/>
      <c r="G146" s="687">
        <f>'T1 GEN-1'!U30</f>
        <v>0</v>
      </c>
      <c r="H146" s="1067" t="s">
        <v>1314</v>
      </c>
      <c r="I146" s="121"/>
      <c r="J146" s="121"/>
    </row>
    <row r="147" spans="1:10" ht="18.75" thickBot="1">
      <c r="A147" s="1057" t="s">
        <v>947</v>
      </c>
      <c r="B147" s="126"/>
      <c r="C147" s="126"/>
      <c r="D147" s="126"/>
      <c r="E147" s="126"/>
      <c r="F147" s="112"/>
      <c r="G147" s="375">
        <f>G145+G146</f>
        <v>0</v>
      </c>
      <c r="H147" s="1085" t="s">
        <v>1886</v>
      </c>
      <c r="I147" s="684">
        <f>G147</f>
        <v>0</v>
      </c>
      <c r="J147" s="1066" t="s">
        <v>1315</v>
      </c>
    </row>
    <row r="148" spans="1:10" ht="24.75" customHeight="1">
      <c r="A148" s="1121" t="s">
        <v>2521</v>
      </c>
      <c r="B148" s="1075"/>
      <c r="C148" s="1075"/>
      <c r="D148" s="1075"/>
      <c r="E148" s="1075"/>
      <c r="F148" s="112"/>
      <c r="G148" s="112"/>
      <c r="H148" s="1066"/>
      <c r="I148" s="1078"/>
      <c r="J148" s="1066"/>
    </row>
    <row r="149" spans="1:8" ht="18">
      <c r="A149" s="804" t="s">
        <v>1961</v>
      </c>
      <c r="B149" s="125"/>
      <c r="C149" s="125"/>
      <c r="D149" s="125"/>
      <c r="E149" s="125"/>
      <c r="F149" s="112"/>
      <c r="G149" s="375">
        <f>MAX('T1 GEN-2-3-4'!I21,'T1 GEN-1'!U32)</f>
        <v>0</v>
      </c>
      <c r="H149" s="1067">
        <v>4</v>
      </c>
    </row>
    <row r="150" spans="1:10" ht="16.5">
      <c r="A150" s="1121" t="s">
        <v>2516</v>
      </c>
      <c r="B150" s="1075"/>
      <c r="C150" s="1075"/>
      <c r="D150" s="1075"/>
      <c r="E150" s="1075"/>
      <c r="F150" s="1075"/>
      <c r="G150" s="1075"/>
      <c r="H150" s="1066"/>
      <c r="J150" s="1067"/>
    </row>
    <row r="151" spans="1:10" ht="18.75" thickBot="1">
      <c r="A151" s="823" t="s">
        <v>2515</v>
      </c>
      <c r="B151" s="125"/>
      <c r="C151" s="125"/>
      <c r="D151" s="125"/>
      <c r="E151" s="125"/>
      <c r="F151" s="112"/>
      <c r="G151" s="687"/>
      <c r="H151" s="1067">
        <v>5</v>
      </c>
      <c r="J151" s="1067"/>
    </row>
    <row r="152" spans="1:10" ht="18.75" thickBot="1">
      <c r="A152" s="823" t="s">
        <v>2357</v>
      </c>
      <c r="B152" s="125"/>
      <c r="C152" s="125"/>
      <c r="D152" s="125"/>
      <c r="E152" s="125"/>
      <c r="F152" s="112"/>
      <c r="G152" s="375">
        <f>G149+G151</f>
        <v>0</v>
      </c>
      <c r="H152" s="1085" t="s">
        <v>1886</v>
      </c>
      <c r="I152" s="563">
        <f>G152</f>
        <v>0</v>
      </c>
      <c r="J152" s="1067">
        <v>6</v>
      </c>
    </row>
    <row r="153" spans="1:10" ht="18">
      <c r="A153" s="823" t="s">
        <v>2358</v>
      </c>
      <c r="B153" s="126"/>
      <c r="C153" s="126"/>
      <c r="D153" s="126"/>
      <c r="E153" s="126"/>
      <c r="F153" s="125"/>
      <c r="G153" s="126"/>
      <c r="H153" s="1066"/>
      <c r="I153" s="781">
        <f>I147-I152</f>
        <v>0</v>
      </c>
      <c r="J153" s="1067">
        <v>7</v>
      </c>
    </row>
    <row r="154" spans="1:10" ht="24.75" customHeight="1">
      <c r="A154" s="1121" t="s">
        <v>2517</v>
      </c>
      <c r="B154" s="1075"/>
      <c r="C154" s="1075"/>
      <c r="D154" s="1075"/>
      <c r="E154" s="1075"/>
      <c r="F154" s="112"/>
      <c r="G154" s="1075"/>
      <c r="H154" s="1066"/>
      <c r="I154" s="1218"/>
      <c r="J154" s="1067"/>
    </row>
    <row r="155" spans="1:8" ht="18">
      <c r="A155" s="823" t="s">
        <v>2518</v>
      </c>
      <c r="B155" s="125"/>
      <c r="C155" s="125"/>
      <c r="D155" s="125"/>
      <c r="E155" s="125"/>
      <c r="F155" s="112"/>
      <c r="G155" s="375">
        <f>'T1 GEN-2-3-4'!I70+'T1 GEN-1'!U34</f>
        <v>0</v>
      </c>
      <c r="H155" s="1067">
        <v>8</v>
      </c>
    </row>
    <row r="156" spans="1:8" ht="16.5">
      <c r="A156" s="1121" t="s">
        <v>2519</v>
      </c>
      <c r="B156" s="1075"/>
      <c r="C156" s="1075"/>
      <c r="D156" s="1075"/>
      <c r="E156" s="1075"/>
      <c r="F156" s="112"/>
      <c r="G156" s="1075"/>
      <c r="H156" s="1067"/>
    </row>
    <row r="157" spans="1:8" ht="18">
      <c r="A157" s="823" t="s">
        <v>2520</v>
      </c>
      <c r="B157" s="125"/>
      <c r="C157" s="125"/>
      <c r="D157" s="125"/>
      <c r="E157" s="125"/>
      <c r="F157" s="112"/>
      <c r="G157" s="1467"/>
      <c r="H157" s="1067">
        <v>9</v>
      </c>
    </row>
    <row r="158" spans="1:10" ht="18.75" thickBot="1">
      <c r="A158" s="823" t="s">
        <v>2359</v>
      </c>
      <c r="B158" s="125"/>
      <c r="C158" s="125"/>
      <c r="D158" s="125"/>
      <c r="E158" s="125"/>
      <c r="F158" s="112"/>
      <c r="G158" s="375">
        <f>G155+G157</f>
        <v>0</v>
      </c>
      <c r="H158" s="1085" t="s">
        <v>1886</v>
      </c>
      <c r="I158" s="742">
        <f>G158</f>
        <v>0</v>
      </c>
      <c r="J158" s="1466" t="s">
        <v>1218</v>
      </c>
    </row>
    <row r="159" spans="1:10" ht="18">
      <c r="A159" s="823" t="s">
        <v>2360</v>
      </c>
      <c r="B159" s="126"/>
      <c r="C159" s="126"/>
      <c r="D159" s="126"/>
      <c r="E159" s="112"/>
      <c r="F159" s="112"/>
      <c r="G159" s="126"/>
      <c r="H159" s="1066"/>
      <c r="I159" s="375">
        <f>I153+I158</f>
        <v>0</v>
      </c>
      <c r="J159" s="1067">
        <v>11</v>
      </c>
    </row>
    <row r="160" spans="1:10" ht="18.75" thickBot="1">
      <c r="A160" s="823" t="s">
        <v>1523</v>
      </c>
      <c r="B160" s="126"/>
      <c r="C160" s="126"/>
      <c r="D160" s="126"/>
      <c r="E160" s="126"/>
      <c r="F160" s="126"/>
      <c r="G160" s="126"/>
      <c r="H160" s="112"/>
      <c r="I160" s="742">
        <v>23633</v>
      </c>
      <c r="J160" s="1067">
        <v>12</v>
      </c>
    </row>
    <row r="161" spans="1:10" ht="18">
      <c r="A161" s="823" t="s">
        <v>701</v>
      </c>
      <c r="B161" s="126"/>
      <c r="C161" s="126"/>
      <c r="D161" s="126"/>
      <c r="E161" s="126"/>
      <c r="F161" s="126"/>
      <c r="G161" s="126"/>
      <c r="H161" s="112"/>
      <c r="I161" s="375">
        <f>MAXA(0,(I159-I160))</f>
        <v>0</v>
      </c>
      <c r="J161" s="1067">
        <v>13</v>
      </c>
    </row>
    <row r="162" spans="1:10" ht="9.75" customHeight="1">
      <c r="A162" s="798"/>
      <c r="B162" s="112"/>
      <c r="C162" s="112"/>
      <c r="D162" s="112"/>
      <c r="E162" s="112"/>
      <c r="F162" s="112"/>
      <c r="G162" s="112"/>
      <c r="H162" s="112"/>
      <c r="I162" s="121"/>
      <c r="J162" s="121"/>
    </row>
    <row r="163" spans="1:10" ht="18">
      <c r="A163" s="823" t="s">
        <v>2522</v>
      </c>
      <c r="B163" s="125"/>
      <c r="C163" s="125"/>
      <c r="D163" s="125"/>
      <c r="E163" s="125"/>
      <c r="F163" s="125"/>
      <c r="G163" s="125"/>
      <c r="H163" s="112"/>
      <c r="I163" s="375">
        <f>MINA(1067,0.25*('T1 GEN-2-3-4'!I72+Sch1!K41))</f>
        <v>0</v>
      </c>
      <c r="J163" s="1067">
        <v>14</v>
      </c>
    </row>
    <row r="164" spans="1:10" ht="18.75" thickBot="1">
      <c r="A164" s="1057" t="s">
        <v>2523</v>
      </c>
      <c r="B164" s="126"/>
      <c r="C164" s="126"/>
      <c r="D164" s="126"/>
      <c r="E164" s="126"/>
      <c r="F164" s="126"/>
      <c r="G164" s="126"/>
      <c r="H164" s="112"/>
      <c r="I164" s="684">
        <f>0.05*I161</f>
        <v>0</v>
      </c>
      <c r="J164" s="1067">
        <v>15</v>
      </c>
    </row>
    <row r="165" spans="1:10" ht="18">
      <c r="A165" s="1057" t="s">
        <v>2361</v>
      </c>
      <c r="B165" s="126"/>
      <c r="C165" s="126"/>
      <c r="D165" s="126"/>
      <c r="E165" s="126"/>
      <c r="F165" s="126"/>
      <c r="G165" s="126"/>
      <c r="H165" s="112"/>
      <c r="I165" s="375">
        <f>MAXA(0,(I163-I164))</f>
        <v>0</v>
      </c>
      <c r="J165" s="1067">
        <v>16</v>
      </c>
    </row>
    <row r="166" spans="1:10" ht="9.75" customHeight="1">
      <c r="A166" s="133"/>
      <c r="B166" s="112"/>
      <c r="C166" s="112"/>
      <c r="D166" s="112"/>
      <c r="E166" s="112"/>
      <c r="F166" s="112"/>
      <c r="G166" s="112"/>
      <c r="H166" s="112"/>
      <c r="I166" s="121"/>
      <c r="J166" s="121"/>
    </row>
    <row r="167" spans="1:10" ht="18">
      <c r="A167" s="1072" t="s">
        <v>896</v>
      </c>
      <c r="B167" s="112"/>
      <c r="C167" s="112"/>
      <c r="D167" s="112"/>
      <c r="E167" s="112"/>
      <c r="F167" s="112"/>
      <c r="G167" s="112"/>
      <c r="H167" s="112"/>
      <c r="I167" s="112"/>
      <c r="J167" s="124"/>
    </row>
    <row r="168" spans="1:10" ht="18">
      <c r="A168" s="1073" t="s">
        <v>538</v>
      </c>
      <c r="B168" s="112"/>
      <c r="C168" s="112"/>
      <c r="D168" s="112"/>
      <c r="E168" s="112"/>
      <c r="F168" s="112"/>
      <c r="G168" s="112"/>
      <c r="H168" s="112"/>
      <c r="I168" s="375">
        <f>'T1 GEN-2-3-4'!I13+'T1 GEN-2-3-4'!I15</f>
        <v>0</v>
      </c>
      <c r="J168" s="124" t="s">
        <v>539</v>
      </c>
    </row>
    <row r="169" spans="1:10" ht="18">
      <c r="A169" s="1073" t="s">
        <v>540</v>
      </c>
      <c r="B169" s="112"/>
      <c r="C169" s="112"/>
      <c r="D169" s="112"/>
      <c r="E169" s="112"/>
      <c r="F169" s="112"/>
      <c r="G169" s="112"/>
      <c r="H169" s="112"/>
      <c r="I169" s="131">
        <v>0</v>
      </c>
      <c r="J169" s="124" t="s">
        <v>541</v>
      </c>
    </row>
    <row r="170" spans="1:10" ht="18">
      <c r="A170" s="133" t="s">
        <v>542</v>
      </c>
      <c r="B170" s="112"/>
      <c r="C170" s="112"/>
      <c r="D170" s="112"/>
      <c r="E170" s="112"/>
      <c r="F170" s="112"/>
      <c r="G170" s="112"/>
      <c r="H170" s="112"/>
      <c r="I170" s="375">
        <f>'T1 GEN-2-3-4'!I65+'T1 GEN-2-3-4'!I69+'T1 GEN-2-3-4'!I82+'T1 GEN-2-3-4'!I83</f>
        <v>0</v>
      </c>
      <c r="J170" s="121" t="s">
        <v>1385</v>
      </c>
    </row>
    <row r="171" spans="1:10" ht="18.75" thickBot="1">
      <c r="A171" s="133" t="s">
        <v>1963</v>
      </c>
      <c r="B171" s="112"/>
      <c r="C171" s="112"/>
      <c r="D171" s="112"/>
      <c r="E171" s="112"/>
      <c r="F171" s="112"/>
      <c r="G171" s="112"/>
      <c r="H171" s="112"/>
      <c r="I171" s="742">
        <f>MAX(0,'T1 GEN-2-3-4'!I34)+MAX(0,'T1 GEN-2-3-4'!I35)+MAX(0,'T1 GEN-2-3-4'!I36)+MAX(0,'T1 GEN-2-3-4'!I37)+MAX(0,'T1 GEN-2-3-4'!I38)</f>
        <v>0</v>
      </c>
      <c r="J171" s="121" t="s">
        <v>719</v>
      </c>
    </row>
    <row r="172" spans="1:10" ht="18">
      <c r="A172" s="133" t="s">
        <v>2388</v>
      </c>
      <c r="B172" s="112"/>
      <c r="C172" s="112"/>
      <c r="D172" s="112"/>
      <c r="E172" s="112"/>
      <c r="F172" s="112"/>
      <c r="G172" s="112"/>
      <c r="H172" s="112"/>
      <c r="I172" s="375">
        <f>MAX(0,I168-I169-I170)+I171</f>
        <v>0</v>
      </c>
      <c r="J172" s="121"/>
    </row>
    <row r="173" spans="1:10" ht="18">
      <c r="A173" s="121"/>
      <c r="B173" s="112"/>
      <c r="C173" s="112"/>
      <c r="D173" s="112"/>
      <c r="E173" s="112"/>
      <c r="F173" s="112"/>
      <c r="G173" s="1272"/>
      <c r="H173" s="1272" t="s">
        <v>2625</v>
      </c>
      <c r="I173" s="375">
        <v>3116</v>
      </c>
      <c r="J173" s="585" t="s">
        <v>2624</v>
      </c>
    </row>
    <row r="174" spans="1:10" ht="18">
      <c r="A174" s="1074" t="s">
        <v>1296</v>
      </c>
      <c r="B174" s="1068"/>
      <c r="C174" s="1068"/>
      <c r="D174" s="1068"/>
      <c r="E174" s="1068"/>
      <c r="F174" s="1068"/>
      <c r="G174" s="112"/>
      <c r="H174" s="112"/>
      <c r="I174" s="121"/>
      <c r="J174" s="121"/>
    </row>
    <row r="175" spans="1:10" ht="18">
      <c r="A175" s="1074" t="s">
        <v>2626</v>
      </c>
      <c r="B175" s="1068"/>
      <c r="C175" s="1068"/>
      <c r="D175" s="1068"/>
      <c r="E175" s="1068"/>
      <c r="F175" s="1068"/>
      <c r="G175" s="112"/>
      <c r="H175" s="112"/>
      <c r="I175" s="121"/>
      <c r="J175" s="136"/>
    </row>
    <row r="176" spans="1:10" ht="18">
      <c r="A176" s="1074" t="str">
        <f>"If not resident in Canada throughout "&amp;yeartext&amp;", set QUAL sheet line 452 parameter to NO."</f>
        <v>If not resident in Canada throughout 2009, set QUAL sheet line 452 parameter to NO.</v>
      </c>
      <c r="B176" s="1068"/>
      <c r="C176" s="1068"/>
      <c r="D176" s="1068"/>
      <c r="E176" s="1068"/>
      <c r="F176" s="1068"/>
      <c r="G176" s="112"/>
      <c r="H176" s="112"/>
      <c r="I176" s="121"/>
      <c r="J176" s="121"/>
    </row>
    <row r="177" ht="15">
      <c r="A177" s="1065"/>
    </row>
    <row r="178" ht="15">
      <c r="A178" s="1065"/>
    </row>
    <row r="179" ht="15">
      <c r="A179" s="1065" t="s">
        <v>984</v>
      </c>
    </row>
    <row r="180" ht="15">
      <c r="A180" s="1065"/>
    </row>
    <row r="181" ht="15">
      <c r="A181" s="1065"/>
    </row>
    <row r="182" ht="15">
      <c r="A182" s="1065"/>
    </row>
    <row r="183" ht="15">
      <c r="A183" s="1065"/>
    </row>
    <row r="184" ht="15">
      <c r="A184" s="1065"/>
    </row>
    <row r="185" ht="15">
      <c r="A185" s="1065"/>
    </row>
    <row r="186" ht="15">
      <c r="A186" s="1065"/>
    </row>
    <row r="187" ht="15">
      <c r="A187" s="1065"/>
    </row>
    <row r="188" ht="15">
      <c r="A188" s="1065"/>
    </row>
    <row r="189" ht="15">
      <c r="A189" s="1065"/>
    </row>
    <row r="190" ht="15">
      <c r="A190" s="1065"/>
    </row>
    <row r="191" ht="15">
      <c r="A191" s="1065"/>
    </row>
    <row r="192" ht="15">
      <c r="A192" s="1065"/>
    </row>
    <row r="193" ht="15">
      <c r="A193" s="1065"/>
    </row>
    <row r="194" ht="15">
      <c r="A194" s="1065"/>
    </row>
    <row r="195" ht="15">
      <c r="A195" s="1065"/>
    </row>
    <row r="196" ht="15">
      <c r="A196" s="1065"/>
    </row>
    <row r="197" ht="15">
      <c r="A197" s="1065"/>
    </row>
    <row r="198" ht="15">
      <c r="A198" s="1065"/>
    </row>
    <row r="199" ht="15">
      <c r="A199" s="1065"/>
    </row>
    <row r="200" ht="15">
      <c r="A200" s="1065"/>
    </row>
    <row r="201" ht="15">
      <c r="A201" s="1065"/>
    </row>
    <row r="202" ht="15">
      <c r="A202" s="1065"/>
    </row>
    <row r="203" ht="15">
      <c r="A203" s="1065"/>
    </row>
    <row r="204" ht="15">
      <c r="A204" s="1065"/>
    </row>
    <row r="205" ht="15">
      <c r="A205" s="1065"/>
    </row>
    <row r="206" ht="15">
      <c r="A206" s="1065"/>
    </row>
    <row r="207" ht="15">
      <c r="A207" s="1065"/>
    </row>
    <row r="208" ht="15">
      <c r="A208" s="1065"/>
    </row>
    <row r="209" ht="15">
      <c r="A209" s="1065"/>
    </row>
    <row r="210" ht="15">
      <c r="A210" s="1065"/>
    </row>
    <row r="211" ht="15">
      <c r="A211" s="1065"/>
    </row>
    <row r="212" ht="15">
      <c r="A212" s="1065"/>
    </row>
    <row r="213" ht="15">
      <c r="A213" s="1065"/>
    </row>
    <row r="214" ht="15">
      <c r="A214" s="1065"/>
    </row>
    <row r="215" ht="15">
      <c r="A215" s="1065"/>
    </row>
    <row r="216" ht="15">
      <c r="A216" s="1065"/>
    </row>
    <row r="217" ht="15">
      <c r="A217" s="1065"/>
    </row>
    <row r="218" ht="15">
      <c r="A218" s="1065"/>
    </row>
    <row r="219" ht="15">
      <c r="A219" s="1065"/>
    </row>
    <row r="220" ht="15">
      <c r="A220" s="1065"/>
    </row>
    <row r="221" ht="15">
      <c r="A221" s="1065"/>
    </row>
    <row r="222" ht="15">
      <c r="A222" s="1065"/>
    </row>
    <row r="223" ht="15">
      <c r="A223" s="1065"/>
    </row>
    <row r="224" ht="15">
      <c r="A224" s="1065"/>
    </row>
    <row r="225" ht="15">
      <c r="A225" s="1065"/>
    </row>
    <row r="226" ht="15">
      <c r="A226" s="1065"/>
    </row>
    <row r="227" ht="15">
      <c r="A227" s="1065"/>
    </row>
    <row r="228" ht="15">
      <c r="A228" s="1065"/>
    </row>
    <row r="229" ht="15">
      <c r="A229" s="1065"/>
    </row>
    <row r="230" ht="15">
      <c r="A230" s="1065"/>
    </row>
    <row r="231" ht="15">
      <c r="A231" s="1065"/>
    </row>
    <row r="232" ht="15">
      <c r="A232" s="1065"/>
    </row>
    <row r="233" ht="15">
      <c r="A233" s="1065"/>
    </row>
    <row r="234" ht="15">
      <c r="A234" s="1065"/>
    </row>
    <row r="235" ht="15">
      <c r="A235" s="1065"/>
    </row>
    <row r="236" ht="15">
      <c r="A236" s="1065"/>
    </row>
    <row r="237" ht="15">
      <c r="A237" s="1065"/>
    </row>
    <row r="238" ht="15">
      <c r="A238" s="1065"/>
    </row>
    <row r="239" ht="15">
      <c r="A239" s="1065"/>
    </row>
    <row r="240" ht="15">
      <c r="A240" s="1065"/>
    </row>
    <row r="241" ht="15">
      <c r="A241" s="1065"/>
    </row>
    <row r="242" ht="15">
      <c r="A242" s="1065"/>
    </row>
    <row r="243" ht="15">
      <c r="A243" s="1065"/>
    </row>
    <row r="244" ht="15">
      <c r="A244" s="1065"/>
    </row>
    <row r="245" ht="15">
      <c r="A245" s="1065"/>
    </row>
    <row r="246" ht="15">
      <c r="A246" s="1065"/>
    </row>
    <row r="247" ht="15">
      <c r="A247" s="265"/>
    </row>
    <row r="248" ht="15">
      <c r="A248" s="265"/>
    </row>
    <row r="249" ht="15">
      <c r="A249" s="265"/>
    </row>
    <row r="250" ht="15">
      <c r="A250" s="265"/>
    </row>
    <row r="251" ht="15">
      <c r="A251" s="265"/>
    </row>
    <row r="252" ht="15">
      <c r="A252" s="265"/>
    </row>
    <row r="253" ht="15">
      <c r="A253" s="265"/>
    </row>
    <row r="254" ht="15">
      <c r="A254" s="265"/>
    </row>
    <row r="255" ht="15">
      <c r="A255" s="265"/>
    </row>
    <row r="256" ht="15">
      <c r="A256" s="265"/>
    </row>
    <row r="257" ht="15">
      <c r="A257" s="265"/>
    </row>
    <row r="258" ht="15">
      <c r="A258" s="265"/>
    </row>
    <row r="259" ht="15">
      <c r="A259" s="265"/>
    </row>
    <row r="260" ht="15">
      <c r="A260" s="265"/>
    </row>
    <row r="261" ht="15">
      <c r="A261" s="265"/>
    </row>
    <row r="262" ht="15">
      <c r="A262" s="265"/>
    </row>
    <row r="263" ht="15">
      <c r="A263" s="265"/>
    </row>
    <row r="264" ht="15">
      <c r="A264" s="265"/>
    </row>
    <row r="265" ht="15">
      <c r="A265" s="265"/>
    </row>
    <row r="266" ht="15">
      <c r="A266" s="265"/>
    </row>
    <row r="267" ht="15">
      <c r="A267" s="265"/>
    </row>
    <row r="268" ht="15">
      <c r="A268" s="265"/>
    </row>
    <row r="269" ht="15">
      <c r="A269" s="265"/>
    </row>
    <row r="270" ht="15">
      <c r="A270" s="265"/>
    </row>
    <row r="271" ht="15">
      <c r="A271" s="265"/>
    </row>
    <row r="272" ht="15">
      <c r="A272" s="265"/>
    </row>
    <row r="273" ht="15">
      <c r="A273" s="265"/>
    </row>
    <row r="274" ht="15">
      <c r="A274" s="265"/>
    </row>
    <row r="275" ht="15">
      <c r="A275" s="265"/>
    </row>
    <row r="276" ht="15">
      <c r="A276" s="265"/>
    </row>
    <row r="277" ht="15">
      <c r="A277" s="265"/>
    </row>
    <row r="278" ht="15">
      <c r="A278" s="265"/>
    </row>
    <row r="279" ht="15">
      <c r="A279" s="265"/>
    </row>
    <row r="280" ht="15">
      <c r="A280" s="265"/>
    </row>
    <row r="281" ht="15">
      <c r="A281" s="265"/>
    </row>
    <row r="282" ht="15">
      <c r="A282" s="265"/>
    </row>
    <row r="283" ht="15">
      <c r="A283" s="265"/>
    </row>
    <row r="284" ht="15">
      <c r="A284" s="265"/>
    </row>
    <row r="285" ht="15">
      <c r="A285" s="265"/>
    </row>
    <row r="286" ht="15">
      <c r="A286" s="265"/>
    </row>
    <row r="287" ht="15">
      <c r="A287" s="265"/>
    </row>
    <row r="288" ht="15">
      <c r="A288" s="265"/>
    </row>
    <row r="289" ht="15">
      <c r="A289" s="265"/>
    </row>
    <row r="290" ht="15">
      <c r="A290" s="265"/>
    </row>
    <row r="291" ht="15">
      <c r="A291" s="265"/>
    </row>
    <row r="292" ht="15">
      <c r="A292" s="265"/>
    </row>
    <row r="293" ht="15">
      <c r="A293" s="265"/>
    </row>
    <row r="294" ht="15">
      <c r="A294" s="265"/>
    </row>
    <row r="295" ht="15">
      <c r="A295" s="265"/>
    </row>
    <row r="296" ht="15">
      <c r="A296" s="265"/>
    </row>
    <row r="297" ht="15">
      <c r="A297" s="265"/>
    </row>
    <row r="298" ht="15">
      <c r="A298" s="265"/>
    </row>
    <row r="299" ht="15">
      <c r="A299" s="265"/>
    </row>
    <row r="300" ht="15">
      <c r="A300" s="265"/>
    </row>
    <row r="301" ht="15">
      <c r="A301" s="265"/>
    </row>
    <row r="302" ht="15">
      <c r="A302" s="265"/>
    </row>
    <row r="303" ht="15">
      <c r="A303" s="265"/>
    </row>
    <row r="304" ht="15">
      <c r="A304" s="265"/>
    </row>
    <row r="305" ht="15">
      <c r="A305" s="265"/>
    </row>
    <row r="306" ht="15">
      <c r="A306" s="265"/>
    </row>
    <row r="307" ht="15">
      <c r="A307" s="265"/>
    </row>
    <row r="308" ht="15">
      <c r="A308" s="265"/>
    </row>
    <row r="309" ht="15">
      <c r="A309" s="265"/>
    </row>
    <row r="310" ht="15">
      <c r="A310" s="265"/>
    </row>
    <row r="311" ht="15">
      <c r="A311" s="265"/>
    </row>
    <row r="312" ht="15">
      <c r="A312" s="265"/>
    </row>
    <row r="313" ht="15">
      <c r="A313" s="265"/>
    </row>
    <row r="314" ht="15">
      <c r="A314" s="265"/>
    </row>
    <row r="315" ht="15">
      <c r="A315" s="265"/>
    </row>
    <row r="316" ht="15">
      <c r="A316" s="265"/>
    </row>
    <row r="317" ht="15">
      <c r="A317" s="265"/>
    </row>
    <row r="318" ht="15">
      <c r="A318" s="265"/>
    </row>
    <row r="319" ht="15">
      <c r="A319" s="265"/>
    </row>
    <row r="320" ht="15">
      <c r="A320" s="265"/>
    </row>
    <row r="321" ht="15">
      <c r="A321" s="265"/>
    </row>
    <row r="322" ht="15">
      <c r="A322" s="265"/>
    </row>
    <row r="323" ht="15">
      <c r="A323" s="265"/>
    </row>
    <row r="324" ht="15">
      <c r="A324" s="265"/>
    </row>
    <row r="325" ht="15">
      <c r="A325" s="265"/>
    </row>
    <row r="326" ht="15">
      <c r="A326" s="265"/>
    </row>
    <row r="327" ht="15">
      <c r="A327" s="265"/>
    </row>
    <row r="328" ht="15">
      <c r="A328" s="265"/>
    </row>
    <row r="329" ht="15">
      <c r="A329" s="265"/>
    </row>
    <row r="330" ht="15">
      <c r="A330" s="265"/>
    </row>
    <row r="331" ht="15">
      <c r="A331" s="265"/>
    </row>
    <row r="332" ht="15">
      <c r="A332" s="265"/>
    </row>
    <row r="333" ht="15">
      <c r="A333" s="265"/>
    </row>
    <row r="334" ht="15">
      <c r="A334" s="265"/>
    </row>
    <row r="335" ht="15">
      <c r="A335" s="265"/>
    </row>
    <row r="336" ht="15">
      <c r="A336" s="265"/>
    </row>
    <row r="337" ht="15">
      <c r="A337" s="265"/>
    </row>
    <row r="338" ht="15">
      <c r="A338" s="265"/>
    </row>
    <row r="339" ht="15">
      <c r="A339" s="265"/>
    </row>
    <row r="340" ht="15">
      <c r="A340" s="265"/>
    </row>
    <row r="341" ht="15">
      <c r="A341" s="265"/>
    </row>
    <row r="342" ht="15">
      <c r="A342" s="265"/>
    </row>
    <row r="343" ht="15">
      <c r="A343" s="265"/>
    </row>
    <row r="344" ht="15">
      <c r="A344" s="265"/>
    </row>
    <row r="345" ht="15">
      <c r="A345" s="265"/>
    </row>
    <row r="346" ht="15">
      <c r="A346" s="265"/>
    </row>
    <row r="347" ht="15">
      <c r="A347" s="265"/>
    </row>
    <row r="348" ht="15">
      <c r="A348" s="265"/>
    </row>
    <row r="349" ht="15">
      <c r="A349" s="265"/>
    </row>
    <row r="350" ht="15">
      <c r="A350" s="265"/>
    </row>
    <row r="351" ht="15">
      <c r="A351" s="265"/>
    </row>
    <row r="352" ht="15">
      <c r="A352" s="265"/>
    </row>
    <row r="353" ht="15">
      <c r="A353" s="265"/>
    </row>
    <row r="354" ht="15">
      <c r="A354" s="265"/>
    </row>
    <row r="355" ht="15">
      <c r="A355" s="265"/>
    </row>
    <row r="356" ht="15">
      <c r="A356" s="265"/>
    </row>
    <row r="357" ht="15">
      <c r="A357" s="265"/>
    </row>
    <row r="358" ht="15">
      <c r="A358" s="265"/>
    </row>
    <row r="359" ht="15">
      <c r="A359" s="265"/>
    </row>
    <row r="360" ht="15">
      <c r="A360" s="265"/>
    </row>
    <row r="361" ht="15">
      <c r="A361" s="265"/>
    </row>
    <row r="362" ht="15">
      <c r="A362" s="265"/>
    </row>
    <row r="363" ht="15">
      <c r="A363" s="265"/>
    </row>
    <row r="364" ht="15">
      <c r="A364" s="265"/>
    </row>
    <row r="365" ht="15">
      <c r="A365" s="265"/>
    </row>
    <row r="366" ht="15">
      <c r="A366" s="265"/>
    </row>
    <row r="367" ht="15">
      <c r="A367" s="265"/>
    </row>
    <row r="368" ht="15">
      <c r="A368" s="265"/>
    </row>
    <row r="369" ht="15">
      <c r="A369" s="265"/>
    </row>
    <row r="370" ht="15">
      <c r="A370" s="265"/>
    </row>
    <row r="371" ht="15">
      <c r="A371" s="265"/>
    </row>
  </sheetData>
  <sheetProtection password="EC35" sheet="1" objects="1" scenarios="1"/>
  <mergeCells count="1">
    <mergeCell ref="L1:L118"/>
  </mergeCells>
  <dataValidations count="4">
    <dataValidation allowBlank="1" showInputMessage="1" showErrorMessage="1" promptTitle="DEFAULT FORMULA" prompt="You will have to replace this formula with the total amount for all dependants, if you have more than 1 dependants." sqref="I65"/>
    <dataValidation allowBlank="1" showInputMessage="1" showErrorMessage="1" promptTitle="DEFAULT FORMULA" prompt="If you have more than one dependant, calculate the values one at a time using the above and when finished, enter the total amount here." sqref="I97"/>
    <dataValidation allowBlank="1" showInputMessage="1" showErrorMessage="1" promptTitle="DEFAULT FORMULA" prompt="If you have more than one eligible dependant amount to transfer, then enter the total of all the amounts on this line." sqref="I128"/>
    <dataValidation allowBlank="1" showErrorMessage="1" sqref="I129:I132"/>
  </dataValidations>
  <printOptions horizontalCentered="1"/>
  <pageMargins left="0" right="0" top="0" bottom="0" header="0.511811023622047" footer="0.511811023622047"/>
  <pageSetup fitToHeight="0" fitToWidth="1" horizontalDpi="600" verticalDpi="600" orientation="portrait" scale="72" r:id="rId3"/>
  <headerFooter alignWithMargins="0">
    <oddFooter>&amp;L&amp;9 5000-D1</oddFooter>
  </headerFooter>
  <rowBreaks count="2" manualBreakCount="2">
    <brk id="56" max="10" man="1"/>
    <brk id="116" max="10" man="1"/>
  </rowBreaks>
  <legacyDrawing r:id="rId2"/>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L115"/>
  <sheetViews>
    <sheetView zoomScalePageLayoutView="0" workbookViewId="0" topLeftCell="A1">
      <selection activeCell="A1" sqref="A1"/>
    </sheetView>
  </sheetViews>
  <sheetFormatPr defaultColWidth="9.77734375" defaultRowHeight="15"/>
  <cols>
    <col min="1" max="1" width="40.3359375" style="0" customWidth="1"/>
    <col min="2" max="2" width="5.77734375" style="0" customWidth="1"/>
    <col min="3" max="3" width="12.77734375" style="0" customWidth="1"/>
    <col min="4" max="4" width="5.77734375" style="0" customWidth="1"/>
    <col min="5" max="5" width="12.77734375" style="0" customWidth="1"/>
    <col min="6" max="6" width="4.88671875" style="0" customWidth="1"/>
    <col min="7" max="7" width="12.77734375" style="0" customWidth="1"/>
    <col min="8" max="8" width="4.3359375" style="0" customWidth="1"/>
    <col min="9" max="9" width="12.77734375" style="0" customWidth="1"/>
    <col min="10" max="10" width="3.5546875" style="0" customWidth="1"/>
    <col min="11" max="11" width="3.10546875" style="0" customWidth="1"/>
  </cols>
  <sheetData>
    <row r="1" spans="1:12" ht="15">
      <c r="A1" s="177"/>
      <c r="B1" s="177"/>
      <c r="C1" s="177"/>
      <c r="D1" s="177"/>
      <c r="E1" s="177"/>
      <c r="F1" s="177"/>
      <c r="G1" s="177"/>
      <c r="H1" s="177"/>
      <c r="I1" s="177"/>
      <c r="J1" s="177"/>
      <c r="L1" s="1566" t="s">
        <v>35</v>
      </c>
    </row>
    <row r="2" spans="1:12" ht="24.75" customHeight="1">
      <c r="A2" s="208"/>
      <c r="B2" s="208"/>
      <c r="C2" s="229"/>
      <c r="D2" s="230" t="s">
        <v>1569</v>
      </c>
      <c r="E2" s="208"/>
      <c r="F2" s="208"/>
      <c r="G2" s="208"/>
      <c r="H2" s="208"/>
      <c r="I2" s="231" t="str">
        <f>yeartext</f>
        <v>2009</v>
      </c>
      <c r="J2" s="208"/>
      <c r="L2" s="1566"/>
    </row>
    <row r="3" spans="1:12" ht="15" customHeight="1">
      <c r="A3" s="208"/>
      <c r="B3" s="208"/>
      <c r="C3" s="208"/>
      <c r="D3" s="230"/>
      <c r="E3" s="208"/>
      <c r="F3" s="208"/>
      <c r="G3" s="208"/>
      <c r="H3" s="208"/>
      <c r="I3" s="217" t="s">
        <v>1570</v>
      </c>
      <c r="J3" s="208"/>
      <c r="L3" s="1566"/>
    </row>
    <row r="4" spans="1:12" ht="15.75" customHeight="1">
      <c r="A4" s="208"/>
      <c r="B4" s="208"/>
      <c r="C4" s="208"/>
      <c r="D4" s="230"/>
      <c r="E4" s="208"/>
      <c r="F4" s="208"/>
      <c r="G4" s="208"/>
      <c r="H4" s="208"/>
      <c r="I4" s="217"/>
      <c r="J4" s="217"/>
      <c r="L4" s="1566"/>
    </row>
    <row r="5" spans="1:12" ht="24.75" customHeight="1">
      <c r="A5" s="208" t="s">
        <v>2666</v>
      </c>
      <c r="B5" s="208"/>
      <c r="C5" s="208"/>
      <c r="D5" s="230"/>
      <c r="E5" s="208"/>
      <c r="F5" s="208"/>
      <c r="G5" s="208"/>
      <c r="H5" s="208"/>
      <c r="I5" s="217"/>
      <c r="J5" s="217"/>
      <c r="L5" s="1566"/>
    </row>
    <row r="6" spans="1:12" ht="15.75" customHeight="1">
      <c r="A6" s="208" t="s">
        <v>1441</v>
      </c>
      <c r="B6" s="208"/>
      <c r="C6" s="208"/>
      <c r="D6" s="230"/>
      <c r="E6" s="208"/>
      <c r="F6" s="208"/>
      <c r="G6" s="208"/>
      <c r="H6" s="208"/>
      <c r="I6" s="217"/>
      <c r="J6" s="217"/>
      <c r="L6" s="1566"/>
    </row>
    <row r="7" spans="1:12" ht="23.25">
      <c r="A7" s="208" t="s">
        <v>150</v>
      </c>
      <c r="B7" s="208"/>
      <c r="C7" s="208"/>
      <c r="D7" s="230"/>
      <c r="E7" s="208"/>
      <c r="F7" s="208"/>
      <c r="G7" s="208"/>
      <c r="H7" s="208"/>
      <c r="I7" s="217"/>
      <c r="J7" s="217"/>
      <c r="L7" s="1566"/>
    </row>
    <row r="8" spans="1:12" ht="6.75" customHeight="1">
      <c r="A8" s="208"/>
      <c r="B8" s="208"/>
      <c r="C8" s="208"/>
      <c r="D8" s="230"/>
      <c r="E8" s="208"/>
      <c r="F8" s="208"/>
      <c r="G8" s="208"/>
      <c r="H8" s="208"/>
      <c r="I8" s="217"/>
      <c r="J8" s="217"/>
      <c r="L8" s="1566"/>
    </row>
    <row r="9" spans="1:12" ht="23.25">
      <c r="A9" s="210" t="s">
        <v>614</v>
      </c>
      <c r="B9" s="208"/>
      <c r="C9" s="208"/>
      <c r="D9" s="230"/>
      <c r="E9" s="208"/>
      <c r="F9" s="208"/>
      <c r="G9" s="208"/>
      <c r="H9" s="208"/>
      <c r="I9" s="217"/>
      <c r="J9" s="217"/>
      <c r="L9" s="1566"/>
    </row>
    <row r="10" spans="1:12" ht="27" customHeight="1">
      <c r="A10" s="272" t="s">
        <v>1341</v>
      </c>
      <c r="B10" s="211"/>
      <c r="C10" s="211"/>
      <c r="D10" s="273"/>
      <c r="E10" s="211"/>
      <c r="F10" s="211"/>
      <c r="G10" s="272"/>
      <c r="H10" s="276"/>
      <c r="I10" s="612">
        <f>IF(age&gt;64,fract*4675,0)</f>
        <v>0</v>
      </c>
      <c r="J10" s="269" t="s">
        <v>1281</v>
      </c>
      <c r="L10" s="1566"/>
    </row>
    <row r="11" spans="1:12" ht="15.75" customHeight="1">
      <c r="A11" s="274" t="s">
        <v>1585</v>
      </c>
      <c r="B11" s="214"/>
      <c r="C11" s="214"/>
      <c r="D11" s="275"/>
      <c r="E11" s="214"/>
      <c r="F11" s="208"/>
      <c r="G11" s="613">
        <f>'T1 GEN-2-3-4'!$K$90</f>
        <v>0</v>
      </c>
      <c r="H11" s="269" t="s">
        <v>1314</v>
      </c>
      <c r="I11" s="270"/>
      <c r="J11" s="270"/>
      <c r="L11" s="1566"/>
    </row>
    <row r="12" spans="1:12" ht="15.75" customHeight="1" thickBot="1">
      <c r="A12" s="274" t="s">
        <v>1580</v>
      </c>
      <c r="B12" s="214"/>
      <c r="C12" s="214"/>
      <c r="D12" s="275"/>
      <c r="E12" s="214"/>
      <c r="F12" s="208"/>
      <c r="G12" s="703">
        <f>34799*fract</f>
        <v>34799</v>
      </c>
      <c r="H12" s="269" t="s">
        <v>1315</v>
      </c>
      <c r="I12" s="270"/>
      <c r="J12" s="270"/>
      <c r="L12" s="1566"/>
    </row>
    <row r="13" spans="1:12" ht="15.75" customHeight="1">
      <c r="A13" s="274" t="s">
        <v>377</v>
      </c>
      <c r="B13" s="214"/>
      <c r="C13" s="214"/>
      <c r="D13" s="275"/>
      <c r="E13" s="214"/>
      <c r="F13" s="208"/>
      <c r="G13" s="462">
        <f>MAXA(0,G11-G12)</f>
        <v>0</v>
      </c>
      <c r="H13" s="269" t="s">
        <v>1316</v>
      </c>
      <c r="I13" s="270"/>
      <c r="J13" s="270"/>
      <c r="L13" s="1566"/>
    </row>
    <row r="14" spans="1:12" ht="15.75" customHeight="1" thickBot="1">
      <c r="A14" s="274" t="s">
        <v>378</v>
      </c>
      <c r="B14" s="214"/>
      <c r="C14" s="214"/>
      <c r="D14" s="275"/>
      <c r="E14" s="214"/>
      <c r="F14" s="208"/>
      <c r="G14" s="747">
        <v>0.15</v>
      </c>
      <c r="H14" s="269" t="s">
        <v>1317</v>
      </c>
      <c r="I14" s="270"/>
      <c r="J14" s="270"/>
      <c r="L14" s="1566"/>
    </row>
    <row r="15" spans="1:12" ht="15.75" customHeight="1">
      <c r="A15" s="274" t="s">
        <v>907</v>
      </c>
      <c r="B15" s="214"/>
      <c r="C15" s="214"/>
      <c r="D15" s="275"/>
      <c r="E15" s="214"/>
      <c r="F15" s="208"/>
      <c r="G15" s="462">
        <f>G14*G13</f>
        <v>0</v>
      </c>
      <c r="H15" s="1128" t="s">
        <v>1886</v>
      </c>
      <c r="I15" s="462">
        <f>G15</f>
        <v>0</v>
      </c>
      <c r="J15" s="269" t="s">
        <v>1318</v>
      </c>
      <c r="L15" s="1566"/>
    </row>
    <row r="16" spans="1:12" ht="15.75" customHeight="1">
      <c r="A16" s="274" t="s">
        <v>1065</v>
      </c>
      <c r="B16" s="214"/>
      <c r="C16" s="214"/>
      <c r="D16" s="275"/>
      <c r="E16" s="214"/>
      <c r="F16" s="211"/>
      <c r="G16" s="272"/>
      <c r="H16" s="276"/>
      <c r="I16" s="700">
        <f>MAXA(0,I10-I15)</f>
        <v>0</v>
      </c>
      <c r="J16" s="269" t="s">
        <v>1527</v>
      </c>
      <c r="L16" s="1566"/>
    </row>
    <row r="17" spans="1:12" ht="34.5" customHeight="1">
      <c r="A17" s="276"/>
      <c r="B17" s="208"/>
      <c r="C17" s="208"/>
      <c r="D17" s="230"/>
      <c r="E17" s="208"/>
      <c r="F17" s="208"/>
      <c r="G17" s="276"/>
      <c r="H17" s="276"/>
      <c r="I17" s="270"/>
      <c r="J17" s="270"/>
      <c r="L17" s="1566"/>
    </row>
    <row r="18" spans="1:12" ht="28.5" customHeight="1">
      <c r="A18" s="429" t="s">
        <v>30</v>
      </c>
      <c r="B18" s="208"/>
      <c r="C18" s="208"/>
      <c r="D18" s="230"/>
      <c r="E18" s="208"/>
      <c r="F18" s="208"/>
      <c r="G18" s="276"/>
      <c r="H18" s="276"/>
      <c r="I18" s="270"/>
      <c r="J18" s="270"/>
      <c r="L18" s="1566"/>
    </row>
    <row r="19" spans="1:12" ht="23.25">
      <c r="A19" s="279" t="s">
        <v>2069</v>
      </c>
      <c r="B19" s="208"/>
      <c r="C19" s="208"/>
      <c r="D19" s="230"/>
      <c r="E19" s="208"/>
      <c r="F19" s="208"/>
      <c r="G19" s="276"/>
      <c r="H19" s="276"/>
      <c r="I19" s="270"/>
      <c r="J19" s="270"/>
      <c r="L19" s="1566"/>
    </row>
    <row r="20" spans="1:12" ht="15.75" customHeight="1">
      <c r="A20" s="272" t="s">
        <v>1580</v>
      </c>
      <c r="B20" s="211"/>
      <c r="C20" s="211"/>
      <c r="D20" s="273"/>
      <c r="E20" s="211"/>
      <c r="F20" s="211"/>
      <c r="G20" s="272"/>
      <c r="H20" s="276"/>
      <c r="I20" s="462">
        <f>16125*fract</f>
        <v>16125</v>
      </c>
      <c r="J20" s="269" t="s">
        <v>1281</v>
      </c>
      <c r="L20" s="1566"/>
    </row>
    <row r="21" spans="1:12" ht="15.75" customHeight="1" thickBot="1">
      <c r="A21" s="274" t="s">
        <v>654</v>
      </c>
      <c r="B21" s="214"/>
      <c r="C21" s="214"/>
      <c r="D21" s="275"/>
      <c r="E21" s="214"/>
      <c r="F21" s="214"/>
      <c r="G21" s="274"/>
      <c r="H21" s="276"/>
      <c r="I21" s="701"/>
      <c r="J21" s="269" t="s">
        <v>1314</v>
      </c>
      <c r="L21" s="1566"/>
    </row>
    <row r="22" spans="1:12" ht="15.75" customHeight="1">
      <c r="A22" s="274" t="s">
        <v>2652</v>
      </c>
      <c r="B22" s="214"/>
      <c r="C22" s="214"/>
      <c r="D22" s="275"/>
      <c r="E22" s="214"/>
      <c r="F22" s="214"/>
      <c r="G22" s="274"/>
      <c r="H22" s="276"/>
      <c r="I22" s="462">
        <f>IF((I20-I21)&gt;9710,9710,MAXA(0,I20-I21))</f>
        <v>9710</v>
      </c>
      <c r="J22" s="269" t="s">
        <v>1315</v>
      </c>
      <c r="L22" s="1566"/>
    </row>
    <row r="23" spans="1:12" ht="15.75" customHeight="1">
      <c r="A23" s="274" t="s">
        <v>2529</v>
      </c>
      <c r="B23" s="214"/>
      <c r="C23" s="214"/>
      <c r="D23" s="275"/>
      <c r="E23" s="214"/>
      <c r="F23" s="214"/>
      <c r="G23" s="274"/>
      <c r="H23" s="276"/>
      <c r="I23" s="154"/>
      <c r="J23" s="269" t="s">
        <v>1316</v>
      </c>
      <c r="L23" s="1566"/>
    </row>
    <row r="24" spans="1:12" ht="15.75" customHeight="1">
      <c r="A24" s="274" t="s">
        <v>82</v>
      </c>
      <c r="B24" s="214"/>
      <c r="C24" s="214"/>
      <c r="D24" s="275"/>
      <c r="E24" s="214"/>
      <c r="F24" s="214"/>
      <c r="G24" s="274"/>
      <c r="H24" s="276"/>
      <c r="I24" s="700">
        <f>MAXA(0,I22-I23)</f>
        <v>9710</v>
      </c>
      <c r="J24" s="269" t="s">
        <v>1317</v>
      </c>
      <c r="L24" s="1566"/>
    </row>
    <row r="25" spans="1:12" ht="24.75" customHeight="1">
      <c r="A25" s="748" t="s">
        <v>244</v>
      </c>
      <c r="B25" s="208"/>
      <c r="C25" s="208"/>
      <c r="D25" s="230"/>
      <c r="E25" s="208"/>
      <c r="F25" s="208"/>
      <c r="G25" s="276"/>
      <c r="H25" s="276"/>
      <c r="I25" s="270"/>
      <c r="J25" s="270"/>
      <c r="L25" s="1566"/>
    </row>
    <row r="26" spans="1:12" ht="15.75" customHeight="1">
      <c r="A26" s="71" t="s">
        <v>1806</v>
      </c>
      <c r="B26" s="69"/>
      <c r="C26" s="69"/>
      <c r="D26" s="69"/>
      <c r="E26" s="69"/>
      <c r="F26" s="70" t="s">
        <v>83</v>
      </c>
      <c r="G26" s="153">
        <f>I24</f>
        <v>9710</v>
      </c>
      <c r="H26" s="276"/>
      <c r="I26" s="270"/>
      <c r="J26" s="270"/>
      <c r="L26" s="1566"/>
    </row>
    <row r="27" spans="1:12" ht="28.5" customHeight="1">
      <c r="A27" s="276"/>
      <c r="B27" s="208"/>
      <c r="C27" s="208"/>
      <c r="D27" s="230"/>
      <c r="E27" s="208"/>
      <c r="F27" s="208"/>
      <c r="G27" s="276"/>
      <c r="H27" s="276"/>
      <c r="I27" s="270"/>
      <c r="J27" s="270"/>
      <c r="L27" s="1566"/>
    </row>
    <row r="28" spans="1:12" ht="23.25">
      <c r="A28" s="429" t="s">
        <v>1988</v>
      </c>
      <c r="B28" s="208"/>
      <c r="C28" s="208"/>
      <c r="D28" s="230"/>
      <c r="E28" s="208"/>
      <c r="F28" s="208"/>
      <c r="G28" s="276"/>
      <c r="H28" s="276"/>
      <c r="I28" s="270"/>
      <c r="J28" s="270"/>
      <c r="L28" s="1566"/>
    </row>
    <row r="29" spans="1:12" ht="23.25">
      <c r="A29" s="430" t="s">
        <v>1814</v>
      </c>
      <c r="B29" s="208"/>
      <c r="C29" s="208"/>
      <c r="D29" s="230"/>
      <c r="E29" s="208"/>
      <c r="F29" s="208"/>
      <c r="G29" s="276"/>
      <c r="H29" s="276"/>
      <c r="I29" s="270"/>
      <c r="J29" s="270"/>
      <c r="L29" s="1566"/>
    </row>
    <row r="30" spans="1:12" ht="15.75" customHeight="1">
      <c r="A30" s="272" t="s">
        <v>1580</v>
      </c>
      <c r="B30" s="211"/>
      <c r="C30" s="211"/>
      <c r="D30" s="273"/>
      <c r="E30" s="211"/>
      <c r="F30" s="211"/>
      <c r="G30" s="272"/>
      <c r="H30" s="276"/>
      <c r="I30" s="612">
        <f>25150*fract</f>
        <v>25150</v>
      </c>
      <c r="J30" s="269" t="s">
        <v>1281</v>
      </c>
      <c r="L30" s="1566"/>
    </row>
    <row r="31" spans="1:12" ht="15.75" customHeight="1" thickBot="1">
      <c r="A31" s="274" t="s">
        <v>654</v>
      </c>
      <c r="B31" s="214"/>
      <c r="C31" s="214"/>
      <c r="D31" s="275"/>
      <c r="E31" s="214"/>
      <c r="F31" s="214"/>
      <c r="G31" s="274"/>
      <c r="H31" s="276"/>
      <c r="I31" s="701"/>
      <c r="J31" s="269" t="s">
        <v>1314</v>
      </c>
      <c r="L31" s="1566"/>
    </row>
    <row r="32" spans="1:12" ht="15.75" customHeight="1">
      <c r="A32" s="274" t="s">
        <v>2653</v>
      </c>
      <c r="B32" s="214"/>
      <c r="C32" s="214"/>
      <c r="D32" s="275"/>
      <c r="E32" s="214"/>
      <c r="F32" s="214"/>
      <c r="G32" s="274"/>
      <c r="H32" s="276"/>
      <c r="I32" s="462">
        <f>IF((I30-I31)&gt;9711,9711,MAXA(0,I30-I31))</f>
        <v>9711</v>
      </c>
      <c r="J32" s="269" t="s">
        <v>1315</v>
      </c>
      <c r="L32" s="1566"/>
    </row>
    <row r="33" spans="1:12" ht="15.75" customHeight="1">
      <c r="A33" s="274" t="s">
        <v>2529</v>
      </c>
      <c r="B33" s="214"/>
      <c r="C33" s="214"/>
      <c r="D33" s="275"/>
      <c r="E33" s="214"/>
      <c r="F33" s="214"/>
      <c r="G33" s="274"/>
      <c r="H33" s="276"/>
      <c r="I33" s="154"/>
      <c r="J33" s="269" t="s">
        <v>1316</v>
      </c>
      <c r="L33" s="1566"/>
    </row>
    <row r="34" spans="1:12" ht="15.75" customHeight="1">
      <c r="A34" s="274" t="s">
        <v>82</v>
      </c>
      <c r="B34" s="214"/>
      <c r="C34" s="214"/>
      <c r="D34" s="275"/>
      <c r="E34" s="214"/>
      <c r="F34" s="214"/>
      <c r="G34" s="274"/>
      <c r="H34" s="276"/>
      <c r="I34" s="700">
        <f>MAXA(0,I32-I33)</f>
        <v>9711</v>
      </c>
      <c r="J34" s="269" t="s">
        <v>1317</v>
      </c>
      <c r="L34" s="1566"/>
    </row>
    <row r="35" spans="1:12" ht="21.75" customHeight="1">
      <c r="A35" s="748" t="s">
        <v>1815</v>
      </c>
      <c r="B35" s="208"/>
      <c r="C35" s="208"/>
      <c r="D35" s="230"/>
      <c r="E35" s="208"/>
      <c r="F35" s="208"/>
      <c r="G35" s="276"/>
      <c r="H35" s="276"/>
      <c r="I35" s="270"/>
      <c r="J35" s="270"/>
      <c r="L35" s="1566"/>
    </row>
    <row r="36" spans="1:12" ht="15.75" customHeight="1">
      <c r="A36" s="71" t="s">
        <v>2061</v>
      </c>
      <c r="B36" s="69"/>
      <c r="C36" s="69"/>
      <c r="D36" s="69"/>
      <c r="E36" s="69"/>
      <c r="F36" s="70" t="s">
        <v>83</v>
      </c>
      <c r="G36" s="153">
        <f>I34</f>
        <v>9711</v>
      </c>
      <c r="H36" s="276"/>
      <c r="I36" s="270"/>
      <c r="J36" s="270"/>
      <c r="L36" s="1566"/>
    </row>
    <row r="37" spans="1:12" ht="36.75" customHeight="1">
      <c r="A37" s="276"/>
      <c r="B37" s="208"/>
      <c r="C37" s="208"/>
      <c r="D37" s="230"/>
      <c r="E37" s="208"/>
      <c r="F37" s="208"/>
      <c r="G37" s="276"/>
      <c r="H37" s="276"/>
      <c r="I37" s="270"/>
      <c r="J37" s="270"/>
      <c r="L37" s="1566"/>
    </row>
    <row r="38" spans="1:12" ht="37.5" customHeight="1">
      <c r="A38" s="1674" t="s">
        <v>2654</v>
      </c>
      <c r="B38" s="1675"/>
      <c r="C38" s="1675"/>
      <c r="D38" s="1675"/>
      <c r="E38" s="1675"/>
      <c r="F38" s="1371" t="str">
        <f>"on December 31, "&amp;yeartext&amp;")"</f>
        <v>on December 31, 2009)</v>
      </c>
      <c r="G38" s="276"/>
      <c r="H38" s="276"/>
      <c r="I38" s="270"/>
      <c r="J38" s="270"/>
      <c r="L38" s="1566"/>
    </row>
    <row r="39" spans="1:12" ht="21.75" customHeight="1">
      <c r="A39" s="272" t="s">
        <v>1684</v>
      </c>
      <c r="B39" s="272"/>
      <c r="C39" s="272"/>
      <c r="D39" s="281"/>
      <c r="E39" s="272"/>
      <c r="F39" s="272"/>
      <c r="G39" s="272"/>
      <c r="H39" s="276"/>
      <c r="I39" s="462">
        <v>9710</v>
      </c>
      <c r="J39" s="269" t="s">
        <v>1281</v>
      </c>
      <c r="L39" s="1566"/>
    </row>
    <row r="40" spans="1:12" ht="15.75" customHeight="1">
      <c r="A40" s="274" t="s">
        <v>112</v>
      </c>
      <c r="B40" s="274"/>
      <c r="C40" s="274"/>
      <c r="D40" s="282"/>
      <c r="E40" s="274"/>
      <c r="F40" s="276"/>
      <c r="G40" s="154"/>
      <c r="H40" s="269" t="s">
        <v>1314</v>
      </c>
      <c r="I40" s="270"/>
      <c r="J40" s="270"/>
      <c r="L40" s="1566"/>
    </row>
    <row r="41" spans="1:12" ht="15.75" customHeight="1">
      <c r="A41" s="274" t="s">
        <v>1523</v>
      </c>
      <c r="B41" s="274"/>
      <c r="C41" s="274"/>
      <c r="D41" s="282"/>
      <c r="E41" s="274"/>
      <c r="F41" s="276"/>
      <c r="G41" s="613">
        <v>2648</v>
      </c>
      <c r="H41" s="269" t="s">
        <v>1315</v>
      </c>
      <c r="I41" s="270"/>
      <c r="J41" s="270"/>
      <c r="L41" s="1566"/>
    </row>
    <row r="42" spans="1:12" ht="15.75" customHeight="1">
      <c r="A42" s="274" t="s">
        <v>377</v>
      </c>
      <c r="B42" s="274"/>
      <c r="C42" s="274"/>
      <c r="D42" s="282"/>
      <c r="E42" s="274"/>
      <c r="F42" s="276"/>
      <c r="G42" s="613">
        <f>MAXA(0,G40-G41)</f>
        <v>0</v>
      </c>
      <c r="H42" s="1128" t="s">
        <v>1886</v>
      </c>
      <c r="I42" s="462">
        <f>G42</f>
        <v>0</v>
      </c>
      <c r="J42" s="269" t="s">
        <v>1316</v>
      </c>
      <c r="L42" s="1566"/>
    </row>
    <row r="43" spans="1:12" ht="15.75" customHeight="1">
      <c r="A43" s="274" t="s">
        <v>1964</v>
      </c>
      <c r="B43" s="274"/>
      <c r="C43" s="274"/>
      <c r="D43" s="282"/>
      <c r="E43" s="274"/>
      <c r="F43" s="272"/>
      <c r="G43" s="272"/>
      <c r="H43" s="276"/>
      <c r="I43" s="700">
        <f>MAXA(0,I39-I42)</f>
        <v>9710</v>
      </c>
      <c r="J43" s="269" t="s">
        <v>1317</v>
      </c>
      <c r="L43" s="1566"/>
    </row>
    <row r="44" spans="1:12" ht="15.75" customHeight="1">
      <c r="A44" s="276" t="s">
        <v>2655</v>
      </c>
      <c r="B44" s="276"/>
      <c r="C44" s="276"/>
      <c r="D44" s="280"/>
      <c r="E44" s="276"/>
      <c r="F44" s="276"/>
      <c r="G44" s="276"/>
      <c r="H44" s="276"/>
      <c r="I44" s="270"/>
      <c r="J44" s="270"/>
      <c r="L44" s="1566"/>
    </row>
    <row r="45" spans="1:12" ht="15.75" customHeight="1">
      <c r="A45" s="276" t="s">
        <v>988</v>
      </c>
      <c r="B45" s="276"/>
      <c r="C45" s="276"/>
      <c r="D45" s="280"/>
      <c r="E45" s="276"/>
      <c r="F45" s="276"/>
      <c r="G45" s="276"/>
      <c r="H45" s="285" t="s">
        <v>40</v>
      </c>
      <c r="I45" s="462">
        <f>12940+IF(age&gt;=18,0,I43)</f>
        <v>12940</v>
      </c>
      <c r="J45" s="270"/>
      <c r="L45" s="1566"/>
    </row>
    <row r="46" spans="1:12" ht="15.75" customHeight="1">
      <c r="A46" s="459" t="s">
        <v>1322</v>
      </c>
      <c r="B46" s="71"/>
      <c r="C46" s="71"/>
      <c r="D46" s="71"/>
      <c r="E46" s="71"/>
      <c r="F46" s="71"/>
      <c r="G46" s="276"/>
      <c r="H46" s="276"/>
      <c r="I46" s="270"/>
      <c r="J46" s="270"/>
      <c r="L46" s="1566"/>
    </row>
    <row r="47" spans="1:12" ht="27" customHeight="1">
      <c r="A47" s="279"/>
      <c r="B47" s="1372" t="s">
        <v>742</v>
      </c>
      <c r="C47" s="280"/>
      <c r="D47" s="280"/>
      <c r="E47" s="276"/>
      <c r="F47" s="276"/>
      <c r="G47" s="276"/>
      <c r="H47" s="276"/>
      <c r="I47" s="270"/>
      <c r="J47" s="270"/>
      <c r="L47" s="1566"/>
    </row>
    <row r="48" spans="1:12" ht="33" customHeight="1">
      <c r="A48" s="1150" t="s">
        <v>825</v>
      </c>
      <c r="B48" s="276"/>
      <c r="C48" s="276"/>
      <c r="D48" s="280"/>
      <c r="E48" s="276"/>
      <c r="F48" s="276"/>
      <c r="G48" s="276"/>
      <c r="H48" s="276"/>
      <c r="I48" s="270"/>
      <c r="J48" s="270"/>
      <c r="L48" s="1566"/>
    </row>
    <row r="49" spans="1:12" ht="36" customHeight="1">
      <c r="A49" s="279" t="s">
        <v>1046</v>
      </c>
      <c r="B49" s="276"/>
      <c r="C49" s="276"/>
      <c r="D49" s="280"/>
      <c r="E49" s="276"/>
      <c r="F49" s="276"/>
      <c r="G49" s="276"/>
      <c r="H49" s="276"/>
      <c r="I49" s="270"/>
      <c r="J49" s="270"/>
      <c r="L49" s="1566"/>
    </row>
    <row r="50" spans="1:12" ht="15.75" customHeight="1">
      <c r="A50" s="272" t="s">
        <v>1523</v>
      </c>
      <c r="B50" s="272"/>
      <c r="C50" s="272"/>
      <c r="D50" s="281"/>
      <c r="E50" s="272"/>
      <c r="F50" s="272"/>
      <c r="G50" s="272"/>
      <c r="H50" s="276"/>
      <c r="I50" s="462">
        <f>12940*fract</f>
        <v>12940</v>
      </c>
      <c r="J50" s="269" t="s">
        <v>1281</v>
      </c>
      <c r="L50" s="1566"/>
    </row>
    <row r="51" spans="1:12" ht="15.75" customHeight="1">
      <c r="A51" s="278" t="str">
        <f>"If the dependant was under age 18 on December 31, "&amp;yeartext&amp;", enter the amount from line 5 of the calculation for"</f>
        <v>If the dependant was under age 18 on December 31, 2009, enter the amount from line 5 of the calculation for</v>
      </c>
      <c r="B51" s="278"/>
      <c r="C51" s="278"/>
      <c r="D51" s="283"/>
      <c r="E51" s="278"/>
      <c r="F51" s="278"/>
      <c r="G51" s="278"/>
      <c r="H51" s="276"/>
      <c r="I51" s="285"/>
      <c r="J51" s="270"/>
      <c r="L51" s="1566"/>
    </row>
    <row r="52" spans="1:12" ht="15.75" customHeight="1" thickBot="1">
      <c r="A52" s="272" t="s">
        <v>1348</v>
      </c>
      <c r="B52" s="272"/>
      <c r="C52" s="272"/>
      <c r="D52" s="281"/>
      <c r="E52" s="272"/>
      <c r="F52" s="272"/>
      <c r="G52" s="272"/>
      <c r="H52" s="276"/>
      <c r="I52" s="702"/>
      <c r="J52" s="269" t="s">
        <v>1314</v>
      </c>
      <c r="L52" s="1566"/>
    </row>
    <row r="53" spans="1:12" ht="15.75" customHeight="1">
      <c r="A53" s="274" t="s">
        <v>1738</v>
      </c>
      <c r="B53" s="274"/>
      <c r="C53" s="274"/>
      <c r="D53" s="282"/>
      <c r="E53" s="274"/>
      <c r="F53" s="274"/>
      <c r="G53" s="274"/>
      <c r="H53" s="276"/>
      <c r="I53" s="462">
        <f>I50+I52</f>
        <v>12940</v>
      </c>
      <c r="J53" s="269" t="s">
        <v>1315</v>
      </c>
      <c r="L53" s="1566"/>
    </row>
    <row r="54" spans="1:12" ht="15.75" customHeight="1" thickBot="1">
      <c r="A54" s="274" t="s">
        <v>1485</v>
      </c>
      <c r="B54" s="274"/>
      <c r="C54" s="274"/>
      <c r="D54" s="282"/>
      <c r="E54" s="274"/>
      <c r="F54" s="274"/>
      <c r="G54" s="274"/>
      <c r="H54" s="276"/>
      <c r="I54" s="701"/>
      <c r="J54" s="269" t="s">
        <v>1316</v>
      </c>
      <c r="L54" s="1566"/>
    </row>
    <row r="55" spans="1:12" ht="15.75" customHeight="1">
      <c r="A55" s="274" t="s">
        <v>2131</v>
      </c>
      <c r="B55" s="274"/>
      <c r="C55" s="274"/>
      <c r="D55" s="282"/>
      <c r="E55" s="274"/>
      <c r="F55" s="274"/>
      <c r="G55" s="274"/>
      <c r="H55" s="276"/>
      <c r="I55" s="462">
        <f>I53+I54</f>
        <v>12940</v>
      </c>
      <c r="J55" s="269" t="s">
        <v>1317</v>
      </c>
      <c r="L55" s="1566"/>
    </row>
    <row r="56" spans="1:12" ht="15.75" customHeight="1">
      <c r="A56" s="274" t="s">
        <v>709</v>
      </c>
      <c r="B56" s="274"/>
      <c r="C56" s="274"/>
      <c r="D56" s="282"/>
      <c r="E56" s="274"/>
      <c r="F56" s="274"/>
      <c r="G56" s="274"/>
      <c r="H56" s="276"/>
      <c r="I56" s="154"/>
      <c r="J56" s="269" t="s">
        <v>1318</v>
      </c>
      <c r="L56" s="1566"/>
    </row>
    <row r="57" spans="1:12" ht="15.75" customHeight="1">
      <c r="A57" s="278" t="s">
        <v>2656</v>
      </c>
      <c r="B57" s="278"/>
      <c r="C57" s="278"/>
      <c r="D57" s="283"/>
      <c r="E57" s="278"/>
      <c r="F57" s="278"/>
      <c r="G57" s="278"/>
      <c r="H57" s="276"/>
      <c r="I57" s="285"/>
      <c r="J57" s="270"/>
      <c r="L57" s="1566"/>
    </row>
    <row r="58" spans="1:12" ht="15.75" customHeight="1">
      <c r="A58" s="272" t="s">
        <v>1468</v>
      </c>
      <c r="B58" s="272"/>
      <c r="C58" s="272"/>
      <c r="D58" s="281"/>
      <c r="E58" s="272"/>
      <c r="F58" s="272"/>
      <c r="G58" s="272"/>
      <c r="H58" s="276"/>
      <c r="I58" s="700">
        <f>MAXA(0,I55-I56)</f>
        <v>12940</v>
      </c>
      <c r="J58" s="269" t="s">
        <v>1527</v>
      </c>
      <c r="L58" s="1566"/>
    </row>
    <row r="59" spans="1:12" ht="15.75" customHeight="1">
      <c r="A59" s="276"/>
      <c r="B59" s="276"/>
      <c r="C59" s="276"/>
      <c r="D59" s="280"/>
      <c r="E59" s="276"/>
      <c r="F59" s="285" t="s">
        <v>484</v>
      </c>
      <c r="G59" s="613">
        <f>MINA(I53,I58)</f>
        <v>12940</v>
      </c>
      <c r="H59" s="276"/>
      <c r="I59" s="285"/>
      <c r="J59" s="270"/>
      <c r="L59" s="1566"/>
    </row>
    <row r="60" spans="1:12" ht="15.75" customHeight="1">
      <c r="A60" s="279"/>
      <c r="B60" s="276"/>
      <c r="C60" s="276"/>
      <c r="D60" s="280"/>
      <c r="E60" s="276"/>
      <c r="F60" s="276"/>
      <c r="G60" s="276"/>
      <c r="H60" s="276"/>
      <c r="I60" s="285"/>
      <c r="J60" s="270"/>
      <c r="L60" s="1566"/>
    </row>
    <row r="61" spans="1:12" ht="15.75" customHeight="1">
      <c r="A61" s="276" t="s">
        <v>483</v>
      </c>
      <c r="B61" s="276"/>
      <c r="C61" s="276"/>
      <c r="D61" s="280"/>
      <c r="E61" s="69"/>
      <c r="F61" s="70" t="s">
        <v>83</v>
      </c>
      <c r="G61" s="153">
        <f>G59</f>
        <v>12940</v>
      </c>
      <c r="H61" s="276"/>
      <c r="I61" s="285"/>
      <c r="J61" s="270"/>
      <c r="L61" s="1566"/>
    </row>
    <row r="62" spans="1:12" ht="21" customHeight="1">
      <c r="A62" s="1442" t="s">
        <v>1244</v>
      </c>
      <c r="B62" s="276"/>
      <c r="C62" s="276"/>
      <c r="D62" s="280"/>
      <c r="E62" s="276"/>
      <c r="F62" s="276"/>
      <c r="G62" s="276"/>
      <c r="H62" s="276"/>
      <c r="I62" s="270"/>
      <c r="J62" s="270"/>
      <c r="L62" s="1566"/>
    </row>
    <row r="63" spans="1:12" ht="15.75" customHeight="1">
      <c r="A63" s="276" t="s">
        <v>1816</v>
      </c>
      <c r="B63" s="276"/>
      <c r="C63" s="276"/>
      <c r="D63" s="280"/>
      <c r="E63" s="276"/>
      <c r="F63" s="276"/>
      <c r="G63" s="276"/>
      <c r="H63" s="276"/>
      <c r="I63" s="270"/>
      <c r="J63" s="270"/>
      <c r="L63" s="1566"/>
    </row>
    <row r="64" spans="1:12" ht="27.75" customHeight="1">
      <c r="A64" s="276"/>
      <c r="B64" s="276"/>
      <c r="C64" s="276"/>
      <c r="D64" s="280"/>
      <c r="E64" s="276"/>
      <c r="F64" s="276"/>
      <c r="G64" s="276"/>
      <c r="H64" s="276"/>
      <c r="I64" s="270"/>
      <c r="J64" s="270"/>
      <c r="L64" s="1566"/>
    </row>
    <row r="65" spans="1:12" ht="33.75" customHeight="1">
      <c r="A65" s="1150" t="s">
        <v>2395</v>
      </c>
      <c r="B65" s="276"/>
      <c r="C65" s="276"/>
      <c r="D65" s="280"/>
      <c r="E65" s="276"/>
      <c r="F65" s="276"/>
      <c r="G65" s="276"/>
      <c r="H65" s="276"/>
      <c r="I65" s="270"/>
      <c r="J65" s="270"/>
      <c r="L65" s="1566"/>
    </row>
    <row r="66" spans="1:12" ht="24" customHeight="1">
      <c r="A66" s="279" t="s">
        <v>1046</v>
      </c>
      <c r="B66" s="276"/>
      <c r="C66" s="276"/>
      <c r="D66" s="280"/>
      <c r="E66" s="276"/>
      <c r="F66" s="276"/>
      <c r="G66" s="276"/>
      <c r="H66" s="276"/>
      <c r="I66" s="270"/>
      <c r="J66" s="270"/>
      <c r="L66" s="1566"/>
    </row>
    <row r="67" spans="1:12" ht="15.75" customHeight="1">
      <c r="A67" s="272" t="s">
        <v>2396</v>
      </c>
      <c r="B67" s="272"/>
      <c r="C67" s="272"/>
      <c r="D67" s="281"/>
      <c r="E67" s="272"/>
      <c r="F67" s="272"/>
      <c r="G67" s="272"/>
      <c r="H67" s="276"/>
      <c r="I67" s="153"/>
      <c r="J67" s="269" t="s">
        <v>1281</v>
      </c>
      <c r="L67" s="1566"/>
    </row>
    <row r="68" spans="1:12" ht="15.75" customHeight="1">
      <c r="A68" s="274" t="s">
        <v>1012</v>
      </c>
      <c r="B68" s="272"/>
      <c r="C68" s="272"/>
      <c r="D68" s="281"/>
      <c r="E68" s="272"/>
      <c r="F68" s="272"/>
      <c r="G68" s="272"/>
      <c r="H68" s="276"/>
      <c r="I68" s="153"/>
      <c r="J68" s="269"/>
      <c r="L68" s="1566"/>
    </row>
    <row r="69" spans="1:12" ht="15.75" customHeight="1">
      <c r="A69" s="274" t="s">
        <v>2657</v>
      </c>
      <c r="B69" s="274"/>
      <c r="C69" s="274"/>
      <c r="D69" s="282"/>
      <c r="E69" s="274"/>
      <c r="F69" s="274"/>
      <c r="G69" s="274"/>
      <c r="H69" s="276"/>
      <c r="I69" s="613">
        <f>MIN(2168,0.03*I68)</f>
        <v>0</v>
      </c>
      <c r="J69" s="269" t="s">
        <v>1314</v>
      </c>
      <c r="L69" s="1566"/>
    </row>
    <row r="70" spans="1:12" ht="15.75" customHeight="1">
      <c r="A70" s="274" t="s">
        <v>2658</v>
      </c>
      <c r="B70" s="274"/>
      <c r="C70" s="274"/>
      <c r="D70" s="282"/>
      <c r="E70" s="274"/>
      <c r="F70" s="274"/>
      <c r="G70" s="274"/>
      <c r="H70" s="276"/>
      <c r="I70" s="613">
        <f>MIN(11473,MAXA(0,I67-I69))</f>
        <v>0</v>
      </c>
      <c r="J70" s="269" t="s">
        <v>1315</v>
      </c>
      <c r="L70" s="1566"/>
    </row>
    <row r="71" spans="1:12" ht="15.75" customHeight="1">
      <c r="A71" s="276"/>
      <c r="B71" s="276"/>
      <c r="C71" s="276"/>
      <c r="D71" s="280"/>
      <c r="E71" s="276"/>
      <c r="F71" s="276"/>
      <c r="G71" s="276"/>
      <c r="H71" s="276"/>
      <c r="I71" s="270"/>
      <c r="J71" s="270"/>
      <c r="L71" s="1566"/>
    </row>
    <row r="72" spans="1:12" ht="15.75" customHeight="1">
      <c r="A72" s="284" t="s">
        <v>1013</v>
      </c>
      <c r="B72" s="276"/>
      <c r="C72" s="276"/>
      <c r="D72" s="280"/>
      <c r="E72" s="69"/>
      <c r="F72" s="70" t="s">
        <v>83</v>
      </c>
      <c r="G72" s="153">
        <f>I70</f>
        <v>0</v>
      </c>
      <c r="H72" s="276"/>
      <c r="I72" s="270"/>
      <c r="J72" s="270"/>
      <c r="L72" s="1566"/>
    </row>
    <row r="73" spans="1:12" ht="15.75" customHeight="1">
      <c r="A73" s="284"/>
      <c r="B73" s="276"/>
      <c r="C73" s="276"/>
      <c r="D73" s="280"/>
      <c r="E73" s="276"/>
      <c r="F73" s="276"/>
      <c r="G73" s="276"/>
      <c r="H73" s="276"/>
      <c r="I73" s="270"/>
      <c r="J73" s="270"/>
      <c r="L73" s="1566"/>
    </row>
    <row r="74" spans="1:12" ht="21.75" customHeight="1">
      <c r="A74" s="1150" t="s">
        <v>743</v>
      </c>
      <c r="B74" s="276"/>
      <c r="C74" s="276"/>
      <c r="D74" s="280"/>
      <c r="E74" s="276"/>
      <c r="F74" s="276"/>
      <c r="G74" s="276"/>
      <c r="H74" s="276"/>
      <c r="I74" s="270"/>
      <c r="J74" s="270"/>
      <c r="L74" s="1566"/>
    </row>
    <row r="75" spans="1:12" ht="15.75" customHeight="1">
      <c r="A75" s="284"/>
      <c r="B75" s="276"/>
      <c r="C75" s="276"/>
      <c r="D75" s="280"/>
      <c r="E75" s="276"/>
      <c r="F75" s="276"/>
      <c r="G75" s="276"/>
      <c r="H75" s="276"/>
      <c r="I75" s="270"/>
      <c r="J75" s="270"/>
      <c r="L75" s="1566"/>
    </row>
    <row r="76" spans="1:12" ht="15.75" customHeight="1">
      <c r="A76" s="272" t="s">
        <v>744</v>
      </c>
      <c r="B76" s="272"/>
      <c r="C76" s="272"/>
      <c r="D76" s="280"/>
      <c r="E76" s="462">
        <f>Sch9!E25</f>
        <v>0</v>
      </c>
      <c r="F76" s="269" t="s">
        <v>1281</v>
      </c>
      <c r="G76" s="1373" t="s">
        <v>751</v>
      </c>
      <c r="H76" s="276"/>
      <c r="I76" s="462">
        <f>0.1*E76</f>
        <v>0</v>
      </c>
      <c r="J76" s="269" t="s">
        <v>1314</v>
      </c>
      <c r="L76" s="1566"/>
    </row>
    <row r="77" spans="1:12" ht="15.75" customHeight="1">
      <c r="A77" s="276"/>
      <c r="B77" s="276"/>
      <c r="C77" s="276"/>
      <c r="D77" s="280"/>
      <c r="E77" s="276"/>
      <c r="F77" s="276"/>
      <c r="G77" s="276"/>
      <c r="H77" s="276"/>
      <c r="I77" s="270"/>
      <c r="J77" s="270"/>
      <c r="L77" s="1566"/>
    </row>
    <row r="78" spans="1:12" ht="15.75" customHeight="1">
      <c r="A78" s="276" t="s">
        <v>745</v>
      </c>
      <c r="B78" s="276"/>
      <c r="C78" s="276"/>
      <c r="D78" s="280"/>
      <c r="E78" s="276"/>
      <c r="F78" s="276"/>
      <c r="G78" s="276"/>
      <c r="H78" s="276"/>
      <c r="I78" s="270"/>
      <c r="J78" s="270"/>
      <c r="L78" s="1566"/>
    </row>
    <row r="79" spans="1:12" ht="15.75" customHeight="1">
      <c r="A79" s="272" t="s">
        <v>746</v>
      </c>
      <c r="B79" s="272"/>
      <c r="C79" s="272"/>
      <c r="D79" s="280"/>
      <c r="E79" s="462">
        <f>'AB428'!I46</f>
        <v>0</v>
      </c>
      <c r="F79" s="269" t="s">
        <v>1315</v>
      </c>
      <c r="G79" s="276"/>
      <c r="H79" s="276"/>
      <c r="I79" s="270"/>
      <c r="J79" s="270"/>
      <c r="L79" s="1566"/>
    </row>
    <row r="80" spans="1:12" ht="15.75" customHeight="1">
      <c r="A80" s="274" t="s">
        <v>2659</v>
      </c>
      <c r="B80" s="274"/>
      <c r="C80" s="274"/>
      <c r="D80" s="280"/>
      <c r="E80" s="462">
        <f>MIN(E76,E79)</f>
        <v>0</v>
      </c>
      <c r="F80" s="269" t="s">
        <v>1316</v>
      </c>
      <c r="G80" s="276"/>
      <c r="H80" s="276"/>
      <c r="I80" s="270"/>
      <c r="J80" s="270"/>
      <c r="L80" s="1566"/>
    </row>
    <row r="81" spans="1:12" ht="15.75" customHeight="1">
      <c r="A81" s="274" t="s">
        <v>18</v>
      </c>
      <c r="B81" s="274"/>
      <c r="C81" s="274"/>
      <c r="D81" s="280"/>
      <c r="E81" s="462">
        <f>E79-E80</f>
        <v>0</v>
      </c>
      <c r="F81" s="269" t="s">
        <v>1317</v>
      </c>
      <c r="G81" s="1373" t="s">
        <v>752</v>
      </c>
      <c r="H81" s="276"/>
      <c r="I81" s="462">
        <f>0.1275*E81</f>
        <v>0</v>
      </c>
      <c r="J81" s="269" t="s">
        <v>1318</v>
      </c>
      <c r="L81" s="1566"/>
    </row>
    <row r="82" spans="1:12" ht="15.75" customHeight="1">
      <c r="A82" s="276"/>
      <c r="B82" s="276"/>
      <c r="C82" s="276"/>
      <c r="D82" s="280"/>
      <c r="E82" s="276"/>
      <c r="F82" s="276"/>
      <c r="G82" s="276"/>
      <c r="H82" s="276"/>
      <c r="I82" s="270"/>
      <c r="J82" s="270"/>
      <c r="L82" s="1566"/>
    </row>
    <row r="83" spans="1:12" ht="15.75" customHeight="1">
      <c r="A83" s="272" t="s">
        <v>747</v>
      </c>
      <c r="B83" s="272"/>
      <c r="C83" s="272"/>
      <c r="D83" s="280"/>
      <c r="E83" s="462">
        <f>Sch9!E26</f>
        <v>0</v>
      </c>
      <c r="F83" s="269" t="s">
        <v>1527</v>
      </c>
      <c r="G83" s="276"/>
      <c r="H83" s="276"/>
      <c r="I83" s="270"/>
      <c r="J83" s="270"/>
      <c r="L83" s="1566"/>
    </row>
    <row r="84" spans="1:12" ht="15.75" customHeight="1">
      <c r="A84" s="274" t="s">
        <v>748</v>
      </c>
      <c r="B84" s="274"/>
      <c r="C84" s="274"/>
      <c r="D84" s="280"/>
      <c r="E84" s="462">
        <f>E81</f>
        <v>0</v>
      </c>
      <c r="F84" s="269" t="s">
        <v>1319</v>
      </c>
      <c r="G84" s="276"/>
      <c r="H84" s="276"/>
      <c r="I84" s="270"/>
      <c r="J84" s="270"/>
      <c r="L84" s="1566"/>
    </row>
    <row r="85" spans="1:12" ht="15.75" customHeight="1">
      <c r="A85" s="274" t="s">
        <v>2660</v>
      </c>
      <c r="B85" s="274"/>
      <c r="C85" s="274"/>
      <c r="D85" s="280"/>
      <c r="E85" s="462">
        <f>E83-E84</f>
        <v>0</v>
      </c>
      <c r="F85" s="269" t="s">
        <v>195</v>
      </c>
      <c r="G85" s="1373" t="s">
        <v>753</v>
      </c>
      <c r="H85" s="276"/>
      <c r="I85" s="462">
        <f>0.21*E85</f>
        <v>0</v>
      </c>
      <c r="J85" s="269" t="s">
        <v>1218</v>
      </c>
      <c r="L85" s="1566"/>
    </row>
    <row r="86" spans="1:12" ht="15.75" customHeight="1">
      <c r="A86" s="276" t="s">
        <v>749</v>
      </c>
      <c r="B86" s="276"/>
      <c r="C86" s="276"/>
      <c r="D86" s="280"/>
      <c r="E86" s="276"/>
      <c r="F86" s="276"/>
      <c r="G86" s="276"/>
      <c r="H86" s="276"/>
      <c r="I86" s="270"/>
      <c r="J86" s="270"/>
      <c r="L86" s="1566"/>
    </row>
    <row r="87" spans="1:12" ht="15.75" customHeight="1">
      <c r="A87" s="272" t="s">
        <v>750</v>
      </c>
      <c r="B87" s="272"/>
      <c r="C87" s="272"/>
      <c r="D87" s="281"/>
      <c r="E87" s="272"/>
      <c r="F87" s="272"/>
      <c r="G87" s="272"/>
      <c r="H87" s="276"/>
      <c r="I87" s="700">
        <f>I76+I81+I85</f>
        <v>0</v>
      </c>
      <c r="J87" s="269" t="s">
        <v>1055</v>
      </c>
      <c r="L87" s="1566"/>
    </row>
    <row r="88" spans="1:12" ht="23.25">
      <c r="A88" s="284"/>
      <c r="B88" s="276"/>
      <c r="C88" s="276"/>
      <c r="D88" s="280"/>
      <c r="E88" s="276"/>
      <c r="F88" s="276"/>
      <c r="G88" s="276"/>
      <c r="H88" s="276"/>
      <c r="I88" s="270"/>
      <c r="J88" s="270"/>
      <c r="L88" s="1566"/>
    </row>
    <row r="89" spans="1:12" ht="23.25">
      <c r="A89" s="284"/>
      <c r="B89" s="1372" t="s">
        <v>742</v>
      </c>
      <c r="C89" s="276"/>
      <c r="D89" s="280"/>
      <c r="E89" s="276"/>
      <c r="F89" s="276"/>
      <c r="G89" s="276"/>
      <c r="H89" s="276"/>
      <c r="I89" s="270"/>
      <c r="J89" s="270"/>
      <c r="L89" s="1566"/>
    </row>
    <row r="90" spans="1:12" ht="43.5" customHeight="1">
      <c r="A90" s="708" t="s">
        <v>1810</v>
      </c>
      <c r="B90" s="276"/>
      <c r="C90" s="276"/>
      <c r="D90" s="280"/>
      <c r="E90" s="276"/>
      <c r="F90" s="276"/>
      <c r="G90" s="276"/>
      <c r="H90" s="276"/>
      <c r="I90" s="270"/>
      <c r="J90" s="270"/>
      <c r="L90" s="1566"/>
    </row>
    <row r="91" spans="1:12" ht="27.75" customHeight="1">
      <c r="A91" s="276" t="s">
        <v>1811</v>
      </c>
      <c r="B91" s="276"/>
      <c r="C91" s="276"/>
      <c r="D91" s="280"/>
      <c r="E91" s="276"/>
      <c r="F91" s="276"/>
      <c r="G91" s="276"/>
      <c r="H91" s="276"/>
      <c r="I91" s="270"/>
      <c r="J91" s="270"/>
      <c r="L91" s="1566"/>
    </row>
    <row r="92" spans="1:12" ht="15.75" customHeight="1">
      <c r="A92" s="276" t="s">
        <v>2661</v>
      </c>
      <c r="B92" s="276"/>
      <c r="C92" s="276"/>
      <c r="D92" s="280"/>
      <c r="E92" s="276"/>
      <c r="F92" s="276"/>
      <c r="G92" s="276"/>
      <c r="H92" s="276"/>
      <c r="I92" s="270"/>
      <c r="J92" s="270"/>
      <c r="L92" s="1566"/>
    </row>
    <row r="93" spans="1:12" ht="22.5" customHeight="1">
      <c r="A93" s="1129" t="s">
        <v>1170</v>
      </c>
      <c r="B93" s="272"/>
      <c r="C93" s="272"/>
      <c r="D93" s="280"/>
      <c r="E93" s="462">
        <f>IF('T1 GEN-2-3-4'!G24=0,'T1 GEN-2-3-4'!I23,0)</f>
        <v>0</v>
      </c>
      <c r="F93" s="276"/>
      <c r="G93" s="448" t="s">
        <v>2663</v>
      </c>
      <c r="H93" s="276"/>
      <c r="I93" s="462">
        <f>E93*0.1</f>
        <v>0</v>
      </c>
      <c r="J93" s="270"/>
      <c r="L93" s="1566"/>
    </row>
    <row r="94" spans="1:12" ht="15.75" customHeight="1">
      <c r="A94" s="276" t="s">
        <v>1812</v>
      </c>
      <c r="B94" s="276"/>
      <c r="C94" s="276"/>
      <c r="D94" s="280"/>
      <c r="E94" s="276"/>
      <c r="F94" s="276"/>
      <c r="G94" s="276"/>
      <c r="H94" s="276"/>
      <c r="I94" s="270"/>
      <c r="J94" s="270"/>
      <c r="L94" s="1566"/>
    </row>
    <row r="95" spans="1:12" ht="15.75" customHeight="1">
      <c r="A95" s="276"/>
      <c r="B95" s="276"/>
      <c r="C95" s="276"/>
      <c r="D95" s="280"/>
      <c r="E95" s="276"/>
      <c r="F95" s="276"/>
      <c r="G95" s="276"/>
      <c r="H95" s="276"/>
      <c r="I95" s="270"/>
      <c r="J95" s="270"/>
      <c r="L95" s="1566"/>
    </row>
    <row r="96" spans="1:12" ht="15.75" customHeight="1">
      <c r="A96" s="276" t="s">
        <v>2662</v>
      </c>
      <c r="B96" s="276"/>
      <c r="C96" s="276"/>
      <c r="D96" s="280"/>
      <c r="E96" s="276"/>
      <c r="F96" s="276"/>
      <c r="G96" s="276"/>
      <c r="H96" s="276"/>
      <c r="I96" s="270"/>
      <c r="J96" s="270"/>
      <c r="L96" s="1566"/>
    </row>
    <row r="97" spans="1:12" ht="15.75" customHeight="1">
      <c r="A97" s="272" t="s">
        <v>1170</v>
      </c>
      <c r="B97" s="272"/>
      <c r="C97" s="272"/>
      <c r="D97" s="280"/>
      <c r="E97" s="462">
        <f>IF('T1 GEN-2-3-4'!G24&gt;0,'T1 GEN-2-3-4'!I23,0)</f>
        <v>0</v>
      </c>
      <c r="F97" s="941" t="s">
        <v>1281</v>
      </c>
      <c r="G97" s="276"/>
      <c r="H97" s="276"/>
      <c r="I97" s="270"/>
      <c r="J97" s="270"/>
      <c r="L97" s="1566"/>
    </row>
    <row r="98" spans="1:12" ht="15.75" customHeight="1" thickBot="1">
      <c r="A98" s="274" t="s">
        <v>1171</v>
      </c>
      <c r="B98" s="274"/>
      <c r="C98" s="274"/>
      <c r="D98" s="280"/>
      <c r="E98" s="703">
        <f>'T1 GEN-2-3-4'!G24</f>
        <v>0</v>
      </c>
      <c r="F98" s="941" t="s">
        <v>1314</v>
      </c>
      <c r="G98" s="448" t="s">
        <v>2664</v>
      </c>
      <c r="H98" s="276"/>
      <c r="I98" s="462">
        <f>E98*0.035</f>
        <v>0</v>
      </c>
      <c r="J98" s="941" t="s">
        <v>1316</v>
      </c>
      <c r="L98" s="1566"/>
    </row>
    <row r="99" spans="1:12" ht="15.75" customHeight="1">
      <c r="A99" s="274" t="s">
        <v>756</v>
      </c>
      <c r="B99" s="274"/>
      <c r="C99" s="274"/>
      <c r="D99" s="280"/>
      <c r="E99" s="462">
        <f>MAX(0,(E97-E98))</f>
        <v>0</v>
      </c>
      <c r="F99" s="269" t="s">
        <v>1315</v>
      </c>
      <c r="G99" s="445" t="s">
        <v>2665</v>
      </c>
      <c r="H99" s="276"/>
      <c r="I99" s="462">
        <f>E99*0.1</f>
        <v>0</v>
      </c>
      <c r="J99" s="941" t="s">
        <v>1317</v>
      </c>
      <c r="L99" s="1566"/>
    </row>
    <row r="100" spans="1:12" ht="15.75" customHeight="1">
      <c r="A100" s="276" t="s">
        <v>2667</v>
      </c>
      <c r="B100" s="276"/>
      <c r="C100" s="276"/>
      <c r="D100" s="280"/>
      <c r="E100" s="276"/>
      <c r="F100" s="276"/>
      <c r="G100" s="276"/>
      <c r="H100" s="276"/>
      <c r="I100" s="270"/>
      <c r="J100" s="269"/>
      <c r="L100" s="1566"/>
    </row>
    <row r="101" spans="1:12" ht="15.75" customHeight="1">
      <c r="A101" s="272" t="s">
        <v>1812</v>
      </c>
      <c r="B101" s="272"/>
      <c r="C101" s="272"/>
      <c r="D101" s="281"/>
      <c r="E101" s="272"/>
      <c r="F101" s="272"/>
      <c r="G101" s="272"/>
      <c r="H101" s="276"/>
      <c r="I101" s="700">
        <f>I98+I99</f>
        <v>0</v>
      </c>
      <c r="J101" s="269" t="s">
        <v>1318</v>
      </c>
      <c r="L101" s="1566"/>
    </row>
    <row r="102" spans="1:12" ht="15.75" customHeight="1">
      <c r="A102" s="284"/>
      <c r="B102" s="276"/>
      <c r="C102" s="276"/>
      <c r="D102" s="280"/>
      <c r="E102" s="276"/>
      <c r="F102" s="276"/>
      <c r="G102" s="276"/>
      <c r="H102" s="276"/>
      <c r="I102" s="270"/>
      <c r="J102" s="270"/>
      <c r="L102" s="1566"/>
    </row>
    <row r="103" spans="1:12" ht="15.75" customHeight="1">
      <c r="A103" s="276"/>
      <c r="B103" s="276"/>
      <c r="C103" s="276"/>
      <c r="D103" s="280"/>
      <c r="E103" s="276"/>
      <c r="F103" s="276"/>
      <c r="G103" s="276"/>
      <c r="H103" s="276"/>
      <c r="I103" s="270"/>
      <c r="J103" s="270"/>
      <c r="L103" s="1566"/>
    </row>
    <row r="104" spans="1:12" ht="28.5" customHeight="1">
      <c r="A104" s="277" t="s">
        <v>755</v>
      </c>
      <c r="B104" s="276"/>
      <c r="C104" s="276"/>
      <c r="D104" s="280"/>
      <c r="E104" s="276"/>
      <c r="F104" s="276"/>
      <c r="G104" s="276"/>
      <c r="H104" s="276"/>
      <c r="I104" s="270"/>
      <c r="J104" s="270"/>
      <c r="L104" s="1566"/>
    </row>
    <row r="105" spans="1:12" ht="23.25">
      <c r="A105" s="276" t="s">
        <v>758</v>
      </c>
      <c r="B105" s="276"/>
      <c r="C105" s="276"/>
      <c r="D105" s="280"/>
      <c r="E105" s="276"/>
      <c r="F105" s="276"/>
      <c r="G105" s="276"/>
      <c r="H105" s="276"/>
      <c r="I105" s="270"/>
      <c r="J105" s="270"/>
      <c r="L105" s="1566"/>
    </row>
    <row r="106" spans="1:12" ht="23.25">
      <c r="A106" s="272" t="s">
        <v>1279</v>
      </c>
      <c r="B106" s="272"/>
      <c r="C106" s="272"/>
      <c r="D106" s="281"/>
      <c r="E106" s="272"/>
      <c r="F106" s="272"/>
      <c r="G106" s="272"/>
      <c r="H106" s="276"/>
      <c r="I106" s="153"/>
      <c r="J106" s="271" t="s">
        <v>1281</v>
      </c>
      <c r="L106" s="1566"/>
    </row>
    <row r="107" spans="1:12" ht="14.25" customHeight="1">
      <c r="A107" s="276"/>
      <c r="B107" s="276"/>
      <c r="C107" s="276"/>
      <c r="D107" s="280"/>
      <c r="E107" s="276"/>
      <c r="F107" s="276"/>
      <c r="G107" s="276"/>
      <c r="H107" s="276"/>
      <c r="I107" s="270"/>
      <c r="J107" s="270"/>
      <c r="L107" s="1566"/>
    </row>
    <row r="108" spans="1:12" ht="23.25">
      <c r="A108" s="272" t="s">
        <v>757</v>
      </c>
      <c r="B108" s="272"/>
      <c r="C108" s="272"/>
      <c r="D108" s="281"/>
      <c r="E108" s="272"/>
      <c r="F108" s="272"/>
      <c r="G108" s="272"/>
      <c r="H108" s="276"/>
      <c r="I108" s="704">
        <f>(3/12)*MINA(I106+0,200)+(2/12)*MINA(I106+0,1100)+(4/12)*MINA(I106+0,2300)</f>
        <v>0</v>
      </c>
      <c r="J108" s="271" t="s">
        <v>1527</v>
      </c>
      <c r="L108" s="1566"/>
    </row>
    <row r="109" spans="1:12" ht="23.25">
      <c r="A109" s="276"/>
      <c r="B109" s="276"/>
      <c r="C109" s="276"/>
      <c r="D109" s="280"/>
      <c r="E109" s="276"/>
      <c r="F109" s="276"/>
      <c r="G109" s="276"/>
      <c r="H109" s="276"/>
      <c r="I109" s="270"/>
      <c r="J109" s="270"/>
      <c r="L109" s="1566"/>
    </row>
    <row r="110" spans="1:12" ht="23.25">
      <c r="A110" s="277" t="s">
        <v>754</v>
      </c>
      <c r="B110" s="276"/>
      <c r="C110" s="276"/>
      <c r="D110" s="280"/>
      <c r="E110" s="276"/>
      <c r="F110" s="276"/>
      <c r="G110" s="276"/>
      <c r="H110" s="276"/>
      <c r="I110" s="270"/>
      <c r="J110" s="270"/>
      <c r="L110" s="1566"/>
    </row>
    <row r="111" spans="1:12" ht="23.25">
      <c r="A111" s="276" t="s">
        <v>1813</v>
      </c>
      <c r="B111" s="276"/>
      <c r="C111" s="276"/>
      <c r="D111" s="280"/>
      <c r="E111" s="276"/>
      <c r="F111" s="276"/>
      <c r="G111" s="276"/>
      <c r="H111" s="276"/>
      <c r="I111" s="270"/>
      <c r="J111" s="270"/>
      <c r="L111" s="1566"/>
    </row>
    <row r="112" spans="1:12" ht="23.25">
      <c r="A112" s="272" t="s">
        <v>1279</v>
      </c>
      <c r="B112" s="272"/>
      <c r="C112" s="272"/>
      <c r="D112" s="281"/>
      <c r="E112" s="272"/>
      <c r="F112" s="272"/>
      <c r="G112" s="272"/>
      <c r="H112" s="276"/>
      <c r="I112" s="153"/>
      <c r="J112" s="271" t="s">
        <v>1281</v>
      </c>
      <c r="L112" s="1566"/>
    </row>
    <row r="113" spans="1:12" ht="23.25">
      <c r="A113" s="276"/>
      <c r="B113" s="276"/>
      <c r="C113" s="276"/>
      <c r="D113" s="280"/>
      <c r="E113" s="276"/>
      <c r="F113" s="276"/>
      <c r="G113" s="276"/>
      <c r="H113" s="276"/>
      <c r="I113" s="270"/>
      <c r="J113" s="270"/>
      <c r="L113" s="1566"/>
    </row>
    <row r="114" spans="1:12" ht="23.25">
      <c r="A114" s="272" t="s">
        <v>1014</v>
      </c>
      <c r="B114" s="272"/>
      <c r="C114" s="272"/>
      <c r="D114" s="281"/>
      <c r="E114" s="272"/>
      <c r="F114" s="272"/>
      <c r="G114" s="272"/>
      <c r="H114" s="276"/>
      <c r="I114" s="704">
        <f>(3/12)*MINA(I112+0,200)+(2/12)*MINA(I112+0,1100)+(4/12)*MINA(I112+0,2300)</f>
        <v>0</v>
      </c>
      <c r="J114" s="271" t="s">
        <v>1527</v>
      </c>
      <c r="L114" s="1566"/>
    </row>
    <row r="115" spans="1:12" ht="23.25">
      <c r="A115" s="276"/>
      <c r="B115" s="276"/>
      <c r="C115" s="276"/>
      <c r="D115" s="280"/>
      <c r="E115" s="276"/>
      <c r="F115" s="276"/>
      <c r="G115" s="276"/>
      <c r="H115" s="276"/>
      <c r="I115" s="270"/>
      <c r="J115" s="270"/>
      <c r="L115" s="1566"/>
    </row>
  </sheetData>
  <sheetProtection password="EC35" sheet="1" objects="1" scenarios="1"/>
  <mergeCells count="2">
    <mergeCell ref="A38:E38"/>
    <mergeCell ref="L1:L115"/>
  </mergeCells>
  <dataValidations count="4">
    <dataValidation allowBlank="1" showInputMessage="1" showErrorMessage="1" promptTitle="DEFAULT FORMULA" prompt="You will need to replace this formula with the total amount for all infirm dependants if you have more than one." sqref="G26:G27"/>
    <dataValidation allowBlank="1" showInputMessage="1" showErrorMessage="1" promptTitle="DEFAULT FORMULA" prompt="You will need to replace this formula with the total amount for all dependants if you have more than one." sqref="G36"/>
    <dataValidation allowBlank="1" showInputMessage="1" showErrorMessage="1" promptTitle="DEFAULT FORMULA" prompt="You will have to replace this formula with the total amount for all &#10;dependants if you have more than one dependant that you are transferring amounts for." sqref="G61"/>
    <dataValidation errorStyle="information" operator="greaterThan" allowBlank="1" sqref="I70"/>
  </dataValidations>
  <printOptions horizontalCentered="1"/>
  <pageMargins left="0.118110236220472" right="0.118110236220472" top="0.393700787401575" bottom="0.275590551181102" header="0.511811023622047" footer="0.15748031496063"/>
  <pageSetup fitToHeight="0" fitToWidth="1" horizontalDpi="600" verticalDpi="600" orientation="portrait" scale="73" r:id="rId4"/>
  <headerFooter alignWithMargins="0">
    <oddFooter>&amp;L5009-D</oddFooter>
  </headerFooter>
  <rowBreaks count="2" manualBreakCount="2">
    <brk id="46" max="9" man="1"/>
    <brk id="88"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Peel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MyTAX 2009 Version 1.0c</dc:title>
  <dc:subject>Version: April 25, 2010</dc:subject>
  <dc:creator>Egbert Verbrugge</dc:creator>
  <cp:keywords/>
  <dc:description/>
  <cp:lastModifiedBy>Egbert Verbrugge</cp:lastModifiedBy>
  <cp:lastPrinted>2010-04-11T20:12:16Z</cp:lastPrinted>
  <dcterms:created xsi:type="dcterms:W3CDTF">1999-03-31T00:46:13Z</dcterms:created>
  <dcterms:modified xsi:type="dcterms:W3CDTF">2010-04-29T23:13:49Z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Peel Technologies</vt:lpwstr>
  </property>
  <property fmtid="{D5CDD505-2E9C-101B-9397-08002B2CF9AE}" pid="3" name="Date completed">
    <vt:lpwstr>Peel Technologies</vt:lpwstr>
  </property>
</Properties>
</file>